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8DE6FA8C-1F71-4000-BE03-99E5F5CD8D9D}" xr6:coauthVersionLast="47" xr6:coauthVersionMax="47" xr10:uidLastSave="{00000000-0000-0000-0000-000000000000}"/>
  <bookViews>
    <workbookView xWindow="-108" yWindow="-108" windowWidth="23256" windowHeight="12456" tabRatio="1000" activeTab="3"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7" r:id="rId22"/>
    <pivotCache cacheId="8" r:id="rId23"/>
    <pivotCache cacheId="9" r:id="rId24"/>
    <pivotCache cacheId="10" r:id="rId25"/>
    <pivotCache cacheId="11" r:id="rId26"/>
    <pivotCache cacheId="12" r:id="rId27"/>
    <pivotCache cacheId="13"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17" i="1" l="1"/>
  <c r="N217" i="1"/>
  <c r="L217" i="1"/>
  <c r="J217" i="1"/>
  <c r="I217" i="1"/>
  <c r="L216" i="1"/>
  <c r="I216" i="1"/>
  <c r="C29" i="12"/>
  <c r="C28" i="12"/>
  <c r="D28" i="12"/>
  <c r="C25" i="12"/>
  <c r="B25" i="12"/>
  <c r="B24" i="12"/>
  <c r="C24" i="12"/>
  <c r="D24" i="12"/>
  <c r="B28" i="12"/>
  <c r="L215" i="1"/>
  <c r="L214" i="1"/>
  <c r="I215" i="1"/>
  <c r="I214" i="1"/>
  <c r="L213" i="1"/>
  <c r="I213" i="1"/>
  <c r="L212" i="1"/>
  <c r="I212" i="1"/>
  <c r="L211" i="1"/>
  <c r="L210" i="1"/>
  <c r="L209" i="1"/>
  <c r="L208" i="1"/>
  <c r="L207" i="1"/>
  <c r="L206" i="1"/>
  <c r="L205" i="1"/>
  <c r="I206" i="1"/>
  <c r="I207" i="1"/>
  <c r="I208" i="1"/>
  <c r="I209" i="1"/>
  <c r="I210" i="1"/>
  <c r="I211" i="1"/>
  <c r="I205" i="1"/>
  <c r="L204" i="1"/>
  <c r="L203" i="1"/>
  <c r="L202" i="1"/>
  <c r="I204" i="1"/>
  <c r="I203" i="1"/>
  <c r="I202" i="1"/>
  <c r="L201" i="1"/>
  <c r="I201" i="1"/>
  <c r="L200" i="1"/>
  <c r="I200" i="1"/>
  <c r="L199" i="1"/>
  <c r="I199" i="1"/>
  <c r="I197" i="1"/>
  <c r="S57" i="4"/>
  <c r="S56" i="4"/>
  <c r="S55" i="4"/>
  <c r="S54" i="4"/>
  <c r="AB50" i="4"/>
  <c r="AC50" i="4"/>
  <c r="U57" i="4"/>
  <c r="U56" i="4"/>
  <c r="U55" i="4"/>
  <c r="U54" i="4"/>
  <c r="AC53" i="4"/>
  <c r="L198" i="1"/>
  <c r="L197" i="1"/>
  <c r="I198" i="1"/>
  <c r="L196" i="1"/>
  <c r="I196" i="1"/>
  <c r="L195" i="1"/>
  <c r="I195" i="1"/>
  <c r="I194" i="1"/>
  <c r="N194" i="1" s="1"/>
  <c r="L193" i="1"/>
  <c r="L192" i="1"/>
  <c r="I193" i="1"/>
  <c r="I192" i="1"/>
  <c r="I191" i="1"/>
  <c r="O216" i="1" l="1"/>
  <c r="N216" i="1"/>
  <c r="J216" i="1"/>
  <c r="D29" i="12"/>
  <c r="B29" i="12"/>
  <c r="D25" i="12"/>
  <c r="O215" i="1"/>
  <c r="N215" i="1"/>
  <c r="J215" i="1"/>
  <c r="O214" i="1"/>
  <c r="N214" i="1"/>
  <c r="J214" i="1"/>
  <c r="O213" i="1"/>
  <c r="N213" i="1"/>
  <c r="J213" i="1"/>
  <c r="O212" i="1"/>
  <c r="J207" i="1"/>
  <c r="J208" i="1"/>
  <c r="J205" i="1"/>
  <c r="J206" i="1"/>
  <c r="N212" i="1"/>
  <c r="J212" i="1"/>
  <c r="J209" i="1"/>
  <c r="J210" i="1"/>
  <c r="O207" i="1"/>
  <c r="J211" i="1"/>
  <c r="O205" i="1"/>
  <c r="O211" i="1"/>
  <c r="O210" i="1"/>
  <c r="O209" i="1"/>
  <c r="O208" i="1"/>
  <c r="O206" i="1"/>
  <c r="O203" i="1"/>
  <c r="J202" i="1"/>
  <c r="O204" i="1"/>
  <c r="O202" i="1"/>
  <c r="J204" i="1"/>
  <c r="J203" i="1"/>
  <c r="N201" i="1"/>
  <c r="O201" i="1"/>
  <c r="J201" i="1"/>
  <c r="J200" i="1"/>
  <c r="O200" i="1"/>
  <c r="N200" i="1"/>
  <c r="O199" i="1"/>
  <c r="N199" i="1"/>
  <c r="J199" i="1"/>
  <c r="T57" i="4"/>
  <c r="AC57" i="4" s="1"/>
  <c r="T56" i="4"/>
  <c r="T55" i="4"/>
  <c r="T54" i="4"/>
  <c r="AC54" i="4" s="1"/>
  <c r="AB57" i="4"/>
  <c r="AB56" i="4"/>
  <c r="AB55" i="4"/>
  <c r="AB54" i="4"/>
  <c r="AC56" i="4"/>
  <c r="AC55" i="4"/>
  <c r="J196" i="1"/>
  <c r="O198" i="1"/>
  <c r="O197" i="1"/>
  <c r="N198" i="1"/>
  <c r="N197" i="1"/>
  <c r="J198" i="1"/>
  <c r="J197" i="1"/>
  <c r="O196" i="1"/>
  <c r="N196" i="1"/>
  <c r="O195" i="1"/>
  <c r="N195" i="1"/>
  <c r="J195" i="1"/>
  <c r="O194" i="1"/>
  <c r="J194" i="1"/>
  <c r="O192" i="1"/>
  <c r="O193" i="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L179" i="1" l="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AC52" i="4"/>
  <c r="AC41" i="4"/>
  <c r="AC47" i="4"/>
  <c r="AB47" i="4"/>
  <c r="AB49" i="4"/>
  <c r="AB53" i="4"/>
  <c r="AB52" i="4"/>
  <c r="AB51" i="4"/>
  <c r="D18" i="12"/>
  <c r="D17" i="12"/>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AC51" i="4"/>
  <c r="N172" i="1"/>
  <c r="O172" i="1"/>
  <c r="O171" i="1"/>
  <c r="J171" i="1"/>
  <c r="L170" i="1"/>
  <c r="I170" i="1"/>
  <c r="O170" i="1" l="1"/>
  <c r="N170" i="1"/>
  <c r="J170" i="1"/>
  <c r="L169" i="1"/>
  <c r="I169" i="1"/>
  <c r="L168" i="1"/>
  <c r="L167" i="1"/>
  <c r="O169" i="1" l="1"/>
  <c r="J169" i="1"/>
  <c r="N169" i="1"/>
  <c r="I168" i="1"/>
  <c r="J168" i="1" s="1"/>
  <c r="I167" i="1"/>
  <c r="J167" i="1" s="1"/>
  <c r="N167" i="1" l="1"/>
  <c r="O167" i="1"/>
  <c r="N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AC48" i="4" l="1"/>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218" i="1"/>
  <c r="G218"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218" i="1"/>
  <c r="J41" i="1"/>
  <c r="J218" i="1" s="1"/>
  <c r="O41" i="1"/>
  <c r="N5" i="1"/>
  <c r="N6" i="1"/>
  <c r="D13" i="12"/>
  <c r="N7" i="1"/>
  <c r="N4" i="1"/>
  <c r="N8" i="1"/>
  <c r="D8" i="12"/>
  <c r="D4" i="12"/>
  <c r="N41" i="1"/>
  <c r="D5" i="12"/>
  <c r="O9" i="1"/>
  <c r="O4" i="1"/>
  <c r="O218" i="1" s="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218" i="1" l="1"/>
  <c r="D14" i="12"/>
  <c r="M473" i="2"/>
  <c r="M152" i="2"/>
  <c r="N152" i="2"/>
  <c r="N473" i="2" s="1"/>
  <c r="DN28" i="22" l="1"/>
  <c r="CX30" i="22"/>
  <c r="EE23"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<sst xmlns="http://schemas.openxmlformats.org/spreadsheetml/2006/main" count="101061" uniqueCount="6560">
  <si>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</si>
  <si>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</si>
  <si>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</si>
  <si>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</si>
  <si>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</si>
  <si>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</si>
  <si>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</si>
  <si>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</si>
  <si>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</si>
  <si>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</si>
  <si>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</si>
  <si>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</si>
  <si>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</si>
  <si>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</si>
  <si>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</si>
  <si>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</si>
  <si>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</si>
  <si>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</si>
  <si>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</si>
  <si>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</si>
  <si>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</si>
  <si>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</si>
  <si>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</si>
  <si>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</si>
  <si>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</si>
  <si>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</si>
  <si>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</si>
  <si>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</si>
  <si>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</si>
  <si>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</si>
  <si>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</si>
  <si>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</si>
  <si>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</si>
  <si>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</si>
  <si>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</si>
  <si>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</si>
  <si>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</si>
  <si>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</si>
  <si>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</si>
  <si>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</si>
  <si>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</si>
  <si>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</si>
  <si>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</si>
  <si>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</si>
  <si>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</si>
  <si>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</si>
  <si>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</si>
  <si>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</si>
  <si>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</si>
  <si>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</si>
  <si>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</si>
  <si>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</si>
  <si>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</si>
  <si>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</si>
  <si>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</si>
  <si>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</si>
  <si>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</si>
  <si>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</si>
  <si>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</si>
  <si>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</si>
  <si>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</si>
  <si>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</si>
  <si>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</si>
  <si>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</si>
  <si>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</si>
  <si>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</si>
  <si>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</si>
  <si>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</si>
  <si>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</si>
  <si>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</si>
  <si>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</si>
  <si>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</si>
  <si>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</si>
  <si>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</si>
  <si>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</si>
  <si>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</si>
  <si>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</si>
  <si>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</si>
  <si>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</si>
  <si>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</si>
  <si>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</si>
  <si>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</si>
  <si>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</si>
  <si>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</si>
  <si>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</si>
  <si>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</si>
  <si>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</si>
  <si>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</si>
  <si>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</si>
  <si>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</si>
  <si>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</si>
  <si>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</si>
  <si>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</si>
  <si>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</si>
  <si>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</si>
  <si>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</si>
  <si>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</si>
  <si>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</si>
  <si>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</si>
  <si>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</si>
  <si>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</si>
  <si>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</si>
  <si>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</si>
  <si>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</si>
  <si>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</si>
  <si>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</si>
  <si>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</si>
  <si>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</si>
  <si>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</si>
  <si>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</si>
  <si>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</si>
  <si>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</si>
  <si>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</si>
  <si>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</si>
  <si>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</si>
  <si>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</si>
  <si>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</si>
  <si>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</si>
  <si>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</si>
  <si>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</si>
  <si>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</si>
  <si>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</si>
  <si>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</si>
  <si>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</si>
  <si>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</si>
  <si>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</si>
  <si>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</si>
  <si>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</si>
  <si>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</si>
  <si>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</si>
  <si>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</si>
  <si>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</si>
  <si>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</si>
  <si>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</si>
  <si>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</si>
  <si>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</si>
  <si>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</si>
  <si>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</si>
  <si>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</si>
  <si>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</si>
  <si>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</si>
  <si>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</si>
  <si>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</si>
  <si>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</si>
  <si>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</si>
  <si>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</si>
  <si>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</si>
  <si>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</si>
  <si>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</si>
  <si>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</si>
  <si>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</si>
  <si>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</si>
  <si>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</si>
  <si>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</si>
  <si>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</si>
  <si>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</si>
  <si>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</si>
  <si>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</si>
  <si>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</si>
  <si>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</si>
  <si>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</si>
  <si>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</si>
  <si>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</si>
  <si>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</si>
  <si>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</si>
  <si>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</si>
  <si>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</si>
  <si>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</si>
  <si>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</si>
  <si>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</si>
  <si>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</si>
  <si>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</si>
  <si>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</si>
  <si>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</si>
  <si>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</si>
  <si>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</si>
  <si>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</si>
  <si>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</si>
  <si>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</si>
  <si>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</si>
  <si>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</si>
  <si>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</si>
  <si>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</si>
  <si>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</si>
  <si>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</si>
  <si>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</si>
  <si>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</si>
  <si>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</si>
  <si>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</si>
  <si>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</si>
  <si>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</si>
  <si>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</si>
  <si>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</si>
  <si>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</si>
  <si>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</si>
  <si>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</si>
  <si>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</si>
  <si>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</si>
  <si>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</si>
  <si>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</si>
  <si>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</si>
  <si>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</si>
  <si>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</si>
  <si>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</si>
  <si>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</si>
  <si>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</si>
  <si>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</si>
  <si>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</si>
  <si>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</si>
  <si>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</si>
  <si>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</si>
  <si>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</si>
  <si>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</si>
  <si>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</si>
  <si>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</si>
  <si>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</si>
  <si>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</si>
  <si>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</si>
  <si>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</si>
  <si>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</si>
  <si>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</si>
  <si>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</si>
  <si>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</si>
  <si>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</si>
  <si>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</si>
  <si>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</si>
  <si>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</si>
  <si>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</si>
  <si>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</si>
  <si>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</si>
  <si>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</si>
  <si>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</si>
  <si>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</si>
  <si>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</si>
  <si>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</si>
  <si>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</si>
  <si>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</si>
  <si>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</si>
  <si>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</si>
  <si>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</si>
  <si>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</si>
  <si>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</si>
  <si>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</si>
  <si>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</si>
  <si>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</si>
  <si>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</si>
  <si>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</si>
  <si>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</si>
  <si>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</si>
  <si>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</si>
  <si>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</si>
  <si>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</si>
  <si>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</si>
  <si>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</si>
  <si>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</si>
  <si>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</si>
  <si>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</si>
  <si>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</si>
  <si>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</si>
  <si>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</si>
  <si>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</si>
  <si>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</si>
  <si>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</si>
  <si>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</si>
  <si>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</si>
  <si>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</si>
  <si>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</si>
  <si>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</si>
  <si>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</si>
  <si>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</si>
  <si>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</si>
  <si>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</si>
  <si>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</si>
  <si>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</si>
  <si>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</si>
  <si>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</si>
  <si>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</si>
  <si>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</si>
  <si>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</si>
  <si>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</si>
  <si>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</si>
  <si>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</si>
  <si>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</si>
  <si>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</si>
  <si>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</si>
  <si>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</si>
  <si>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</si>
  <si>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</si>
  <si>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</si>
  <si>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</si>
  <si>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</si>
  <si>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</si>
  <si>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</si>
  <si>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</si>
  <si>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</si>
  <si>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</si>
  <si>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</si>
  <si>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</si>
  <si>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</si>
  <si>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</si>
  <si>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</si>
  <si>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</si>
  <si>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</si>
  <si>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</si>
  <si>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</si>
  <si>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</si>
  <si>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</si>
  <si>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</si>
  <si>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</si>
  <si>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</si>
  <si>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</si>
  <si>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</si>
  <si>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</si>
  <si>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</si>
  <si>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</si>
  <si>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</si>
  <si>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</si>
  <si>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</si>
  <si>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</si>
  <si>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</si>
  <si>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</si>
  <si>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</si>
  <si>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</si>
  <si>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</si>
  <si>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</si>
  <si>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</si>
  <si>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</si>
  <si>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</si>
  <si>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</si>
  <si>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</si>
  <si>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</si>
  <si>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</si>
  <si>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</si>
  <si>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</si>
  <si>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</si>
  <si>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</si>
  <si>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</si>
  <si>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</si>
  <si>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</si>
  <si>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</si>
  <si>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</si>
  <si>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</si>
  <si>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</si>
  <si>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</si>
  <si>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</si>
  <si>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</si>
  <si>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</si>
  <si>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</si>
  <si>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</si>
  <si>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</si>
  <si>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</si>
  <si>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</si>
  <si>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</si>
  <si>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</si>
  <si>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</si>
  <si>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</si>
  <si>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</si>
  <si>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</si>
  <si>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</si>
  <si>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</si>
  <si>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</si>
  <si>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</si>
  <si>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</si>
  <si>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</si>
  <si>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</si>
  <si>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</si>
  <si>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</si>
  <si>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</si>
  <si>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</si>
  <si>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</si>
  <si>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</si>
  <si>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</si>
  <si>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</si>
  <si>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</si>
  <si>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</si>
  <si>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</si>
  <si>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</si>
  <si>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</si>
  <si>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</si>
  <si>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</si>
  <si>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</si>
  <si>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</si>
  <si>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</si>
  <si>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</si>
  <si>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</si>
  <si>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</si>
  <si>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</si>
  <si>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</si>
  <si>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</si>
  <si>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</si>
  <si>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</si>
  <si>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</si>
  <si>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</si>
  <si>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</si>
  <si>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</si>
  <si>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</si>
  <si>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</si>
  <si>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</si>
  <si>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</si>
  <si>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</si>
  <si>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</si>
  <si>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</si>
  <si>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</si>
  <si>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</si>
  <si>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</si>
  <si>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</si>
  <si>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</si>
  <si>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</si>
  <si>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</si>
  <si>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</si>
  <si>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</si>
  <si>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</si>
  <si>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</si>
  <si>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</si>
  <si>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</si>
  <si>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</si>
  <si>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</si>
  <si>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</si>
  <si>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</si>
  <si>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</si>
  <si>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</si>
  <si>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</si>
  <si>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</si>
  <si>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</si>
  <si>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</si>
  <si>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</si>
  <si>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</si>
  <si>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</si>
  <si>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</si>
  <si>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</si>
  <si>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</si>
  <si>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</si>
  <si>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</si>
  <si>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</si>
  <si>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</si>
  <si>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</si>
  <si>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</si>
  <si>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</si>
  <si>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</si>
  <si>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</si>
  <si>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</si>
  <si>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</si>
  <si>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</si>
  <si>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</si>
  <si>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</si>
  <si>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</si>
  <si>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</si>
  <si>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</si>
  <si>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</si>
  <si>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</si>
  <si>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</si>
  <si>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</si>
  <si>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</si>
  <si>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</si>
  <si>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</si>
  <si>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</si>
  <si>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</si>
  <si>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</si>
  <si>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</si>
  <si>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</si>
  <si>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</si>
  <si>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</si>
  <si>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</si>
  <si>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</si>
  <si>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</si>
  <si>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</si>
  <si>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</si>
  <si>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</si>
  <si>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</si>
  <si>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</si>
  <si>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</si>
  <si>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</si>
  <si>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</si>
  <si>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</si>
  <si>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</si>
  <si>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</si>
  <si>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</si>
  <si>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</si>
  <si>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</si>
  <si>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</si>
  <si>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</si>
  <si>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</si>
  <si>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</si>
  <si>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</si>
  <si>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</si>
  <si>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</si>
  <si>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</si>
  <si>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</si>
  <si>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</si>
  <si>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</si>
  <si>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</si>
  <si>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</si>
  <si>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</si>
  <si>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</si>
  <si>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</si>
  <si>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</si>
  <si>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</si>
  <si>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</si>
  <si>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</si>
  <si>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</si>
  <si>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</si>
  <si>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</si>
  <si>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</si>
  <si>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</si>
  <si>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</si>
  <si>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</si>
  <si>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</si>
  <si>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</si>
  <si>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</si>
  <si>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</si>
  <si>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</si>
  <si>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</si>
  <si>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</si>
  <si>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</si>
  <si>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</si>
  <si>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</si>
  <si>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</si>
  <si>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</si>
  <si>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</si>
  <si>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</si>
  <si>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</si>
  <si>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</si>
  <si>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</si>
  <si>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</si>
  <si>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</si>
  <si>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</si>
  <si>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</si>
  <si>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</si>
  <si>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</si>
  <si>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</si>
  <si>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</si>
  <si>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</si>
  <si>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</si>
  <si>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</si>
  <si>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</si>
  <si>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</si>
  <si>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</si>
  <si>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</si>
  <si>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</si>
  <si>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</si>
  <si>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</si>
  <si>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</si>
  <si>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</si>
  <si>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</si>
  <si>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</si>
  <si>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</si>
  <si>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</si>
  <si>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</si>
  <si>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</si>
  <si>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</si>
  <si>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</si>
  <si>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</si>
  <si>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</si>
  <si>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</si>
  <si>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</si>
  <si>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</si>
  <si>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</si>
  <si>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</si>
  <si>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</si>
  <si>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</si>
  <si>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</si>
  <si>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</si>
  <si>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</si>
  <si>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</si>
  <si>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</si>
  <si>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</si>
  <si>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</si>
  <si>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</si>
  <si>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</si>
  <si>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</si>
  <si>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</si>
  <si>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</si>
  <si>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</si>
  <si>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</si>
  <si>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</si>
  <si>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</si>
  <si>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</si>
  <si>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</si>
  <si>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</si>
  <si>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</si>
  <si>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</si>
  <si>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</si>
  <si>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</si>
  <si>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</si>
  <si>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</si>
  <si>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</si>
  <si>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</si>
  <si>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</si>
  <si>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</si>
  <si>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</si>
  <si>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</si>
  <si>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</si>
  <si>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</si>
  <si>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</si>
  <si>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</si>
  <si>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</si>
  <si>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</si>
  <si>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</si>
  <si>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</si>
  <si>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</si>
  <si>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</si>
  <si>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</si>
  <si>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</si>
  <si>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</si>
  <si>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</si>
  <si>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</si>
  <si>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</si>
  <si>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</si>
  <si>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</si>
  <si>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</si>
  <si>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</si>
  <si>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</si>
  <si>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</si>
  <si>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</si>
  <si>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</si>
  <si>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</si>
  <si>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</si>
  <si>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</si>
  <si>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</si>
  <si>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</si>
  <si>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</si>
  <si>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</si>
  <si>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</si>
  <si>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</si>
  <si>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</si>
  <si>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</si>
  <si>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</si>
  <si>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</si>
  <si>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</si>
  <si>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</si>
  <si>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</si>
  <si>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</si>
  <si>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</si>
  <si>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</si>
  <si>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</si>
  <si>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</si>
  <si>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</si>
  <si>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</si>
  <si>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</si>
  <si>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</si>
  <si>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</si>
  <si>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</si>
  <si>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</si>
  <si>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</si>
  <si>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</si>
  <si>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</si>
  <si>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</si>
  <si>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</si>
  <si>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</si>
  <si>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</si>
  <si>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</si>
  <si>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</si>
  <si>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</si>
  <si>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</si>
  <si>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</si>
  <si>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</si>
  <si>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</si>
  <si>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</si>
  <si>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</si>
  <si>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</si>
  <si>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</si>
  <si>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</si>
  <si>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</si>
  <si>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</si>
  <si>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</si>
  <si>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</si>
  <si>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</si>
  <si>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</si>
  <si>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</si>
  <si>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</si>
  <si>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</si>
  <si>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</si>
  <si>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</si>
  <si>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</si>
  <si>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</si>
  <si>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</si>
  <si>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</si>
  <si>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</si>
  <si>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</si>
  <si>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</si>
  <si>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</si>
  <si>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</si>
  <si>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</si>
  <si>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</si>
  <si>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</si>
  <si>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</si>
  <si>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</si>
  <si>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</si>
  <si>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</si>
  <si>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</si>
  <si>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</si>
  <si>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</si>
  <si>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</si>
  <si>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</si>
  <si>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</si>
  <si>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</si>
  <si>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</si>
  <si>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</si>
  <si>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</si>
  <si>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</si>
  <si>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</si>
  <si>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</si>
  <si>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</si>
  <si>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</si>
  <si>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</si>
  <si>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</si>
  <si>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</si>
  <si>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</si>
  <si>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</si>
  <si>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</si>
  <si>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</si>
  <si>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</si>
  <si>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</si>
  <si>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</si>
  <si>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</si>
  <si>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</si>
  <si>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</si>
  <si>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</si>
  <si>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</si>
  <si>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</si>
  <si>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</si>
  <si>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</si>
  <si>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</si>
  <si>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</si>
  <si>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</si>
  <si>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</si>
  <si>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</si>
  <si>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</si>
  <si>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</si>
  <si>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</si>
  <si>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</si>
  <si>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</si>
  <si>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</si>
  <si>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</si>
  <si>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</si>
  <si>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</si>
  <si>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</si>
  <si>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</si>
  <si>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</si>
  <si>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</si>
  <si>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</si>
  <si>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</si>
  <si>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</si>
  <si>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</si>
  <si>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</si>
  <si>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</si>
  <si>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</si>
  <si>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</si>
  <si>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</si>
  <si>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</si>
  <si>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</si>
  <si>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</si>
  <si>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</si>
  <si>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</si>
  <si>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</si>
  <si>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</si>
  <si>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</si>
  <si>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</si>
  <si>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</si>
  <si>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</si>
  <si>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</si>
  <si>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</si>
  <si>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</si>
  <si>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</si>
  <si>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</si>
  <si>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</si>
  <si>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</si>
  <si>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</si>
  <si>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</si>
  <si>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</si>
  <si>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</si>
  <si>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</si>
  <si>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</si>
  <si>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</si>
  <si>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</si>
  <si>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</si>
  <si>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</si>
  <si>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</si>
  <si>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</si>
  <si>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</si>
  <si>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</si>
  <si>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</si>
  <si>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</si>
  <si>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</si>
  <si>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</si>
  <si>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</si>
  <si>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</si>
  <si>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</si>
  <si>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</si>
  <si>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</si>
  <si>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</si>
  <si>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</si>
  <si>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</si>
  <si>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</si>
  <si>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</si>
  <si>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</si>
  <si>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</si>
  <si>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</si>
  <si>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</si>
  <si>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</si>
  <si>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</si>
  <si>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</si>
  <si>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</si>
  <si>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</si>
  <si>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</si>
  <si>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</si>
  <si>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</si>
  <si>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</si>
  <si>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</si>
  <si>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</si>
  <si>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</si>
  <si>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</si>
  <si>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</si>
  <si>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</si>
  <si>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</si>
  <si>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</si>
  <si>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</si>
  <si>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</si>
  <si>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</si>
  <si>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</si>
  <si>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</si>
  <si>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</si>
  <si>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</si>
  <si>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</si>
  <si>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</si>
  <si>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</si>
  <si>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</si>
  <si>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</si>
  <si>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</si>
  <si>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</si>
  <si>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</si>
  <si>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</si>
  <si>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</si>
  <si>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</si>
  <si>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</si>
  <si>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</si>
  <si>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</si>
  <si>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</si>
  <si>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</si>
  <si>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</si>
  <si>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</si>
  <si>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</si>
  <si>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</si>
  <si>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</si>
  <si>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</si>
  <si>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</si>
  <si>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</si>
  <si>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</si>
  <si>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</si>
  <si>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</si>
  <si>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</si>
  <si>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</si>
  <si>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</si>
  <si>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</si>
  <si>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</si>
  <si>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</si>
  <si>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</si>
  <si>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</si>
  <si>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</si>
  <si>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</si>
  <si>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</si>
  <si>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</si>
  <si>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</si>
  <si>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</si>
  <si>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</si>
  <si>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</si>
  <si>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</si>
  <si>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</si>
  <si>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</si>
  <si>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</si>
  <si>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</si>
  <si>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</si>
  <si>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</si>
  <si>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</si>
  <si>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</si>
  <si>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</si>
  <si>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</si>
  <si>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</si>
  <si>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</si>
  <si>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</si>
  <si>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</si>
  <si>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</si>
  <si>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</si>
  <si>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</si>
  <si>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</si>
  <si>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</si>
  <si>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</si>
  <si>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</si>
  <si>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</si>
  <si>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</si>
  <si>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</si>
  <si>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</si>
  <si>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</si>
  <si>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</si>
  <si>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</si>
  <si>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</si>
  <si>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</si>
  <si>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</si>
  <si>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</si>
  <si>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</si>
  <si>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</si>
  <si>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</si>
  <si>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</si>
  <si>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</si>
  <si>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</si>
  <si>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</si>
  <si>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</si>
  <si>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</si>
  <si>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</si>
  <si>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</si>
  <si>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</si>
  <si>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</si>
  <si>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</si>
  <si>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</si>
  <si>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</si>
  <si>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</si>
  <si>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</si>
  <si>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</si>
  <si>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</si>
  <si>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</si>
  <si>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</si>
  <si>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</si>
  <si>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</si>
  <si>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</si>
  <si>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</si>
  <si>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</si>
  <si>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</si>
  <si>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</si>
  <si>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</si>
  <si>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</si>
  <si>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</si>
  <si>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</si>
  <si>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</si>
  <si>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</si>
  <si>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</si>
  <si>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</si>
  <si>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</si>
  <si>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</si>
  <si>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</si>
  <si>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</si>
  <si>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</si>
  <si>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</si>
  <si>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</si>
  <si>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</si>
  <si>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</si>
  <si>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</si>
  <si>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</si>
  <si>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</si>
  <si>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</si>
  <si>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</si>
  <si>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</si>
  <si>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</si>
  <si>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</si>
  <si>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</si>
  <si>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</si>
  <si>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</si>
  <si>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</si>
  <si>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</si>
  <si>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</si>
  <si>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</si>
  <si>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</si>
  <si>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</si>
  <si>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</si>
  <si>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</si>
  <si>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</si>
  <si>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</si>
  <si>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</si>
  <si>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</si>
  <si>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</si>
  <si>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</si>
  <si>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</si>
  <si>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</si>
  <si>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</si>
  <si>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</si>
  <si>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</si>
  <si>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</si>
  <si>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</si>
  <si>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</si>
  <si>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</si>
  <si>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</si>
  <si>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</si>
  <si>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</si>
  <si>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</si>
  <si>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</si>
  <si>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</si>
  <si>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</si>
  <si>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</si>
  <si>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</si>
  <si>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</si>
  <si>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</si>
  <si>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</si>
  <si>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</si>
  <si>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</si>
  <si>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</si>
  <si>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</si>
  <si>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</si>
  <si>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</si>
  <si>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</si>
  <si>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</si>
  <si>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</si>
  <si>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</si>
  <si>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</si>
  <si>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</si>
  <si>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</si>
  <si>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</si>
  <si>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</si>
  <si>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</si>
  <si>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</si>
  <si>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</si>
  <si>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</si>
  <si>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</si>
  <si>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</si>
  <si>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</si>
  <si>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</si>
  <si>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</si>
  <si>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</si>
  <si>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</si>
  <si>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</si>
  <si>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</si>
  <si>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</si>
  <si>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</si>
  <si>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</si>
  <si>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</si>
  <si>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</si>
  <si>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</si>
  <si>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</si>
  <si>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</si>
  <si>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</si>
  <si>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</si>
  <si>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</si>
  <si>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</si>
  <si>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</si>
  <si>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</si>
  <si>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</si>
  <si>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</si>
  <si>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</si>
  <si>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</si>
  <si>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</si>
  <si>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</si>
  <si>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</si>
  <si>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</si>
  <si>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</si>
  <si>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</si>
  <si>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</si>
  <si>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</si>
  <si>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</si>
  <si>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</si>
  <si>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</si>
  <si>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</si>
  <si>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</si>
  <si>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</si>
  <si>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</si>
  <si>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</si>
  <si>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</si>
  <si>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</si>
  <si>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</si>
  <si>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</si>
  <si>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</si>
  <si>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</si>
  <si>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</si>
  <si>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</si>
  <si>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</si>
  <si>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</si>
  <si>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</si>
  <si>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</si>
  <si>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</si>
  <si>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</si>
  <si>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</si>
  <si>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</si>
  <si>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</si>
  <si>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</si>
  <si>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</si>
  <si>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</si>
  <si>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</si>
  <si>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</si>
  <si>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</si>
  <si>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</si>
  <si>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</si>
  <si>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</si>
  <si>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</si>
  <si>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</si>
  <si>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</si>
  <si>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</si>
  <si>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</si>
  <si>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</si>
  <si>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</si>
  <si>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</si>
  <si>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</si>
  <si>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</si>
  <si>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</si>
  <si>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</si>
  <si>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</si>
  <si>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</si>
  <si>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</si>
  <si>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</si>
  <si>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</si>
  <si>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</si>
  <si>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</si>
  <si>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</si>
  <si>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</si>
  <si>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</si>
  <si>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</si>
  <si>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</si>
  <si>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</si>
  <si>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</si>
  <si>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</si>
  <si>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</si>
  <si>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</si>
  <si>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</si>
  <si>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</si>
  <si>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</si>
  <si>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</si>
  <si>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</si>
  <si>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</si>
  <si>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</si>
  <si>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</si>
  <si>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</si>
  <si>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</si>
  <si>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</si>
  <si>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</si>
  <si>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</si>
  <si>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</si>
  <si>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</si>
  <si>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</si>
  <si>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</si>
  <si>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</si>
  <si>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</si>
  <si>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</si>
  <si>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</si>
  <si>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</si>
  <si>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</si>
  <si>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</si>
  <si>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</si>
  <si>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</si>
  <si>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</si>
  <si>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</si>
  <si>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</si>
  <si>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</si>
  <si>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</si>
  <si>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</si>
  <si>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</si>
  <si>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</si>
  <si>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</si>
  <si>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</si>
  <si>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</si>
  <si>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</si>
  <si>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</si>
  <si>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</si>
  <si>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</si>
  <si>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</si>
  <si>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</si>
  <si>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</si>
  <si>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</si>
  <si>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</si>
  <si>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</si>
  <si>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</si>
  <si>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</si>
  <si>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</si>
  <si>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</si>
  <si>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</si>
  <si>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</si>
  <si>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</si>
  <si>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</si>
  <si>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</si>
  <si>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</si>
  <si>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</si>
  <si>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</si>
  <si>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</si>
  <si>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</si>
  <si>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</si>
  <si>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</si>
  <si>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</si>
  <si>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</si>
  <si>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</si>
  <si>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</si>
  <si>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</si>
  <si>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</si>
  <si>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</si>
  <si>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</si>
  <si>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</si>
  <si>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</si>
  <si>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</si>
  <si>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</si>
  <si>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</si>
  <si>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</si>
  <si>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</si>
  <si>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</si>
  <si>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</si>
  <si>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</si>
  <si>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</si>
  <si>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</si>
  <si>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</si>
  <si>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</si>
  <si>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</si>
  <si>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</si>
  <si>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</si>
  <si>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</si>
  <si>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</si>
  <si>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</si>
  <si>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</si>
  <si>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</si>
  <si>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</si>
  <si>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</si>
  <si>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</si>
  <si>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</si>
  <si>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</si>
  <si>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</si>
  <si>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</si>
  <si>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</si>
  <si>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</si>
  <si>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</si>
  <si>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</si>
  <si>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</si>
  <si>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</si>
  <si>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</si>
  <si>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</si>
  <si>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</si>
  <si>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</si>
  <si>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</si>
  <si>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</si>
  <si>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</si>
  <si>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</si>
  <si>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</si>
  <si>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</si>
  <si>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</si>
  <si>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</si>
  <si>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</si>
  <si>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</si>
  <si>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</si>
  <si>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</si>
  <si>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</si>
  <si>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</si>
  <si>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</si>
  <si>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</si>
  <si>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</si>
  <si>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</si>
  <si>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</si>
  <si>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</si>
  <si>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</si>
  <si>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</si>
  <si>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</si>
  <si>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</si>
  <si>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</si>
  <si>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</si>
  <si>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</si>
  <si>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</si>
  <si>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</si>
  <si>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</si>
  <si>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</si>
  <si>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</si>
  <si>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</si>
  <si>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</si>
  <si>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</si>
  <si>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</si>
  <si>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</si>
  <si>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</si>
  <si>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</si>
  <si>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</si>
  <si>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</si>
  <si>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</si>
  <si>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</si>
  <si>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</si>
  <si>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</si>
  <si>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</si>
  <si>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</si>
  <si>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</si>
  <si>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</si>
  <si>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</si>
  <si>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</si>
  <si>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</si>
  <si>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</si>
  <si>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</si>
  <si>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</si>
  <si>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</si>
  <si>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</si>
  <si>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</si>
  <si>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</si>
  <si>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</si>
  <si>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</si>
  <si>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</si>
  <si>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</si>
  <si>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</si>
  <si>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</si>
  <si>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</si>
  <si>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</si>
  <si>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</si>
  <si>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</si>
  <si>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</si>
  <si>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</si>
  <si>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</si>
  <si>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</si>
  <si>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</si>
  <si>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</si>
  <si>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</si>
  <si>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</si>
  <si>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</si>
  <si>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</si>
  <si>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</si>
  <si>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</si>
  <si>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</si>
  <si>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</si>
  <si>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</si>
  <si>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</si>
  <si>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</si>
  <si>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</si>
  <si>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</si>
  <si>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</si>
  <si>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</si>
  <si>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</si>
  <si>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</si>
  <si>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</si>
  <si>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</si>
  <si>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</si>
  <si>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</si>
  <si>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</si>
  <si>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</si>
  <si>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</si>
  <si>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</si>
  <si>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</si>
  <si>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</si>
  <si>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</si>
  <si>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</si>
  <si>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</si>
  <si>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</si>
  <si>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</si>
  <si>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</si>
  <si>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</si>
  <si>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</si>
  <si>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</si>
  <si>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</si>
  <si>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</si>
  <si>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</si>
  <si>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</si>
  <si>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</si>
  <si>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</si>
  <si>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</si>
  <si>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</si>
  <si>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</si>
  <si>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</si>
  <si>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</si>
  <si>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</si>
  <si>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</si>
  <si>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</si>
  <si>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</si>
  <si>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</si>
  <si>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</si>
  <si>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</si>
  <si>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</si>
  <si>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</si>
  <si>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</si>
  <si>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</si>
  <si>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</si>
  <si>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</si>
  <si>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</si>
  <si>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</si>
  <si>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</si>
  <si>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</si>
  <si>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</si>
  <si>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</si>
  <si>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</si>
  <si>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</si>
  <si>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</si>
  <si>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</si>
  <si>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</si>
  <si>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</si>
  <si>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</si>
  <si>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</si>
  <si>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</si>
  <si>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</si>
  <si>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</si>
  <si>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</si>
  <si>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</si>
  <si>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</si>
  <si>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</si>
  <si>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</si>
  <si>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</si>
  <si>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</si>
  <si>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</si>
  <si>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</si>
  <si>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</si>
  <si>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</si>
  <si>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</si>
  <si>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</si>
  <si>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</si>
  <si>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</si>
  <si>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</si>
  <si>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</si>
  <si>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</si>
  <si>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</si>
  <si>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</si>
  <si>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</si>
  <si>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</si>
  <si>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</si>
  <si>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</si>
  <si>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</si>
  <si>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</si>
  <si>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</si>
  <si>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</si>
  <si>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</si>
  <si>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</si>
  <si>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</si>
  <si>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</si>
  <si>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</si>
  <si>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</si>
  <si>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</si>
  <si>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</si>
  <si>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</si>
  <si>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</si>
  <si>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</si>
  <si>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</si>
  <si>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</si>
  <si>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</si>
  <si>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</si>
  <si>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</si>
  <si>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</si>
  <si>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</si>
  <si>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</si>
  <si>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</si>
  <si>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</si>
  <si>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</si>
  <si>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</si>
  <si>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</si>
  <si>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</si>
  <si>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</si>
  <si>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</si>
  <si>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</si>
  <si>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</si>
  <si>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</si>
  <si>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</si>
  <si>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</si>
  <si>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</si>
  <si>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</si>
  <si>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</si>
  <si>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</si>
  <si>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</si>
  <si>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</si>
  <si>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</si>
  <si>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</si>
  <si>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</si>
  <si>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</si>
  <si>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</si>
  <si>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</si>
  <si>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</si>
  <si>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</si>
  <si>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</si>
  <si>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</si>
  <si>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</si>
  <si>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</si>
  <si>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</si>
  <si>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</si>
  <si>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</si>
  <si>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</si>
  <si>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</si>
  <si>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</si>
  <si>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</si>
  <si>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</si>
  <si>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</si>
  <si>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</si>
  <si>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</si>
  <si>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</si>
  <si>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</si>
  <si>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</si>
  <si>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</si>
  <si>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</si>
  <si>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</si>
  <si>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</si>
  <si>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</si>
  <si>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</si>
  <si>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</si>
  <si>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</si>
  <si>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</si>
  <si>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</si>
  <si>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</si>
  <si>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</si>
  <si>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</si>
  <si>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</si>
  <si>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</si>
  <si>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</si>
  <si>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</si>
  <si>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</si>
  <si>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</si>
  <si>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</si>
  <si>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</si>
  <si>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</si>
  <si>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</si>
  <si>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</si>
  <si>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</si>
  <si>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</si>
  <si>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</si>
  <si>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</si>
  <si>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</si>
  <si>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</si>
  <si>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</si>
  <si>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</si>
  <si>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</si>
  <si>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</si>
  <si>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</si>
  <si>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</si>
  <si>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</si>
  <si>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</si>
  <si>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</si>
  <si>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</si>
  <si>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</si>
  <si>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</si>
  <si>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</si>
  <si>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</si>
  <si>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</si>
  <si>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</si>
  <si>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</si>
  <si>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</si>
  <si>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</si>
  <si>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</si>
  <si>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</si>
  <si>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</si>
  <si>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</si>
  <si>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</si>
  <si>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</si>
  <si>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</si>
  <si>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</si>
  <si>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</si>
  <si>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</si>
  <si>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</si>
  <si>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</si>
  <si>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</si>
  <si>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</si>
  <si>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</si>
  <si>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</si>
  <si>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</si>
  <si>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</si>
  <si>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</si>
  <si>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</si>
  <si>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</si>
  <si>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</si>
  <si>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</si>
  <si>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</si>
  <si>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</si>
  <si>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</si>
  <si>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</si>
  <si>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</si>
  <si>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</si>
  <si>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</si>
  <si>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</si>
  <si>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</si>
  <si>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</si>
  <si>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</si>
  <si>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</si>
  <si>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</si>
  <si>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</si>
  <si>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</si>
  <si>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</si>
  <si>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</si>
  <si>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</si>
  <si>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</si>
  <si>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</si>
  <si>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</si>
  <si>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</si>
  <si>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</si>
  <si>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</si>
  <si>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</si>
  <si>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</si>
  <si>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</si>
  <si>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</si>
  <si>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</si>
  <si>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</si>
  <si>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</si>
  <si>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</si>
  <si>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</si>
  <si>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</si>
  <si>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</si>
  <si>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</si>
  <si>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</si>
  <si>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</si>
  <si>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</si>
  <si>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</si>
  <si>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</si>
  <si>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</si>
  <si>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</si>
  <si>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</si>
  <si>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</si>
  <si>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</si>
  <si>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</si>
  <si>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</si>
  <si>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</si>
  <si>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</si>
  <si>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</si>
  <si>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</si>
  <si>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</si>
  <si>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</si>
  <si>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</si>
  <si>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</si>
  <si>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</si>
  <si>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</si>
  <si>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</si>
  <si>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</si>
  <si>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</si>
  <si>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</si>
  <si>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</si>
  <si>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</si>
  <si>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</si>
  <si>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</si>
  <si>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</si>
  <si>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</si>
  <si>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</si>
  <si>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</si>
  <si>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</si>
  <si>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</si>
  <si>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</si>
  <si>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</si>
  <si>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</si>
  <si>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</si>
  <si>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</si>
  <si>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</si>
  <si>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</si>
  <si>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</si>
  <si>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</si>
  <si>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</si>
  <si>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</si>
  <si>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</si>
  <si>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</si>
  <si>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</si>
  <si>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</si>
  <si>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</si>
  <si>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</si>
  <si>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</si>
  <si>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</si>
  <si>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</si>
  <si>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</si>
  <si>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</si>
  <si>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</si>
  <si>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</si>
  <si>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</si>
  <si>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</si>
  <si>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</si>
  <si>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</si>
  <si>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</si>
  <si>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</si>
  <si>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</si>
  <si>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</si>
  <si>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</si>
  <si>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</si>
  <si>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</si>
  <si>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</si>
  <si>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</si>
  <si>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</si>
  <si>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</si>
  <si>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</si>
  <si>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</si>
  <si>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</si>
  <si>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</si>
  <si>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</si>
  <si>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</si>
  <si>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</si>
  <si>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</si>
  <si>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</si>
  <si>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</si>
  <si>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</si>
  <si>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</si>
  <si>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</si>
  <si>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</si>
  <si>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</si>
  <si>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</si>
  <si>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</si>
  <si>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</si>
  <si>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</si>
  <si>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</si>
  <si>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</si>
  <si>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</si>
  <si>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</si>
  <si>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</si>
  <si>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</si>
  <si>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</si>
  <si>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</si>
  <si>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</si>
  <si>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</si>
  <si>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</si>
  <si>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</si>
  <si>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</si>
  <si>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</si>
  <si>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</si>
  <si>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</si>
  <si>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</si>
  <si>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</si>
  <si>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</si>
  <si>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</si>
  <si>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</si>
  <si>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</si>
  <si>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</si>
  <si>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</si>
  <si>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</si>
  <si>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</si>
  <si>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</si>
  <si>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</si>
  <si>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</si>
  <si>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</si>
  <si>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</si>
  <si>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</si>
  <si>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</si>
  <si>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</si>
  <si>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</si>
  <si>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</si>
  <si>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</si>
  <si>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</si>
  <si>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</si>
  <si>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</si>
  <si>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</si>
  <si>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</si>
  <si>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</si>
  <si>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</si>
  <si>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</si>
  <si>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</si>
  <si>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</si>
  <si>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</si>
  <si>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</si>
  <si>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</si>
  <si>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</si>
  <si>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</si>
  <si>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</si>
  <si>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</si>
  <si>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</si>
  <si>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</si>
  <si>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</si>
  <si>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</si>
  <si>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</si>
  <si>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</si>
  <si>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</si>
  <si>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</si>
  <si>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</si>
  <si>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</si>
  <si>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</si>
  <si>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</si>
  <si>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</si>
  <si>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</si>
  <si>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</si>
  <si>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</si>
  <si>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</si>
  <si>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</si>
  <si>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</si>
  <si>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</si>
  <si>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</si>
  <si>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</si>
  <si>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</si>
  <si>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</si>
  <si>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</si>
  <si>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</si>
  <si>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</si>
  <si>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</si>
  <si>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</si>
  <si>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</si>
  <si>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</si>
  <si>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</si>
  <si>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</si>
  <si>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</si>
  <si>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</si>
  <si>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</si>
  <si>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</si>
  <si>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</si>
  <si>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</si>
  <si>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</si>
  <si>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</si>
  <si>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</si>
  <si>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</si>
  <si>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</si>
  <si>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</si>
  <si>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</si>
  <si>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</si>
  <si>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</si>
  <si>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</si>
  <si>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</si>
  <si>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</si>
  <si>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</si>
  <si>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</si>
  <si>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</si>
  <si>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</si>
  <si>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</si>
  <si>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</si>
  <si>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</si>
  <si>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</si>
  <si>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</si>
  <si>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</si>
  <si>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</si>
  <si>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</si>
  <si>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</si>
  <si>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</si>
  <si>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</si>
  <si>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</si>
  <si>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</si>
  <si>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</si>
  <si>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</si>
  <si>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</si>
  <si>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</si>
  <si>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</si>
  <si>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</si>
  <si>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</si>
  <si>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</si>
  <si>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</si>
  <si>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</si>
  <si>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</si>
  <si>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</si>
  <si>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</si>
  <si>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</si>
  <si>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</si>
  <si>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</si>
  <si>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</si>
  <si>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</si>
  <si>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</si>
  <si>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</si>
  <si>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</si>
  <si>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</si>
  <si>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</si>
  <si>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</si>
  <si>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</si>
  <si>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</si>
  <si>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</si>
  <si>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</si>
  <si>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</si>
  <si>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</si>
  <si>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</si>
  <si>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</si>
  <si>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</si>
  <si>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</si>
  <si>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</si>
  <si>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</si>
  <si>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</si>
  <si>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</si>
  <si>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</si>
  <si>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</si>
  <si>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</si>
  <si>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</si>
  <si>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</si>
  <si>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</si>
  <si>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</si>
  <si>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</si>
  <si>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</si>
  <si>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</si>
  <si>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</si>
  <si>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</si>
  <si>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</si>
  <si>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</si>
  <si>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</si>
  <si>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</si>
  <si>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</si>
  <si>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</si>
  <si>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</si>
  <si>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</si>
  <si>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</si>
  <si>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</si>
  <si>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</si>
  <si>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</si>
  <si>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</si>
  <si>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</si>
  <si>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</si>
  <si>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</si>
  <si>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</si>
  <si>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</si>
  <si>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</si>
  <si>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</si>
  <si>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</si>
  <si>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</si>
  <si>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</si>
  <si>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</si>
  <si>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</si>
  <si>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</si>
  <si>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</si>
  <si>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</si>
  <si>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</si>
  <si>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</si>
  <si>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</si>
  <si>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</si>
  <si>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</si>
  <si>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</si>
  <si>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</si>
  <si>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</si>
  <si>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</si>
  <si>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</si>
  <si>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</si>
  <si>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</si>
  <si>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</si>
  <si>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</si>
  <si>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</si>
  <si>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</si>
  <si>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</si>
  <si>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</si>
  <si>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</si>
  <si>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</si>
  <si>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</si>
  <si>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</si>
  <si>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</si>
  <si>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</si>
  <si>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</si>
  <si>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</si>
  <si>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</si>
  <si>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</si>
  <si>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</si>
  <si>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</si>
  <si>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</si>
  <si>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</si>
  <si>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</si>
  <si>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</si>
  <si>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</si>
  <si>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</si>
  <si>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</si>
  <si>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</si>
  <si>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</si>
  <si>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</si>
  <si>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</si>
  <si>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</si>
  <si>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</si>
  <si>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</si>
  <si>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</si>
  <si>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</si>
  <si>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</si>
  <si>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</si>
  <si>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</si>
  <si>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</si>
  <si>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</si>
  <si>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</si>
  <si>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</si>
  <si>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</si>
  <si>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</si>
  <si>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</si>
  <si>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</si>
  <si>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</si>
  <si>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</si>
  <si>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</si>
  <si>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</si>
  <si>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</si>
  <si>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</si>
  <si>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</si>
  <si>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</si>
  <si>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</si>
  <si>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</si>
  <si>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</si>
  <si>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</si>
  <si>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</si>
  <si>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</si>
  <si>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</si>
  <si>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</si>
  <si>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</si>
  <si>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</si>
  <si>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</si>
  <si>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</si>
  <si>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</si>
  <si>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</si>
  <si>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</si>
  <si>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</si>
  <si>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</si>
  <si>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</si>
  <si>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</si>
  <si>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</si>
  <si>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</si>
  <si>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</si>
  <si>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</si>
  <si>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</si>
  <si>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</si>
  <si>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</si>
  <si>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</si>
  <si>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</si>
  <si>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</si>
  <si>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</si>
  <si>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</si>
  <si>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</si>
  <si>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</si>
  <si>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</si>
  <si>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</si>
  <si>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</si>
  <si>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</si>
  <si>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</si>
  <si>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</si>
  <si>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</si>
  <si>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</si>
  <si>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</si>
  <si>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</si>
  <si>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</si>
  <si>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</si>
  <si>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</si>
  <si>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</si>
  <si>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</si>
  <si>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</si>
  <si>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</si>
  <si>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</si>
  <si>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</si>
  <si>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</si>
  <si>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</si>
  <si>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</si>
  <si>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</si>
  <si>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</si>
  <si>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</si>
  <si>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</si>
  <si>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</si>
  <si>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</si>
  <si>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</si>
  <si>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</si>
  <si>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</si>
  <si>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</si>
  <si>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</si>
  <si>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</si>
  <si>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</si>
  <si>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</si>
  <si>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</si>
  <si>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</si>
  <si>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</si>
  <si>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</si>
  <si>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</si>
  <si>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</si>
  <si>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</si>
  <si>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</si>
  <si>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</si>
  <si>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</si>
  <si>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</si>
  <si>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</si>
  <si>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</si>
  <si>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</si>
  <si>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</si>
  <si>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</si>
  <si>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</si>
  <si>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</si>
  <si>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</si>
  <si>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</si>
  <si>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</si>
  <si>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</si>
  <si>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</si>
  <si>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</si>
  <si>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</si>
  <si>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</si>
  <si>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</si>
  <si>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</si>
  <si>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</si>
  <si>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</si>
  <si>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</si>
  <si>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</si>
  <si>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</si>
  <si>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</si>
  <si>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</si>
  <si>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</si>
  <si>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</si>
  <si>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</si>
  <si>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</si>
  <si>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</si>
  <si>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</si>
  <si>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</si>
  <si>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</si>
  <si>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</si>
  <si>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</si>
  <si>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</si>
  <si>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</si>
  <si>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</si>
  <si>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</si>
  <si>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</si>
  <si>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</si>
  <si>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</si>
  <si>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</si>
  <si>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</si>
  <si>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</si>
  <si>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</si>
  <si>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</si>
  <si>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</si>
  <si>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</si>
  <si>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</si>
  <si>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</si>
  <si>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</si>
  <si>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</si>
  <si>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</si>
  <si>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</si>
  <si>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</si>
  <si>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</si>
  <si>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</si>
  <si>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</si>
  <si>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</si>
  <si>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</si>
  <si>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</si>
  <si>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</si>
  <si>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</si>
  <si>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</si>
  <si>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</si>
  <si>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</si>
  <si>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</si>
  <si>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</si>
  <si>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</si>
  <si>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</si>
  <si>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</si>
  <si>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</si>
  <si>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</si>
  <si>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</si>
  <si>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</si>
  <si>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</si>
  <si>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</si>
  <si>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</si>
  <si>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</si>
  <si>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</si>
  <si>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</si>
  <si>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</si>
  <si>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</si>
  <si>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</si>
  <si>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</si>
  <si>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</si>
  <si>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</si>
  <si>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</si>
  <si>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</si>
  <si>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</si>
  <si>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</si>
  <si>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</si>
  <si>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</si>
  <si>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</si>
  <si>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</si>
  <si>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</si>
  <si>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</si>
  <si>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</si>
  <si>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</si>
  <si>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</si>
  <si>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</si>
  <si>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</si>
  <si>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</si>
  <si>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</si>
  <si>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</si>
  <si>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</si>
  <si>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</si>
  <si>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</si>
  <si>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</si>
  <si>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</si>
  <si>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</si>
  <si>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</si>
  <si>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</si>
  <si>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</si>
  <si>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</si>
  <si>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</si>
  <si>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</si>
  <si>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</si>
  <si>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</si>
  <si>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</si>
  <si>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</si>
  <si>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</si>
  <si>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</si>
  <si>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</si>
  <si>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</si>
  <si>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</si>
  <si>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</si>
  <si>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</si>
  <si>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</si>
  <si>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</si>
  <si>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</si>
  <si>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</si>
  <si>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</si>
  <si>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</si>
  <si>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</si>
  <si>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</si>
  <si>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</si>
  <si>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</si>
  <si>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</si>
  <si>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</si>
  <si>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</si>
  <si>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</si>
  <si>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</si>
  <si>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</si>
  <si>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</si>
  <si>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</si>
  <si>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</si>
  <si>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</si>
  <si>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</si>
  <si>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</si>
  <si>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</si>
  <si>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</si>
  <si>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</si>
  <si>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</si>
  <si>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</si>
  <si>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</si>
  <si>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</si>
  <si>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</si>
  <si>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</si>
  <si>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</si>
  <si>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</si>
  <si>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</si>
  <si>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</si>
  <si>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</si>
  <si>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</si>
  <si>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</si>
  <si>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</si>
  <si>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</si>
  <si>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</si>
  <si>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</si>
  <si>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</si>
  <si>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</si>
  <si>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</si>
  <si>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</si>
  <si>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</si>
  <si>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</si>
  <si>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</si>
  <si>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</si>
  <si>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</si>
  <si>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</si>
  <si>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</si>
  <si>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</si>
  <si>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</si>
  <si>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</si>
  <si>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</si>
  <si>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</si>
  <si>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</si>
  <si>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</si>
  <si>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</si>
  <si>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</si>
  <si>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</si>
  <si>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</si>
  <si>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</si>
  <si>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</si>
  <si>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</si>
  <si>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</si>
  <si>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</si>
  <si>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</si>
  <si>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</si>
  <si>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</si>
  <si>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</si>
  <si>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</si>
  <si>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</si>
  <si>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</si>
  <si>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</si>
  <si>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</si>
  <si>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</si>
  <si>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</si>
  <si>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</si>
  <si>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</si>
  <si>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</si>
  <si>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</si>
  <si>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</si>
  <si>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</si>
  <si>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</si>
  <si>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</si>
  <si>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</si>
  <si>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</si>
  <si>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</si>
  <si>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</si>
  <si>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</si>
  <si>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</si>
  <si>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</si>
  <si>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</si>
  <si>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</si>
  <si>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</si>
  <si>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</si>
  <si>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</si>
  <si>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</si>
  <si>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</si>
  <si>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</si>
  <si>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</si>
  <si>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</si>
  <si>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</si>
  <si>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</si>
  <si>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</si>
  <si>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</si>
  <si>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</si>
  <si>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</si>
  <si>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</si>
  <si>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</si>
  <si>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</si>
  <si>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</si>
  <si>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</si>
  <si>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</si>
  <si>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</si>
  <si>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</si>
  <si>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</si>
  <si>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</si>
  <si>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</si>
  <si>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</si>
  <si>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</si>
  <si>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</si>
  <si>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</si>
  <si>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</si>
  <si>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</si>
  <si>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</si>
  <si>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</si>
  <si>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</si>
  <si>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</si>
  <si>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</si>
  <si>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</si>
  <si>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</si>
  <si>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</si>
  <si>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</si>
  <si>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</si>
  <si>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</si>
  <si>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</si>
  <si>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</si>
  <si>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</si>
  <si>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</si>
  <si>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</si>
  <si>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</si>
  <si>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</si>
  <si>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</si>
  <si>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</si>
  <si>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</si>
  <si>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</si>
  <si>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</si>
  <si>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</si>
  <si>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</si>
  <si>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</si>
  <si>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</si>
  <si>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</si>
  <si>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</si>
  <si>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</si>
  <si>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</si>
  <si>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</si>
  <si>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</si>
  <si>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</si>
  <si>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</si>
  <si>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</si>
  <si>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</si>
  <si>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</si>
  <si>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</si>
  <si>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</si>
  <si>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</si>
  <si>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</si>
  <si>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</si>
  <si>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</si>
  <si>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</si>
  <si>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</si>
  <si>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</si>
  <si>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</si>
  <si>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</si>
  <si>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</si>
  <si>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</si>
  <si>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</si>
  <si>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</si>
  <si>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</si>
  <si>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</si>
  <si>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</si>
  <si>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</si>
  <si>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</si>
  <si>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</si>
  <si>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</si>
  <si>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</si>
  <si>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</si>
  <si>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</si>
  <si>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</si>
  <si>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</si>
  <si>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</si>
  <si>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</si>
  <si>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</si>
  <si>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</si>
  <si>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</si>
  <si>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</si>
  <si>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</si>
  <si>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</si>
  <si>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</si>
  <si>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</si>
  <si>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</si>
  <si>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</si>
  <si>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</si>
  <si>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</si>
  <si>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</si>
  <si>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</si>
  <si>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</si>
  <si>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</si>
  <si>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</si>
  <si>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</si>
  <si>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</si>
  <si>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</si>
  <si>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</si>
  <si>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</si>
  <si>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</si>
  <si>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</si>
  <si>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</si>
  <si>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</si>
  <si>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</si>
  <si>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</si>
  <si>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</si>
  <si>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</si>
  <si>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</si>
  <si>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</si>
  <si>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</si>
  <si>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</si>
  <si>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</si>
  <si>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</si>
  <si>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</si>
  <si>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</si>
  <si>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</si>
  <si>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</si>
  <si>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</si>
  <si>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</si>
  <si>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</si>
  <si>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</si>
  <si>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</si>
  <si>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</si>
  <si>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</si>
  <si>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</si>
  <si>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</si>
  <si>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</si>
  <si>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</si>
  <si>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</si>
  <si>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</si>
  <si>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</si>
  <si>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</si>
  <si>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</si>
  <si>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</si>
  <si>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</si>
  <si>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</si>
  <si>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</si>
  <si>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</si>
  <si>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</si>
  <si>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</si>
  <si>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</si>
  <si>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</si>
  <si>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</si>
  <si>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</si>
  <si>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</si>
  <si>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</si>
  <si>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</si>
  <si>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</si>
  <si>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</si>
  <si>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</si>
  <si>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</si>
  <si>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</si>
  <si>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</si>
  <si>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</si>
  <si>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</si>
  <si>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</si>
  <si>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</si>
  <si>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</si>
  <si>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</si>
  <si>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</si>
  <si>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</si>
  <si>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</si>
  <si>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</si>
  <si>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</si>
  <si>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</si>
  <si>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</si>
  <si>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</si>
  <si>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</si>
  <si>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</si>
  <si>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</si>
  <si>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</si>
  <si>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</si>
  <si>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</si>
  <si>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</si>
  <si>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</si>
  <si>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</si>
  <si>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</si>
  <si>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</si>
  <si>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</si>
  <si>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</si>
  <si>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</si>
  <si>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</si>
  <si>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</si>
  <si>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</si>
  <si>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</si>
  <si>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</si>
  <si>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</si>
  <si>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</si>
  <si>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</si>
  <si>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</si>
  <si>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</si>
  <si>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</si>
  <si>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</si>
  <si>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</si>
  <si>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</si>
  <si>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</si>
  <si>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</si>
  <si>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</si>
  <si>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</si>
  <si>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</si>
  <si>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</si>
  <si>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</si>
  <si>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</si>
  <si>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</si>
  <si>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</si>
  <si>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</si>
  <si>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</si>
  <si>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</si>
  <si>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</si>
  <si>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</si>
  <si>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</si>
  <si>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</si>
  <si>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</si>
  <si>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</si>
  <si>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</si>
  <si>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</si>
  <si>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</si>
  <si>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</si>
  <si>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</si>
  <si>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</si>
  <si>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</si>
  <si>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</si>
  <si>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</si>
  <si>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</si>
  <si>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</si>
  <si>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</si>
  <si>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</si>
  <si>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</si>
  <si>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</si>
  <si>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</si>
  <si>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</si>
  <si>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</si>
  <si>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</si>
  <si>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</si>
  <si>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</si>
  <si>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</si>
  <si>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</si>
  <si>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</si>
  <si>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</si>
  <si>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</si>
  <si>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</si>
  <si>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</si>
  <si>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</si>
  <si>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</si>
  <si>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</si>
  <si>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</si>
  <si>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</si>
  <si>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</si>
  <si>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</si>
  <si>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</si>
  <si>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</si>
  <si>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</si>
  <si>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</si>
  <si>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</si>
  <si>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</si>
  <si>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</si>
  <si>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</si>
  <si>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</si>
  <si>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</si>
  <si>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</si>
  <si>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</si>
  <si>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</si>
  <si>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</si>
  <si>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</si>
  <si>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</si>
  <si>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</si>
  <si>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</si>
  <si>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</si>
  <si>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</si>
  <si>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</si>
  <si>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</si>
  <si>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</si>
  <si>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</si>
  <si>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</si>
  <si>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</si>
  <si>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</si>
  <si>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</si>
  <si>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</si>
  <si>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</si>
  <si>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</si>
  <si>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</si>
  <si>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</si>
  <si>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</si>
  <si>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</si>
  <si>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</si>
  <si>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</si>
  <si>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</si>
  <si>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</si>
  <si>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</si>
  <si>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</si>
  <si>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</si>
  <si>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</si>
  <si>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</si>
  <si>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</si>
  <si>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</si>
  <si>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</si>
  <si>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</si>
  <si>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</si>
  <si>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</si>
  <si>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</si>
  <si>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</si>
  <si>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</si>
  <si>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</si>
  <si>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</si>
  <si>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</si>
  <si>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</si>
  <si>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</si>
  <si>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</si>
  <si>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</si>
  <si>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</si>
  <si>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</si>
  <si>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</si>
  <si>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</si>
  <si>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</si>
  <si>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</si>
  <si>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</si>
  <si>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</si>
  <si>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</si>
  <si>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</si>
  <si>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</si>
  <si>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</si>
  <si>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</si>
  <si>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</si>
  <si>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</si>
  <si>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</si>
  <si>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</si>
  <si>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</si>
  <si>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</si>
  <si>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</si>
  <si>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</si>
  <si>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</si>
  <si>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</si>
  <si>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</si>
  <si>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</si>
  <si>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</si>
  <si>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</si>
  <si>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</si>
  <si>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</si>
  <si>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</si>
  <si>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</si>
  <si>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</si>
  <si>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</si>
  <si>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</si>
  <si>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</si>
  <si>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</si>
  <si>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</si>
  <si>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</si>
  <si>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</si>
  <si>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</si>
  <si>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</si>
  <si>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</si>
  <si>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</si>
  <si>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</si>
  <si>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</si>
  <si>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</si>
  <si>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</si>
  <si>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</si>
  <si>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</si>
  <si>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</si>
  <si>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</si>
  <si>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</si>
  <si>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</si>
  <si>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</si>
  <si>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</si>
  <si>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</si>
  <si>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</si>
  <si>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</si>
  <si>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</si>
  <si>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</si>
  <si>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</si>
  <si>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</si>
  <si>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</si>
  <si>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</si>
  <si>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</si>
  <si>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</si>
  <si>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</si>
  <si>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</si>
  <si>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</si>
  <si>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</si>
  <si>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</si>
  <si>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</si>
  <si>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</si>
  <si>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</si>
  <si>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</si>
  <si>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</si>
  <si>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</si>
  <si>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</si>
  <si>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</si>
  <si>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</si>
  <si>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</si>
  <si>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</si>
  <si>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</si>
  <si>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</si>
  <si>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</si>
  <si>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</si>
  <si>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</si>
  <si>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</si>
  <si>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</si>
  <si>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</si>
  <si>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</si>
  <si>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</si>
  <si>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</si>
  <si>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</si>
  <si>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</si>
  <si>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</si>
  <si>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</si>
  <si>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</si>
  <si>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</si>
  <si>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</si>
  <si>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</si>
  <si>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</si>
  <si>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</si>
  <si>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</si>
  <si>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</si>
  <si>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</si>
  <si>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</si>
  <si>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</si>
  <si>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</si>
  <si>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</si>
  <si>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</si>
  <si>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</si>
  <si>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</si>
  <si>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</si>
  <si>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</si>
  <si>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</si>
  <si>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</si>
  <si>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</si>
  <si>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</si>
  <si>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</si>
  <si>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</si>
  <si>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</si>
  <si>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</si>
  <si>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</si>
  <si>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</si>
  <si>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</si>
  <si>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</si>
  <si>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</si>
  <si>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</si>
  <si>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</si>
  <si>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</si>
  <si>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</si>
  <si>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</si>
  <si>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</si>
  <si>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</si>
  <si>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</si>
  <si>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</si>
  <si>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</si>
  <si>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</si>
  <si>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</si>
  <si>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</si>
  <si>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</si>
  <si>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</si>
  <si>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</si>
  <si>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</si>
  <si>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</si>
  <si>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</si>
  <si>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</si>
  <si>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</si>
  <si>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</si>
  <si>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</si>
  <si>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</si>
  <si>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</si>
  <si>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</si>
  <si>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</si>
  <si>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</si>
  <si>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</si>
  <si>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</si>
  <si>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</si>
  <si>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</si>
  <si>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</si>
  <si>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</si>
  <si>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</si>
  <si>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</si>
  <si>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</si>
  <si>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</si>
  <si>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</si>
  <si>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</si>
  <si>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</si>
  <si>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</si>
  <si>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</si>
  <si>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</si>
  <si>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</si>
  <si>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</si>
  <si>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</si>
  <si>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</si>
  <si>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</si>
  <si>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</si>
  <si>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</si>
  <si>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</si>
  <si>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</si>
  <si>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</si>
  <si>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</si>
  <si>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</si>
  <si>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</si>
  <si>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</si>
  <si>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</si>
  <si>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</si>
  <si>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</si>
  <si>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</si>
  <si>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</si>
  <si>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</si>
  <si>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</si>
  <si>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</si>
  <si>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</si>
  <si>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</si>
  <si>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</si>
  <si>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</si>
  <si>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</si>
  <si>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</si>
  <si>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</si>
  <si>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</si>
  <si>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</si>
  <si>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</si>
  <si>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</si>
  <si>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</si>
  <si>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</si>
  <si>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</si>
  <si>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</si>
  <si>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</si>
  <si>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</si>
  <si>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</si>
  <si>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</si>
  <si>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</si>
  <si>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</si>
  <si>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</si>
  <si>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</si>
  <si>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</si>
  <si>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</si>
  <si>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</si>
  <si>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</si>
  <si>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</si>
  <si>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</si>
  <si>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</si>
  <si>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</si>
  <si>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</si>
  <si>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</si>
  <si>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</si>
  <si>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</si>
  <si>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</si>
  <si>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</si>
  <si>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</si>
  <si>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</si>
  <si>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</si>
  <si>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</si>
  <si>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</si>
  <si>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</si>
  <si>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</si>
  <si>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</si>
  <si>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</si>
  <si>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</si>
  <si>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</si>
  <si>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</si>
  <si>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</si>
  <si>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</si>
  <si>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</si>
  <si>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</si>
  <si>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</si>
  <si>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</si>
  <si>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</si>
  <si>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</si>
  <si>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</si>
  <si>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</si>
  <si>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</si>
  <si>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</si>
  <si>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</si>
  <si>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</si>
  <si>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</si>
  <si>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</si>
  <si>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</si>
  <si>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</si>
  <si>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</si>
  <si>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</si>
  <si>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</si>
  <si>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</si>
  <si>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</si>
  <si>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</si>
  <si>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</si>
  <si>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</si>
  <si>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</si>
  <si>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</si>
  <si>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</si>
  <si>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</si>
  <si>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</si>
  <si>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</si>
  <si>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</si>
  <si>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</si>
  <si>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</si>
  <si>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</si>
  <si>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</si>
  <si>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</si>
  <si>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</si>
  <si>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</si>
  <si>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</si>
  <si>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</si>
  <si>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</si>
  <si>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</si>
  <si>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</si>
  <si>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</si>
  <si>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</si>
  <si>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</si>
  <si>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</si>
  <si>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</si>
  <si>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</si>
  <si>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</si>
  <si>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</si>
  <si>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</si>
  <si>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</si>
  <si>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</si>
  <si>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</si>
  <si>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</si>
  <si>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</si>
  <si>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</si>
  <si>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</si>
  <si>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</si>
  <si>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</si>
  <si>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</si>
  <si>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</si>
  <si>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</si>
  <si>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</si>
  <si>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</si>
  <si>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</si>
  <si>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</si>
  <si>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</si>
  <si>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</si>
  <si>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</si>
  <si>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</si>
  <si>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</si>
  <si>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</si>
  <si>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</si>
  <si>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</si>
  <si>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</si>
  <si>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</si>
  <si>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</si>
  <si>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</si>
  <si>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</si>
  <si>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</si>
  <si>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</si>
  <si>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</si>
  <si>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</si>
  <si>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</si>
  <si>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</si>
  <si>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</si>
  <si>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</si>
  <si>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</si>
  <si>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</si>
  <si>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</si>
  <si>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</si>
  <si>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</si>
  <si>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</si>
  <si>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</si>
  <si>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</si>
  <si>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</si>
  <si>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</si>
  <si>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</si>
  <si>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</si>
  <si>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</si>
  <si>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</si>
  <si>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</si>
  <si>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</si>
  <si>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</si>
  <si>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</si>
  <si>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</si>
  <si>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</si>
  <si>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</si>
  <si>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</si>
  <si>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</si>
  <si>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</si>
  <si>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</si>
  <si>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</si>
  <si>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</si>
  <si>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</si>
  <si>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</si>
  <si>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</si>
  <si>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</si>
  <si>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</si>
  <si>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</si>
  <si>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</si>
  <si>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</si>
  <si>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</si>
  <si>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</si>
  <si>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</si>
  <si>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</si>
  <si>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</si>
  <si>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</si>
  <si>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</si>
  <si>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</si>
  <si>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</si>
  <si>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</si>
  <si>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</si>
  <si>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</si>
  <si>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</si>
  <si>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</si>
  <si>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</si>
  <si>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</si>
  <si>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</si>
  <si>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</si>
  <si>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</si>
  <si>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</si>
  <si>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</si>
  <si>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</si>
  <si>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</si>
  <si>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</si>
  <si>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</si>
  <si>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</si>
  <si>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</si>
  <si>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</si>
  <si>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</si>
  <si>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</si>
  <si>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</si>
  <si>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</si>
  <si>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</si>
  <si>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</si>
  <si>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</si>
  <si>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</si>
  <si>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</si>
  <si>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</si>
  <si>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</si>
  <si>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</si>
  <si>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</si>
  <si>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</si>
  <si>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</si>
  <si>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</si>
  <si>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</si>
  <si>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</si>
  <si>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</si>
  <si>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</si>
  <si>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</si>
  <si>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</si>
  <si>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</si>
  <si>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</si>
  <si>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</si>
  <si>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</si>
  <si>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</si>
  <si>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</si>
  <si>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</si>
  <si>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</si>
  <si>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</si>
  <si>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</si>
  <si>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</si>
  <si>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</si>
  <si>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</si>
  <si>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</si>
  <si>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</si>
  <si>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</si>
  <si>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</si>
  <si>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</si>
  <si>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</si>
  <si>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</si>
  <si>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</si>
  <si>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</si>
  <si>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</si>
  <si>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</si>
  <si>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</si>
  <si>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</si>
  <si>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</si>
  <si>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</si>
  <si>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</si>
  <si>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</si>
  <si>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</si>
  <si>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</si>
  <si>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</si>
  <si>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</si>
  <si>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</si>
  <si>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</si>
  <si>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</si>
  <si>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</si>
  <si>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</si>
  <si>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</si>
  <si>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</si>
  <si>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</si>
  <si>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</si>
  <si>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</si>
  <si>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</si>
  <si>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</si>
  <si>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</si>
  <si>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</si>
  <si>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</si>
  <si>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</si>
  <si>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</si>
  <si>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</si>
  <si>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</si>
  <si>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</si>
  <si>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</si>
  <si>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</si>
  <si>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</si>
  <si>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</si>
  <si>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</si>
  <si>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</si>
  <si>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</si>
  <si>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</si>
  <si>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</si>
  <si>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</si>
  <si>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</si>
  <si>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</si>
  <si>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</si>
  <si>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</si>
  <si>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</si>
  <si>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</si>
  <si>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</si>
  <si>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</si>
  <si>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</si>
  <si>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</si>
  <si>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</si>
  <si>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</si>
  <si>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</si>
  <si>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</si>
  <si>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</si>
  <si>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</si>
  <si>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</si>
  <si>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</si>
  <si>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</si>
  <si>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</si>
  <si>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</si>
  <si>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</si>
  <si>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</si>
  <si>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</si>
  <si>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</si>
  <si>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</si>
  <si>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</si>
  <si>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</si>
  <si>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</si>
  <si>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</si>
  <si>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</si>
  <si>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</si>
  <si>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</si>
  <si>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</si>
  <si>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</si>
  <si>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</si>
  <si>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</si>
  <si>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</si>
  <si>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</si>
  <si>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</si>
  <si>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</si>
  <si>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</si>
  <si>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</si>
  <si>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</si>
  <si>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</si>
  <si>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</si>
  <si>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</si>
  <si>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</si>
  <si>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</si>
  <si>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</si>
  <si>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</si>
  <si>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</si>
  <si>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</si>
  <si>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</si>
  <si>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</si>
  <si>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</si>
  <si>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</si>
  <si>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</si>
  <si>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</si>
  <si>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</si>
  <si>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</si>
  <si>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</si>
  <si>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</si>
  <si>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</si>
  <si>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</si>
  <si>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</si>
  <si>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</si>
  <si>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</si>
  <si>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</si>
  <si>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</si>
  <si>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</si>
  <si>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</si>
  <si>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</si>
  <si>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</si>
  <si>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</si>
  <si>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</si>
  <si>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</si>
  <si>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</si>
  <si>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</si>
  <si>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</si>
  <si>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</si>
  <si>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</si>
  <si>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</si>
  <si>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</si>
  <si>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</si>
  <si>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</si>
  <si>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</si>
  <si>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</si>
  <si>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</si>
  <si>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</si>
  <si>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</si>
  <si>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</si>
  <si>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</si>
  <si>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</si>
  <si>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</si>
  <si>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</si>
  <si>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</si>
  <si>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</si>
  <si>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</si>
  <si>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</si>
  <si>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</si>
  <si>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</si>
  <si>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</si>
  <si>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</si>
  <si>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</si>
  <si>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</si>
  <si>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</si>
  <si>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</si>
  <si>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</si>
  <si>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</si>
  <si>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</si>
  <si>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</si>
  <si>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</si>
  <si>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</si>
  <si>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</si>
  <si>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</si>
  <si>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</si>
  <si>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</si>
  <si>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</si>
  <si>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</si>
  <si>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</si>
  <si>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</si>
  <si>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</si>
  <si>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</si>
  <si>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</si>
  <si>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</si>
  <si>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</si>
  <si>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</si>
  <si>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</si>
  <si>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</si>
  <si>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</si>
  <si>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</si>
  <si>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</si>
  <si>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</si>
  <si>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</si>
  <si>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</si>
  <si>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</si>
  <si>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</si>
  <si>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</si>
  <si>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</si>
  <si>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</si>
  <si>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</si>
  <si>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</si>
  <si>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</si>
  <si>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</si>
  <si>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</si>
  <si>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</si>
  <si>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</si>
  <si>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</si>
  <si>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</si>
  <si>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</si>
  <si>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</si>
  <si>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</si>
  <si>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</si>
  <si>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</si>
  <si>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</si>
  <si>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</si>
  <si>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</si>
  <si>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</si>
  <si>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</si>
  <si>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</si>
  <si>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</si>
  <si>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</si>
  <si>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</si>
  <si>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</si>
  <si>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</si>
  <si>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</si>
  <si>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</si>
  <si>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</si>
  <si>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</si>
  <si>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</si>
  <si>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</si>
  <si>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</si>
  <si>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</si>
  <si>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</si>
  <si>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</si>
  <si>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</si>
  <si>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</si>
  <si>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</si>
  <si>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</si>
  <si>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</si>
  <si>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</si>
  <si>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</si>
  <si>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</si>
  <si>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</si>
  <si>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</si>
  <si>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</si>
  <si>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</si>
  <si>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</si>
  <si>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</si>
  <si>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</si>
  <si>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</si>
  <si>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</si>
  <si>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</si>
  <si>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</si>
  <si>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</si>
  <si>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</si>
  <si>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</si>
  <si>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</si>
  <si>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</si>
  <si>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</si>
  <si>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</si>
  <si>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</si>
  <si>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</si>
  <si>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</si>
  <si>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</si>
  <si>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</si>
  <si>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</si>
  <si>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</si>
  <si>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</si>
  <si>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</si>
  <si>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</si>
  <si>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</si>
  <si>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</si>
  <si>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</si>
  <si>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</si>
  <si>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</si>
  <si>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</si>
  <si>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</si>
  <si>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</si>
  <si>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</si>
  <si>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</si>
  <si>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</si>
  <si>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</si>
  <si>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</si>
  <si>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</si>
  <si>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</si>
  <si>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</si>
  <si>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</si>
  <si>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</si>
  <si>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</si>
  <si>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</si>
  <si>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</si>
  <si>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</si>
  <si>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</si>
  <si>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</si>
  <si>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</si>
  <si>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</si>
  <si>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</si>
  <si>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</si>
  <si>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</si>
  <si>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</si>
  <si>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</si>
  <si>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</si>
  <si>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</si>
  <si>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</si>
  <si>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</si>
  <si>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</si>
  <si>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</si>
  <si>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</si>
  <si>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</si>
  <si>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</si>
  <si>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</si>
  <si>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</si>
  <si>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</si>
  <si>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</si>
  <si>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</si>
  <si>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</si>
  <si>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</si>
  <si>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</si>
  <si>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</si>
  <si>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</si>
  <si>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</si>
  <si>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</si>
  <si>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</si>
  <si>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</si>
  <si>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</si>
  <si>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</si>
  <si>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</si>
  <si>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</si>
  <si>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</si>
  <si>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</si>
  <si>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</si>
  <si>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</si>
  <si>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</si>
  <si>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</si>
  <si>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</si>
  <si>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</si>
  <si>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</si>
  <si>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</si>
  <si>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</si>
  <si>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</si>
  <si>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</si>
  <si>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</si>
  <si>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</si>
  <si>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</si>
  <si>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</si>
  <si>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</si>
  <si>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</si>
  <si>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</si>
  <si>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</si>
  <si>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</si>
  <si>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</si>
  <si>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</si>
  <si>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</si>
  <si>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</si>
  <si>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</si>
  <si>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</si>
  <si>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</si>
  <si>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</si>
  <si>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</si>
  <si>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</si>
  <si>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</si>
  <si>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</si>
  <si>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</si>
  <si>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</si>
  <si>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</si>
  <si>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</si>
  <si>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</si>
  <si>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</si>
  <si>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</si>
  <si>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</si>
  <si>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</si>
  <si>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</si>
  <si>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</si>
  <si>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</si>
  <si>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</si>
  <si>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</si>
  <si>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</si>
  <si>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</si>
  <si>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</si>
  <si>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</si>
  <si>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</si>
  <si>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</si>
  <si>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</si>
  <si>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</si>
  <si>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</si>
  <si>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</si>
  <si>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</si>
  <si>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</si>
  <si>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</si>
  <si>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</si>
  <si>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</si>
  <si>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</si>
  <si>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</si>
  <si>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</si>
  <si>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</si>
  <si>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</si>
  <si>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</si>
  <si>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</si>
  <si>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</si>
  <si>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</si>
  <si>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</si>
  <si>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</si>
  <si>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</si>
  <si>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</si>
  <si>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</si>
  <si>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</si>
  <si>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</si>
  <si>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</si>
  <si>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</si>
  <si>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</si>
  <si>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</si>
  <si>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</si>
  <si>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</si>
  <si>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</si>
  <si>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</si>
  <si>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</si>
  <si>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</si>
  <si>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</si>
  <si>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</si>
  <si>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</si>
  <si>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</si>
  <si>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</si>
  <si>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</si>
  <si>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</si>
  <si>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</si>
  <si>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</si>
  <si>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</si>
  <si>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</si>
  <si>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</si>
  <si>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</si>
  <si>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</si>
  <si>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</si>
  <si>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</si>
  <si>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</si>
  <si>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</si>
  <si>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</si>
  <si>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</si>
  <si>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</si>
  <si>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</si>
  <si>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</si>
  <si>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</si>
  <si>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</si>
  <si>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</si>
  <si>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</si>
  <si>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</si>
  <si>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</si>
  <si>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</si>
  <si>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</si>
  <si>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</si>
  <si>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</si>
  <si>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</si>
  <si>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</si>
  <si>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</si>
  <si>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</si>
  <si>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</si>
  <si>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</si>
  <si>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</si>
  <si>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</si>
  <si>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</si>
  <si>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</si>
  <si>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</si>
  <si>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</si>
  <si>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</si>
  <si>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</si>
  <si>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</si>
  <si>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</si>
  <si>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</si>
  <si>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</si>
  <si>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</si>
  <si>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</si>
  <si>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</si>
  <si>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</si>
  <si>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</si>
  <si>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</si>
  <si>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</si>
  <si>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</si>
  <si>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</si>
  <si>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</si>
  <si>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</si>
  <si>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</si>
  <si>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</si>
  <si>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</si>
  <si>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</si>
  <si>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</si>
  <si>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</si>
  <si>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</si>
  <si>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</si>
  <si>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</si>
  <si>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</si>
  <si>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</si>
  <si>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</si>
  <si>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</si>
  <si>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</si>
  <si>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</si>
  <si>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</si>
  <si>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</si>
  <si>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</si>
  <si>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</si>
  <si>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</si>
  <si>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</si>
  <si>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</si>
  <si>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</si>
  <si>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</si>
  <si>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</si>
  <si>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</si>
  <si>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</si>
  <si>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</si>
  <si>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</si>
  <si>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</si>
  <si>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</si>
  <si>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</si>
  <si>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</si>
  <si>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</si>
  <si>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</si>
  <si>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</si>
  <si>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</si>
  <si>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</si>
  <si>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</si>
  <si>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</si>
  <si>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</si>
  <si>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</si>
  <si>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</si>
  <si>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</si>
  <si>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</si>
  <si>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</si>
  <si>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</si>
  <si>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</si>
  <si>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</si>
  <si>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</si>
  <si>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</si>
  <si>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</si>
  <si>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</si>
  <si>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</si>
  <si>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</si>
  <si>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</si>
  <si>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</si>
  <si>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</si>
  <si>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</si>
  <si>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</si>
  <si>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</si>
  <si>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</si>
  <si>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</si>
  <si>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</si>
  <si>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</si>
  <si>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</si>
  <si>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</si>
  <si>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</si>
  <si>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</si>
  <si>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</si>
  <si>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</si>
  <si>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</si>
  <si>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</si>
  <si>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</si>
  <si>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</si>
  <si>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</si>
  <si>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</si>
  <si>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</si>
  <si>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</si>
  <si>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</si>
  <si>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</si>
  <si>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</si>
  <si>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</si>
  <si>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</si>
  <si>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</si>
  <si>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</si>
  <si>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</si>
  <si>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</si>
  <si>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</si>
  <si>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</si>
  <si>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</si>
  <si>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</si>
  <si>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</si>
  <si>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</si>
  <si>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</si>
  <si>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</si>
  <si>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</si>
  <si>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</si>
  <si>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</si>
  <si>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</si>
  <si>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</si>
  <si>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</si>
  <si>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</si>
  <si>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</si>
  <si>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</si>
  <si>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</si>
  <si>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</si>
  <si>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</si>
  <si>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</si>
  <si>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</si>
  <si>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</si>
  <si>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</si>
  <si>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</si>
  <si>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</si>
  <si>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</si>
  <si>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</si>
  <si>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</si>
  <si>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</si>
  <si>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</si>
  <si>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</si>
  <si>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</si>
  <si>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</si>
  <si>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</si>
  <si>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</si>
  <si>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</si>
  <si>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</si>
  <si>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</si>
  <si>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</si>
  <si>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</si>
  <si>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</si>
  <si>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</si>
  <si>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</si>
  <si>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</si>
  <si>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</si>
  <si>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</si>
  <si>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</si>
  <si>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</si>
  <si>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</si>
  <si>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</si>
  <si>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</si>
  <si>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</si>
  <si>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</si>
  <si>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</si>
  <si>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</si>
  <si>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</si>
  <si>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</si>
  <si>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</si>
  <si>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</si>
  <si>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</si>
  <si>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</si>
  <si>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</si>
  <si>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</si>
  <si>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</si>
  <si>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</si>
  <si>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</si>
  <si>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</si>
  <si>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</si>
  <si>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</si>
  <si>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</si>
  <si>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</si>
  <si>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</si>
  <si>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</si>
  <si>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</si>
  <si>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</si>
  <si>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</si>
  <si>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</si>
  <si>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</si>
  <si>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</si>
  <si>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</si>
  <si>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</si>
  <si>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</si>
  <si>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</si>
  <si>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</si>
  <si>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</si>
  <si>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</si>
  <si>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</si>
  <si>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</si>
  <si>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</si>
  <si>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</si>
  <si>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</si>
  <si>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</si>
  <si>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</si>
  <si>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</si>
  <si>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</si>
  <si>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</si>
  <si>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</si>
  <si>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</si>
  <si>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</si>
  <si>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</si>
  <si>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</si>
  <si>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</si>
  <si>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</si>
  <si>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</si>
  <si>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</si>
  <si>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</si>
  <si>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</si>
  <si>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</si>
  <si>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</si>
  <si>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</si>
  <si>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</si>
  <si>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</si>
  <si>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</si>
  <si>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</si>
  <si>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</si>
  <si>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</si>
  <si>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</si>
  <si>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</si>
  <si>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</si>
  <si>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</si>
  <si>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</si>
  <si>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</si>
  <si>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</si>
  <si>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</si>
  <si>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</si>
  <si>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</si>
  <si>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</si>
  <si>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</si>
  <si>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</si>
  <si>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</si>
  <si>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</si>
  <si>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</si>
  <si>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</si>
  <si>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</si>
  <si>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</si>
  <si>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</si>
  <si>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</si>
  <si>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</si>
  <si>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</si>
  <si>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</si>
  <si>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</si>
  <si>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</si>
  <si>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</si>
  <si>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</si>
  <si>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</si>
  <si>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</si>
  <si>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</si>
  <si>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</si>
  <si>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</si>
  <si>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</si>
  <si>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</si>
  <si>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</si>
  <si>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</si>
  <si>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</si>
  <si>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</si>
  <si>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</si>
  <si>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</si>
  <si>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</si>
  <si>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</si>
  <si>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</si>
  <si>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</si>
  <si>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</si>
  <si>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</si>
  <si>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</si>
  <si>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</si>
  <si>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</si>
  <si>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</si>
  <si>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</si>
  <si>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</si>
  <si>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</si>
  <si>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</si>
  <si>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</si>
  <si>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</si>
  <si>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</si>
  <si>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</si>
  <si>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</si>
  <si>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</si>
  <si>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</si>
  <si>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</si>
  <si>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</si>
  <si>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</si>
  <si>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</si>
  <si>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</si>
  <si>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</si>
  <si>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</si>
  <si>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</si>
  <si>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</si>
  <si>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</si>
  <si>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</si>
  <si>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</si>
  <si>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</si>
  <si>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</si>
  <si>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</si>
  <si>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</si>
  <si>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</si>
  <si>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</si>
  <si>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</si>
  <si>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</si>
  <si>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</si>
  <si>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</si>
  <si>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</si>
  <si>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</si>
  <si>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</si>
  <si>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</si>
  <si>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</si>
  <si>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</si>
  <si>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</si>
  <si>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</si>
  <si>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</si>
  <si>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</si>
  <si>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</si>
  <si>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</si>
  <si>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</si>
  <si>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</si>
  <si>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</si>
  <si>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</si>
  <si>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</si>
  <si>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</si>
  <si>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</si>
  <si>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</si>
  <si>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</si>
  <si>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</si>
  <si>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</si>
  <si>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</si>
  <si>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</si>
  <si>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</si>
  <si>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</si>
  <si>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</si>
  <si>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</si>
  <si>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</si>
  <si>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</si>
  <si>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</si>
  <si>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</si>
  <si>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</si>
  <si>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</si>
  <si>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</si>
  <si>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</si>
  <si>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</si>
  <si>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</si>
  <si>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</si>
  <si>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</si>
  <si>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</si>
  <si>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</si>
  <si>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</si>
  <si>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</si>
  <si>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</si>
  <si>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</si>
  <si>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</si>
  <si>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</si>
  <si>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</si>
  <si>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</si>
  <si>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</si>
  <si>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</si>
  <si>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</si>
  <si>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</si>
  <si>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</si>
  <si>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</si>
  <si>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</si>
  <si>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</si>
  <si>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</si>
  <si>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</si>
  <si>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</si>
  <si>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</si>
  <si>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</si>
  <si>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</si>
  <si>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</si>
  <si>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</si>
  <si>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</si>
  <si>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</si>
  <si>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</si>
  <si>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</si>
  <si>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</si>
  <si>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</si>
  <si>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</si>
  <si>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</si>
  <si>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</si>
  <si>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</si>
  <si>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</si>
  <si>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</si>
  <si>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</si>
  <si>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</si>
  <si>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</si>
  <si>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</si>
  <si>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</si>
  <si>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</si>
  <si>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</si>
  <si>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</si>
  <si>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</si>
  <si>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</si>
  <si>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</si>
  <si>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</si>
  <si>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</si>
  <si>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</si>
  <si>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</si>
  <si>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</si>
  <si>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</si>
  <si>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</si>
  <si>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</si>
  <si>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</si>
  <si>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</si>
  <si>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</si>
  <si>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</si>
  <si>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</si>
  <si>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</si>
  <si>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</si>
  <si>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</si>
  <si>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</si>
  <si>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</si>
  <si>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</si>
  <si>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</si>
  <si>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</si>
  <si>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</si>
  <si>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</si>
  <si>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</si>
  <si>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</si>
  <si>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</si>
  <si>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</si>
  <si>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</si>
  <si>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</si>
  <si>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</si>
  <si>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</si>
  <si>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</si>
  <si>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</si>
  <si>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</si>
  <si>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</si>
  <si>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</si>
  <si>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</si>
  <si>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</si>
  <si>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</si>
  <si>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</si>
  <si>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</si>
  <si>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</si>
  <si>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</si>
  <si>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</si>
  <si>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</si>
  <si>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</si>
  <si>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</si>
  <si>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</si>
  <si>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</si>
  <si>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</si>
  <si>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</si>
  <si>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</si>
  <si>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</si>
  <si>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</si>
  <si>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</si>
  <si>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</si>
  <si>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</si>
  <si>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</si>
  <si>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</si>
  <si>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</si>
  <si>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</si>
  <si>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</si>
  <si>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</si>
  <si>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</si>
  <si>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</si>
  <si>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</si>
  <si>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</si>
  <si>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</si>
  <si>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</si>
  <si>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</si>
  <si>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</si>
  <si>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</si>
  <si>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</si>
  <si>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</si>
  <si>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</si>
  <si>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</si>
  <si>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</si>
  <si>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</si>
  <si>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</si>
  <si>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</si>
  <si>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</si>
  <si>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</si>
  <si>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</si>
  <si>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</si>
  <si>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</si>
  <si>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</si>
  <si>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</si>
  <si>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</si>
  <si>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</si>
  <si>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</si>
  <si>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</si>
  <si>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</si>
  <si>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</si>
  <si>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</si>
  <si>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</si>
  <si>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</si>
  <si>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</si>
  <si>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</si>
  <si>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</si>
  <si>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</si>
  <si>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</si>
  <si>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</si>
  <si>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</si>
  <si>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</si>
  <si>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</si>
  <si>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</si>
  <si>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</si>
  <si>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</si>
  <si>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</si>
  <si>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</si>
  <si>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</si>
  <si>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</si>
  <si>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</si>
  <si>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</si>
  <si>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</si>
  <si>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</si>
  <si>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</si>
  <si>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</si>
  <si>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</si>
  <si>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</si>
  <si>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</si>
  <si>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</si>
  <si>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</si>
  <si>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</si>
  <si>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</si>
  <si>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</si>
  <si>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</si>
  <si>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</si>
  <si>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</si>
  <si>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</si>
  <si>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</si>
  <si>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</si>
  <si>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</si>
  <si>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</si>
  <si>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</si>
  <si>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</si>
  <si>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</si>
  <si>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</si>
  <si>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</si>
  <si>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</si>
  <si>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</si>
  <si>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</si>
  <si>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</si>
  <si>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</si>
  <si>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</si>
  <si>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</si>
  <si>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</si>
  <si>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</si>
  <si>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</si>
  <si>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</si>
  <si>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</si>
  <si>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</si>
  <si>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</si>
  <si>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</si>
  <si>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</si>
  <si>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</si>
  <si>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</si>
  <si>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</si>
  <si>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</si>
  <si>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</si>
  <si>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</si>
  <si>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</si>
  <si>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</si>
  <si>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</si>
  <si>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</si>
  <si>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</si>
  <si>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</si>
  <si>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</si>
  <si>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</si>
  <si>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</si>
  <si>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</si>
  <si>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</si>
  <si>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</si>
  <si>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</si>
  <si>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</si>
  <si>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</si>
  <si>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</si>
  <si>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</si>
  <si>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</si>
  <si>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</si>
  <si>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</si>
  <si>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</si>
  <si>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</si>
  <si>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</si>
  <si>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</si>
  <si>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</si>
  <si>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</si>
  <si>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</si>
  <si>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</si>
  <si>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</si>
  <si>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</si>
  <si>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</si>
  <si>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</si>
  <si>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</si>
  <si>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</si>
  <si>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</si>
  <si>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</si>
  <si>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</si>
  <si>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</si>
  <si>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</si>
  <si>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</si>
  <si>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</si>
  <si>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</si>
  <si>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</si>
  <si>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</si>
  <si>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</si>
  <si>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</si>
  <si>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</si>
  <si>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</si>
  <si>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</si>
  <si>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</si>
  <si>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</si>
  <si>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</si>
  <si>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</si>
  <si>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</si>
  <si>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</si>
  <si>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</si>
  <si>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</si>
  <si>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</si>
  <si>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</si>
  <si>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</si>
  <si>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</si>
  <si>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</si>
  <si>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</si>
  <si>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</si>
  <si>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</si>
  <si>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</si>
  <si>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</si>
  <si>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</si>
  <si>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</si>
  <si>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</si>
  <si>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</si>
  <si>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</si>
  <si>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</si>
  <si>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</si>
  <si>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</si>
  <si>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</si>
  <si>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</si>
  <si>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</si>
  <si>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</si>
  <si>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</si>
  <si>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</si>
  <si>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</si>
  <si>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</si>
  <si>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</si>
  <si>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</si>
  <si>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</si>
  <si>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</si>
  <si>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</si>
  <si>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</si>
  <si>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</si>
  <si>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</si>
  <si>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</si>
  <si>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</si>
  <si>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</si>
  <si>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</si>
  <si>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</si>
  <si>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</si>
  <si>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</si>
  <si>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</si>
  <si>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</si>
  <si>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</si>
  <si>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</si>
  <si>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</si>
  <si>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</si>
  <si>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</si>
  <si>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</si>
  <si>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</si>
  <si>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</si>
  <si>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</si>
  <si>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</si>
  <si>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</si>
  <si>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</si>
  <si>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</si>
  <si>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</si>
  <si>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</si>
  <si>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</si>
  <si>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</si>
  <si>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</si>
  <si>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</si>
  <si>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</si>
  <si>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</si>
  <si>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</si>
  <si>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</si>
  <si>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</si>
  <si>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</si>
  <si>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</si>
  <si>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</si>
  <si>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</si>
  <si>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</si>
  <si>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</si>
  <si>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</si>
  <si>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</si>
  <si>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</si>
  <si>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</si>
  <si>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</si>
  <si>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</si>
  <si>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</si>
  <si>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</si>
  <si>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</si>
  <si>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</si>
  <si>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</si>
  <si>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</si>
  <si>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</si>
  <si>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</si>
  <si>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</si>
  <si>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</si>
  <si>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</si>
  <si>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</si>
  <si>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</si>
  <si>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</si>
  <si>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</si>
  <si>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</si>
  <si>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</si>
  <si>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</si>
  <si>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</si>
  <si>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</si>
  <si>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</si>
  <si>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</si>
  <si>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</si>
  <si>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</si>
  <si>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</si>
  <si>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</si>
  <si>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</si>
  <si>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</si>
  <si>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</si>
  <si>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</si>
  <si>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</si>
  <si>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</si>
  <si>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</si>
  <si>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</si>
  <si>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</si>
  <si>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</si>
  <si>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</si>
  <si>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</si>
  <si>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</si>
  <si>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</si>
  <si>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</si>
  <si>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</si>
  <si>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</si>
  <si>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</si>
  <si>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</si>
  <si>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</si>
  <si>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</si>
  <si>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</si>
  <si>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</si>
  <si>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</si>
  <si>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</si>
  <si>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</si>
  <si>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</si>
  <si>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</si>
  <si>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</si>
  <si>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</si>
  <si>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</si>
  <si>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</si>
  <si>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</si>
  <si>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</si>
  <si>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</si>
  <si>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</si>
  <si>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</si>
  <si>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</si>
  <si>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</si>
  <si>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</si>
  <si>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</si>
  <si>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</si>
  <si>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</si>
  <si>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</si>
  <si>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</si>
  <si>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</si>
  <si>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</si>
  <si>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</si>
  <si>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</si>
  <si>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</si>
  <si>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</si>
  <si>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</si>
  <si>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</si>
  <si>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</si>
  <si>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</si>
  <si>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</si>
  <si>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</si>
  <si>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</si>
  <si>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</si>
  <si>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</si>
  <si>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</si>
  <si>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</si>
  <si>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</si>
  <si>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</si>
  <si>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</si>
  <si>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</si>
  <si>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</si>
  <si>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</si>
  <si>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</si>
  <si>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</si>
  <si>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</si>
  <si>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</si>
  <si>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</si>
  <si>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</si>
  <si>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</si>
  <si>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</si>
  <si>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</si>
  <si>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</si>
  <si>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</si>
  <si>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</si>
  <si>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</si>
  <si>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</si>
  <si>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</si>
  <si>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</si>
  <si>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</si>
  <si>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</si>
  <si>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</si>
  <si>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</si>
  <si>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</si>
  <si>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</si>
  <si>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</si>
  <si>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</si>
  <si>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</si>
  <si>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</si>
  <si>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</si>
  <si>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</si>
  <si>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</si>
  <si>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</si>
  <si>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</si>
  <si>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</si>
  <si>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</si>
  <si>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</si>
  <si>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</si>
  <si>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</si>
  <si>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</si>
  <si>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</si>
  <si>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</si>
  <si>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</si>
  <si>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</si>
  <si>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</si>
  <si>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</si>
  <si>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</si>
  <si>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</si>
  <si>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</si>
  <si>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</si>
  <si>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</si>
  <si>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</si>
  <si>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</si>
  <si>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</si>
  <si>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</si>
  <si>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</si>
  <si>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</si>
  <si>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</si>
  <si>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</si>
  <si>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</si>
  <si>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</si>
  <si>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</si>
  <si>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</si>
  <si>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</si>
  <si>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</si>
  <si>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</si>
  <si>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</si>
  <si>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</si>
  <si>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</si>
  <si>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</si>
  <si>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</si>
  <si>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</si>
  <si>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</si>
  <si>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</si>
  <si>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</si>
  <si>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</si>
  <si>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</si>
  <si>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</si>
  <si>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</si>
  <si>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</si>
  <si>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</si>
  <si>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</si>
  <si>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</si>
  <si>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</si>
  <si>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</si>
  <si>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</si>
  <si>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</si>
  <si>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</si>
  <si>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</si>
  <si>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</si>
  <si>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</si>
  <si>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</si>
  <si>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</si>
  <si>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</si>
  <si>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</si>
  <si>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</si>
  <si>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</si>
  <si>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</si>
  <si>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</si>
  <si>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</si>
  <si>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</si>
  <si>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</si>
  <si>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</si>
  <si>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</si>
  <si>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</si>
  <si>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</si>
  <si>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</si>
  <si>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</si>
  <si>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</si>
  <si>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</si>
  <si>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</si>
  <si>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</si>
  <si>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</si>
  <si>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</si>
  <si>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</si>
  <si>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</si>
  <si>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</si>
  <si>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</si>
  <si>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</si>
  <si>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</si>
  <si>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</si>
  <si>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</si>
  <si>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</si>
  <si>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</si>
  <si>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</si>
  <si>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</si>
  <si>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</si>
  <si>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</si>
  <si>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</si>
  <si>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</si>
  <si>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</si>
  <si>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</si>
  <si>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</si>
  <si>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</si>
  <si>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</si>
  <si>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</si>
  <si>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</si>
  <si>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</si>
  <si>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</si>
  <si>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</si>
  <si>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</si>
  <si>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</si>
  <si>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</si>
  <si>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</si>
  <si>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</si>
  <si>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</si>
  <si>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</si>
  <si>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</si>
  <si>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</si>
  <si>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</si>
  <si>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</si>
  <si>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</si>
  <si>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</si>
  <si>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</si>
  <si>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</si>
  <si>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</si>
  <si>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</si>
  <si>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</si>
  <si>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</si>
  <si>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</si>
  <si>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</si>
  <si>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</si>
  <si>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</si>
  <si>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</si>
  <si>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</si>
  <si>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</si>
  <si>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</si>
  <si>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</si>
  <si>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</si>
  <si>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</si>
  <si>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</si>
  <si>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</si>
  <si>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</si>
  <si>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</si>
  <si>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</si>
  <si>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</si>
  <si>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</si>
  <si>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</si>
  <si>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</si>
  <si>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</si>
  <si>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</si>
  <si>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</si>
  <si>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</si>
  <si>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</si>
  <si>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</si>
  <si>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</si>
  <si>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</si>
  <si>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</si>
  <si>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</si>
  <si>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</si>
  <si>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</si>
  <si>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</si>
  <si>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</si>
  <si>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</si>
  <si>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</si>
  <si>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</si>
  <si>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</si>
  <si>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</si>
  <si>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</si>
  <si>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</si>
  <si>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</si>
  <si>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</si>
  <si>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</si>
  <si>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</si>
  <si>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</si>
  <si>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</si>
  <si>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</si>
  <si>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</si>
  <si>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</si>
  <si>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</si>
  <si>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</si>
  <si>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</si>
  <si>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</si>
  <si>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</si>
  <si>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</si>
  <si>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</si>
  <si>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</si>
  <si>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</si>
  <si>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</si>
  <si>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</si>
  <si>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</si>
  <si>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</si>
  <si>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</si>
  <si>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</si>
  <si>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</si>
  <si>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</si>
  <si>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</si>
  <si>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</si>
  <si>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</si>
  <si>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</si>
  <si>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</si>
  <si>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</si>
  <si>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</si>
  <si>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</si>
  <si>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</si>
  <si>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</si>
  <si>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</si>
  <si>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</si>
  <si>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</si>
  <si>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</si>
  <si>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</si>
  <si>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</si>
  <si>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</si>
  <si>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</si>
  <si>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</si>
  <si>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</si>
  <si>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</si>
  <si>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</si>
  <si>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</si>
  <si>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</si>
  <si>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</si>
  <si>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</si>
  <si>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</si>
  <si>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</si>
  <si>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</si>
  <si>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</si>
  <si>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</si>
  <si>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</si>
  <si>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</si>
  <si>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</si>
  <si>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</si>
  <si>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</si>
  <si>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</si>
  <si>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</si>
  <si>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</si>
  <si>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</si>
  <si>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</si>
  <si>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</si>
  <si>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</si>
  <si>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</si>
  <si>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</si>
  <si>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</si>
  <si>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</si>
  <si>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</si>
  <si>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</si>
  <si>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</si>
  <si>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</si>
  <si>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</si>
  <si>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</si>
  <si>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</si>
  <si>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</si>
  <si>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</si>
  <si>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</si>
  <si>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</si>
  <si>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</si>
  <si>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</si>
  <si>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</si>
  <si>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</si>
  <si>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</si>
  <si>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</si>
  <si>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</si>
  <si>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</si>
  <si>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</si>
  <si>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</si>
  <si>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</si>
  <si>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</si>
  <si>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</si>
  <si>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</si>
  <si>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</si>
  <si>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</si>
  <si>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</si>
  <si>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</si>
  <si>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</si>
  <si>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</si>
  <si>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</si>
  <si>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</si>
  <si>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</si>
  <si>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</si>
  <si>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</si>
  <si>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</si>
  <si>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</si>
  <si>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</si>
  <si>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</si>
  <si>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</si>
  <si>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</si>
  <si>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</si>
  <si>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</si>
  <si>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</si>
  <si>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</si>
  <si>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</si>
  <si>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</si>
  <si>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</si>
  <si>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</si>
  <si>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</si>
  <si>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</si>
  <si>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</si>
  <si>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</si>
  <si>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</si>
  <si>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</si>
  <si>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</si>
  <si>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</si>
  <si>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</si>
  <si>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</si>
  <si>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</si>
  <si>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</si>
  <si>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</si>
  <si>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</si>
  <si>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</si>
  <si>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</si>
  <si>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</si>
  <si>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</si>
  <si>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</si>
  <si>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</si>
  <si>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</si>
  <si>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</si>
  <si>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</si>
  <si>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</si>
  <si>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</si>
  <si>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</si>
  <si>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</si>
  <si>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</si>
  <si>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</si>
  <si>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</si>
  <si>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</si>
  <si>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</si>
  <si>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</si>
  <si>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</si>
  <si>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</si>
  <si>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</si>
  <si>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</si>
  <si>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</si>
  <si>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</si>
  <si>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</si>
  <si>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</si>
  <si>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</si>
  <si>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</si>
  <si>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</si>
  <si>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</si>
  <si>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</si>
  <si>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</si>
  <si>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</si>
  <si>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</si>
  <si>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</si>
  <si>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</si>
  <si>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</si>
  <si>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</si>
  <si>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</si>
  <si>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</si>
  <si>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</si>
  <si>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</si>
  <si>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</si>
  <si>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</si>
  <si>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</si>
  <si>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</si>
  <si>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</si>
  <si>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</si>
  <si>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</si>
  <si>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</si>
  <si>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</si>
  <si>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</si>
  <si>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</si>
  <si>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</si>
  <si>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</si>
  <si>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</si>
  <si>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</si>
  <si>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</si>
  <si>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</si>
  <si>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</si>
  <si>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</si>
  <si>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</si>
  <si>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</si>
  <si>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</si>
  <si>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</si>
  <si>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</si>
  <si>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</si>
  <si>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</si>
  <si>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</si>
  <si>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</si>
  <si>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</si>
  <si>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</si>
  <si>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</si>
  <si>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</si>
  <si>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</si>
  <si>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</si>
  <si>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</si>
  <si>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</si>
  <si>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</si>
  <si>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</si>
  <si>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</si>
  <si>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</si>
  <si>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</si>
  <si>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</si>
  <si>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</si>
  <si>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</si>
  <si>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</si>
  <si>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</si>
  <si>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</si>
  <si>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</si>
  <si>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</si>
  <si>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</si>
  <si>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</si>
  <si>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</si>
  <si>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</si>
  <si>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</si>
  <si>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</si>
  <si>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</si>
  <si>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</si>
  <si>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</si>
  <si>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</si>
  <si>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</si>
  <si>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</si>
  <si>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</si>
  <si>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</si>
  <si>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</si>
  <si>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</si>
  <si>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</si>
  <si>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</si>
  <si>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</si>
  <si>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</si>
  <si>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</si>
  <si>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</si>
  <si>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</si>
  <si>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</si>
  <si>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</si>
  <si>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</si>
  <si>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</si>
  <si>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</si>
  <si>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</si>
  <si>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</si>
  <si>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</si>
  <si>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</si>
  <si>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</si>
  <si>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</si>
  <si>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</si>
  <si>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</si>
  <si>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</si>
  <si>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</si>
  <si>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</si>
  <si>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</si>
  <si>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</si>
  <si>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</si>
  <si>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</si>
  <si>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</si>
  <si>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</si>
  <si>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</si>
  <si>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</si>
  <si>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</si>
  <si>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</si>
  <si>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</si>
  <si>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</si>
  <si>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</si>
  <si>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</si>
  <si>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</si>
  <si>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</si>
  <si>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</si>
  <si>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</si>
  <si>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</si>
  <si>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</si>
  <si>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</si>
  <si>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</si>
  <si>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</si>
  <si>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</si>
  <si>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</si>
  <si>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</si>
  <si>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</si>
  <si>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</si>
  <si>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</si>
  <si>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</si>
  <si>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</si>
  <si>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</si>
  <si>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</si>
  <si>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</si>
  <si>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</si>
  <si>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</si>
  <si>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</si>
  <si>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</si>
  <si>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</si>
  <si>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</si>
  <si>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</si>
  <si>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</si>
  <si>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</si>
  <si>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</si>
  <si>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</si>
  <si>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</si>
  <si>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</si>
  <si>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</si>
  <si>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</si>
  <si>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</si>
  <si>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</si>
  <si>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</si>
  <si>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</si>
  <si>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</si>
  <si>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</si>
  <si>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</si>
  <si>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</si>
  <si>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</si>
  <si>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</si>
  <si>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</si>
  <si>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</si>
  <si>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</si>
  <si>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</si>
  <si>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</si>
  <si>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</si>
  <si>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</si>
  <si>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</si>
  <si>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</si>
  <si>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</si>
  <si>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</si>
  <si>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</si>
  <si>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</si>
  <si>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</si>
  <si>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</si>
  <si>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</si>
  <si>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</si>
  <si>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</si>
  <si>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</si>
  <si>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</si>
  <si>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</si>
  <si>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</si>
  <si>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</si>
  <si>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</si>
  <si>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</si>
  <si>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</si>
  <si>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</si>
  <si>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</si>
  <si>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</si>
  <si>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</si>
  <si>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</si>
  <si>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</si>
  <si>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</si>
  <si>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</si>
  <si>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</si>
  <si>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</si>
  <si>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</si>
  <si>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</si>
  <si>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</si>
  <si>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</si>
  <si>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</si>
  <si>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</si>
  <si>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</si>
  <si>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</si>
  <si>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</si>
  <si>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</si>
  <si>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</si>
  <si>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</si>
  <si>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</si>
  <si>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</si>
  <si>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</si>
  <si>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</si>
  <si>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</si>
  <si>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</si>
  <si>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</si>
  <si>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</si>
  <si>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</si>
  <si>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</si>
  <si>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</si>
  <si>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</si>
  <si>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</si>
  <si>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</si>
  <si>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</si>
  <si>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</si>
  <si>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</si>
  <si>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</si>
  <si>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</si>
  <si>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</si>
  <si>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</si>
  <si>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</si>
  <si>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</si>
  <si>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</si>
  <si>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</si>
  <si>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</si>
  <si>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</si>
  <si>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</si>
  <si>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</si>
  <si>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</si>
  <si>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</si>
  <si>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</si>
  <si>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</si>
  <si>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</si>
  <si>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</si>
  <si>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</si>
  <si>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</si>
  <si>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</si>
  <si>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</si>
  <si>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</si>
  <si>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</si>
  <si>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</si>
  <si>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</si>
  <si>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</si>
  <si>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</si>
  <si>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</si>
  <si>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</si>
  <si>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</si>
  <si>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</si>
  <si>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</si>
  <si>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</si>
  <si>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</si>
  <si>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</si>
  <si>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</si>
  <si>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</si>
  <si>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</si>
  <si>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</si>
  <si>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</si>
  <si>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</si>
  <si>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</si>
  <si>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</si>
  <si>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</si>
  <si>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</si>
  <si>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</si>
  <si>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</si>
  <si>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</si>
  <si>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</si>
  <si>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</si>
  <si>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</si>
  <si>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</si>
  <si>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</si>
  <si>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</si>
  <si>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</si>
  <si>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</si>
  <si>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</si>
  <si>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</si>
  <si>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</si>
  <si>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</si>
  <si>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</si>
  <si>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</si>
  <si>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</si>
  <si>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</si>
  <si>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</si>
  <si>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</si>
  <si>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</si>
  <si>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</si>
  <si>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</si>
  <si>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</si>
  <si>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</si>
  <si>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</si>
  <si>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</si>
  <si>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</si>
  <si>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</si>
  <si>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</si>
  <si>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</si>
  <si>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</si>
  <si>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</si>
  <si>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</si>
  <si>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</si>
  <si>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</si>
  <si>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</si>
  <si>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</si>
  <si>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</si>
  <si>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</si>
  <si>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</si>
  <si>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</si>
  <si>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</si>
  <si>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</si>
  <si>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</si>
  <si>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</si>
  <si>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</si>
  <si>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</si>
  <si>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</si>
  <si>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</si>
  <si>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</si>
  <si>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</si>
  <si>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</si>
  <si>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</si>
  <si>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</si>
  <si>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</si>
  <si>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</si>
  <si>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</si>
  <si>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</si>
  <si>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</si>
  <si>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</si>
  <si>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</si>
  <si>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</si>
  <si>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</si>
  <si>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</si>
  <si>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</si>
  <si>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</si>
  <si>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</si>
  <si>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</si>
  <si>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</si>
  <si>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</si>
  <si>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</si>
  <si>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</si>
  <si>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</si>
  <si>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</si>
  <si>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</si>
  <si>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</si>
  <si>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</si>
  <si>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</si>
  <si>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</si>
  <si>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</si>
  <si>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</si>
  <si>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</si>
  <si>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</si>
  <si>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</si>
  <si>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</si>
  <si>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</si>
  <si>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</si>
  <si>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</si>
  <si>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</si>
  <si>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</si>
  <si>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</si>
  <si>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</si>
  <si>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</si>
  <si>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</si>
  <si>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</si>
  <si>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</si>
  <si>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</si>
  <si>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</si>
  <si>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</si>
  <si>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</si>
  <si>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</si>
  <si>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</si>
  <si>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</si>
  <si>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</si>
  <si>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</si>
  <si>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</si>
  <si>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</si>
  <si>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</si>
  <si>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</si>
  <si>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</si>
  <si>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</si>
  <si>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</si>
  <si>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</si>
  <si>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</si>
  <si>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</si>
  <si>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</si>
  <si>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</si>
  <si>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</si>
  <si>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</si>
  <si>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</si>
  <si>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</si>
  <si>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</si>
  <si>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</si>
  <si>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</si>
  <si>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</si>
  <si>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</si>
  <si>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</si>
  <si>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</si>
  <si>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</si>
  <si>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</si>
  <si>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</si>
  <si>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</si>
  <si>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</si>
  <si>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</si>
  <si>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</si>
  <si>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</si>
  <si>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</si>
  <si>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</si>
  <si>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</si>
  <si>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</si>
  <si>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</si>
  <si>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</si>
  <si>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</si>
  <si>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</si>
  <si>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</si>
  <si>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</si>
  <si>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</si>
  <si>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</si>
  <si>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</si>
  <si>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</si>
  <si>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</si>
  <si>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</si>
  <si>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</si>
  <si>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</si>
  <si>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</si>
  <si>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</si>
  <si>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</si>
  <si>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</si>
  <si>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</si>
  <si>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</si>
  <si>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</si>
  <si>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</si>
  <si>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</si>
  <si>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</si>
  <si>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</si>
  <si>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</si>
  <si>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</si>
  <si>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</si>
  <si>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</si>
  <si>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</si>
  <si>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</si>
  <si>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</si>
  <si>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</si>
  <si>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</si>
  <si>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</si>
  <si>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</si>
  <si>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</si>
  <si>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</si>
  <si>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</si>
  <si>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</si>
  <si>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</si>
  <si>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</si>
  <si>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</si>
  <si>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</si>
  <si>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</si>
  <si>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</si>
  <si>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</si>
  <si>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</si>
  <si>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</si>
  <si>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</si>
  <si>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</si>
  <si>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</si>
  <si>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</si>
  <si>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</si>
  <si>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</si>
  <si>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</si>
  <si>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</si>
  <si>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</si>
  <si>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</si>
  <si>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</si>
  <si>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</si>
  <si>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</si>
  <si>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</si>
  <si>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</si>
  <si>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</si>
  <si>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</si>
  <si>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</si>
  <si>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</si>
  <si>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</si>
  <si>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</si>
  <si>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</si>
  <si>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</si>
  <si>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</si>
  <si>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</si>
  <si>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</si>
  <si>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</si>
  <si>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</si>
  <si>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</si>
  <si>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</si>
  <si>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</si>
  <si>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</si>
  <si>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</si>
  <si>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</si>
  <si>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</si>
  <si>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</si>
  <si>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</si>
  <si>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</si>
  <si>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</si>
  <si>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</si>
  <si>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</si>
  <si>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</si>
  <si>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</si>
  <si>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</si>
  <si>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</si>
  <si>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</si>
  <si>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</si>
  <si>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</si>
  <si>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</si>
  <si>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</si>
  <si>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</si>
  <si>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</si>
  <si>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</si>
  <si>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</si>
  <si>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</si>
  <si>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</si>
  <si>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</si>
  <si>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</si>
  <si>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</si>
  <si>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</si>
  <si>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</si>
  <si>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</si>
  <si>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</si>
  <si>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</si>
  <si>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</si>
  <si>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</si>
  <si>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</si>
  <si>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</si>
  <si>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</si>
  <si>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</si>
  <si>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</si>
  <si>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</si>
  <si>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</si>
  <si>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</si>
  <si>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</si>
  <si>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</si>
  <si>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</si>
  <si>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</si>
  <si>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</si>
  <si>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</si>
  <si>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</si>
  <si>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</si>
  <si>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</si>
  <si>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</si>
  <si>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</si>
  <si>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</si>
  <si>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</si>
  <si>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</si>
  <si>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</si>
  <si>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</si>
  <si>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</si>
  <si>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</si>
  <si>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</si>
  <si>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</si>
  <si>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</si>
  <si>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</si>
  <si>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</si>
  <si>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</si>
  <si>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</si>
  <si>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</si>
  <si>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</si>
  <si>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</si>
  <si>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</si>
  <si>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</si>
  <si>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</si>
  <si>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</si>
  <si>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</si>
  <si>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</si>
  <si>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</si>
  <si>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</si>
  <si>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</si>
  <si>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</si>
  <si>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</si>
  <si>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</si>
  <si>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</si>
  <si>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</si>
  <si>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</si>
  <si>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</si>
  <si>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</si>
  <si>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</si>
  <si>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</si>
  <si>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</si>
  <si>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</si>
  <si>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</si>
  <si>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</si>
  <si>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</si>
  <si>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</si>
  <si>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</si>
  <si>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</si>
  <si>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</si>
  <si>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</si>
  <si>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</si>
  <si>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</si>
  <si>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</si>
  <si>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</si>
  <si>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</si>
  <si>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</si>
  <si>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</si>
  <si>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</si>
  <si>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</si>
  <si>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</si>
  <si>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</si>
  <si>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</si>
  <si>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</si>
  <si>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</si>
  <si>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</si>
  <si>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</si>
  <si>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</si>
  <si>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</si>
  <si>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</si>
  <si>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</si>
  <si>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</si>
  <si>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</si>
  <si>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</si>
  <si>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</si>
  <si>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</si>
  <si>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</si>
  <si>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</si>
  <si>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</si>
  <si>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</si>
  <si>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</si>
  <si>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</si>
  <si>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</si>
  <si>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</si>
  <si>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</si>
  <si>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</si>
  <si>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</si>
  <si>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</si>
  <si>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</si>
  <si>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</si>
  <si>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</si>
  <si>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</si>
  <si>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</si>
  <si>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</si>
  <si>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</si>
  <si>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</si>
  <si>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</si>
  <si>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</si>
  <si>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</si>
  <si>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</si>
  <si>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</si>
  <si>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</si>
  <si>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</si>
  <si>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</si>
  <si>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</si>
  <si>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</si>
  <si>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</si>
  <si>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</si>
  <si>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</si>
  <si>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</si>
  <si>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</si>
  <si>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</si>
  <si>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</si>
  <si>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</si>
  <si>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</si>
  <si>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</si>
  <si>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</si>
  <si>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</si>
  <si>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</si>
  <si>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</si>
  <si>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</si>
  <si>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</si>
  <si>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</si>
  <si>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</si>
  <si>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</si>
  <si>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</si>
  <si>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</si>
  <si>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</si>
  <si>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</si>
  <si>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</si>
  <si>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</si>
  <si>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</si>
  <si>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</si>
  <si>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</si>
  <si>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</si>
  <si>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</si>
  <si>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</si>
  <si>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</si>
  <si>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</si>
  <si>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</si>
  <si>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</si>
  <si>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</si>
  <si>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</si>
  <si>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</si>
  <si>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</si>
  <si>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</si>
  <si>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</si>
  <si>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</si>
  <si>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</si>
  <si>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</si>
  <si>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</si>
  <si>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</si>
  <si>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</si>
  <si>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</si>
  <si>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</si>
  <si>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</si>
  <si>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</si>
  <si>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</si>
  <si>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</si>
  <si>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</si>
  <si>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</si>
  <si>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</si>
  <si>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</si>
  <si>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</si>
  <si>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</si>
  <si>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</si>
  <si>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</si>
  <si>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</si>
  <si>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</si>
  <si>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</si>
  <si>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</si>
  <si>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</si>
  <si>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</si>
  <si>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</si>
  <si>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</si>
  <si>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</si>
  <si>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</si>
  <si>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</si>
  <si>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</si>
  <si>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</si>
  <si>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</si>
  <si>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</si>
  <si>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</si>
  <si>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</si>
  <si>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</si>
  <si>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</si>
  <si>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</si>
  <si>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</si>
  <si>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</si>
  <si>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</si>
  <si>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</si>
  <si>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</si>
  <si>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</si>
  <si>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</si>
  <si>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</si>
  <si>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</si>
  <si>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</si>
  <si>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</si>
  <si>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</si>
  <si>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</si>
  <si>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</si>
  <si>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</si>
  <si>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</si>
  <si>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</si>
  <si>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</si>
  <si>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</si>
  <si>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</si>
  <si>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</si>
  <si>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</si>
  <si>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</si>
  <si>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</si>
  <si>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</si>
  <si>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</si>
  <si>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</si>
  <si>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</si>
  <si>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</si>
  <si>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</si>
  <si>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</si>
  <si>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</si>
  <si>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</si>
  <si>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</si>
  <si>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</si>
  <si>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</si>
  <si>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</si>
  <si>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</si>
  <si>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</si>
  <si>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</si>
  <si>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</si>
  <si>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</si>
  <si>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</si>
  <si>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</si>
  <si>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</si>
  <si>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</si>
  <si>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</si>
  <si>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</si>
  <si>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</si>
  <si>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</si>
  <si>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</si>
  <si>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</si>
  <si>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</si>
  <si>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</si>
  <si>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</si>
  <si>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</si>
  <si>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</si>
  <si>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</si>
  <si>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</si>
  <si>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</si>
  <si>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</si>
  <si>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</si>
  <si>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</si>
  <si>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</si>
  <si>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</si>
  <si>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</si>
  <si>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</si>
  <si>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</si>
  <si>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</si>
  <si>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</si>
  <si>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</si>
  <si>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</si>
  <si>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</si>
  <si>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</si>
  <si>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</si>
  <si>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</si>
  <si>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</si>
  <si>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</si>
  <si>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</si>
  <si>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</si>
  <si>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</si>
  <si>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</si>
  <si>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</si>
  <si>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</si>
  <si>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</si>
  <si>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</si>
  <si>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</si>
  <si>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</si>
  <si>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</si>
  <si>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</si>
  <si>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</si>
  <si>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</si>
  <si>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</si>
  <si>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</si>
  <si>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</si>
  <si>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</si>
  <si>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</si>
  <si>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</si>
  <si>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</si>
  <si>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</si>
  <si>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</si>
  <si>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</si>
  <si>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</si>
  <si>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</si>
  <si>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</si>
  <si>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</si>
  <si>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</si>
  <si>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</si>
  <si>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</si>
  <si>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</si>
  <si>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</si>
  <si>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</si>
  <si>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</si>
  <si>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</si>
  <si>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</si>
  <si>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</si>
  <si>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</si>
  <si>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</si>
  <si>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</si>
  <si>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</si>
  <si>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</si>
  <si>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</si>
  <si>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</si>
  <si>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</si>
  <si>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</si>
  <si>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</si>
  <si>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</si>
  <si>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</si>
  <si>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</si>
  <si>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</si>
  <si>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</si>
  <si>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</si>
  <si>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</si>
  <si>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</si>
  <si>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</si>
  <si>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</si>
  <si>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</si>
  <si>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</si>
  <si>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</si>
  <si>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</si>
  <si>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</si>
  <si>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</si>
  <si>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</si>
  <si>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</si>
  <si>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</si>
  <si>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</si>
  <si>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</si>
  <si>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</si>
  <si>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</si>
  <si>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</si>
  <si>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</si>
  <si>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</si>
  <si>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</si>
  <si>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</si>
  <si>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</si>
  <si>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</si>
  <si>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</si>
  <si>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</si>
  <si>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</si>
  <si>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</si>
  <si>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</si>
  <si>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</si>
  <si>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</si>
  <si>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</si>
  <si>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</si>
  <si>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</si>
  <si>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</si>
  <si>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</si>
  <si>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</si>
  <si>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</si>
  <si>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</si>
  <si>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</si>
  <si>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</si>
  <si>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</si>
  <si>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</si>
  <si>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</si>
  <si>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</si>
  <si>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</si>
  <si>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</si>
  <si>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</si>
  <si>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</si>
  <si>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</si>
  <si>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</si>
  <si>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</si>
  <si>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</si>
  <si>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</si>
  <si>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</si>
  <si>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</si>
  <si>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</si>
  <si>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</si>
  <si>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</si>
  <si>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</si>
  <si>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</si>
  <si>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</si>
  <si>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</si>
  <si>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</si>
  <si>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</si>
  <si>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</si>
  <si>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</si>
  <si>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</si>
  <si>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</si>
  <si>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</si>
  <si>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</si>
  <si>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</si>
  <si>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</si>
  <si>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</si>
  <si>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</si>
  <si>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</si>
  <si>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</si>
  <si>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</si>
  <si>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</si>
  <si>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</si>
  <si>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</si>
  <si>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</si>
  <si>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</si>
  <si>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</si>
  <si>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</si>
  <si>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</si>
  <si>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</si>
  <si>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</si>
  <si>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</si>
  <si>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</si>
  <si>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</si>
  <si>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</si>
  <si>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</si>
  <si>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</si>
  <si>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</si>
  <si>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</si>
  <si>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</si>
  <si>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</si>
  <si>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</si>
  <si>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</si>
  <si>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</si>
  <si>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</si>
  <si>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</si>
  <si>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</si>
  <si>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</si>
  <si>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</si>
  <si>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</si>
  <si>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</si>
  <si>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</si>
  <si>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</si>
  <si>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</si>
  <si>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</si>
  <si>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</si>
  <si>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</si>
  <si>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</si>
  <si>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</si>
  <si>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</si>
  <si>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</si>
  <si>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</si>
  <si>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</si>
  <si>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</si>
  <si>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</si>
  <si>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</si>
  <si>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</si>
  <si>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</si>
  <si>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</si>
  <si>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</si>
  <si>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</si>
  <si>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</si>
  <si>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</si>
  <si>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</si>
  <si>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</si>
  <si>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</si>
  <si>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</si>
  <si>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</si>
  <si>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</si>
  <si>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</si>
  <si>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</si>
  <si>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</si>
  <si>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</si>
  <si>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</si>
  <si>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</si>
  <si>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</si>
  <si>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</si>
  <si>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</si>
  <si>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</si>
  <si>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</si>
  <si>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</si>
  <si>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</si>
  <si>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</si>
  <si>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</si>
  <si>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</si>
  <si>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</si>
  <si>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</si>
  <si>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</si>
  <si>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</si>
  <si>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</si>
  <si>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</si>
  <si>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</si>
  <si>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</si>
  <si>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</si>
  <si>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</si>
  <si>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</si>
  <si>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</si>
  <si>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</si>
  <si>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</si>
  <si>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</si>
  <si>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</si>
  <si>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</si>
  <si>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</si>
  <si>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</si>
  <si>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</si>
  <si>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</si>
  <si>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</si>
  <si>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</si>
  <si>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</si>
  <si>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</si>
  <si>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</si>
  <si>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</si>
  <si>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</si>
  <si>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</si>
  <si>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</si>
  <si>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</si>
  <si>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</si>
  <si>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</si>
  <si>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</si>
  <si>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</si>
  <si>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</si>
  <si>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</si>
  <si>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</si>
  <si>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</si>
  <si>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</si>
  <si>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</si>
  <si>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</si>
  <si>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</si>
  <si>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</si>
  <si>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</si>
  <si>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</si>
  <si>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</si>
  <si>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</si>
  <si>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</si>
  <si>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</si>
  <si>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</si>
  <si>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</si>
  <si>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</si>
  <si>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</si>
  <si>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</si>
  <si>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</si>
  <si>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</si>
  <si>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</si>
  <si>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</si>
  <si>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</si>
  <si>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</si>
  <si>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</si>
  <si>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</si>
  <si>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</si>
  <si>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</si>
  <si>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</si>
  <si>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</si>
  <si>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</si>
  <si>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</si>
  <si>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</si>
  <si>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</si>
  <si>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</si>
  <si>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</si>
  <si>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</si>
  <si>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</si>
  <si>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</si>
  <si>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</si>
  <si>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</si>
  <si>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</si>
  <si>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</si>
  <si>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</si>
  <si>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</si>
  <si>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</si>
  <si>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</si>
  <si>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</si>
  <si>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</si>
  <si>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</si>
  <si>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</si>
  <si>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</si>
  <si>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</si>
  <si>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</si>
  <si>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</si>
  <si>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</si>
  <si>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</si>
  <si>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</si>
  <si>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</si>
  <si>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</si>
  <si>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</si>
  <si>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</si>
  <si>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</si>
  <si>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</si>
  <si>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</si>
  <si>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</si>
  <si>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</si>
  <si>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</si>
  <si>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</si>
  <si>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</si>
  <si>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</si>
  <si>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</si>
  <si>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</si>
  <si>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</si>
  <si>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</si>
  <si>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</si>
  <si>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</si>
  <si>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</si>
  <si>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</si>
  <si>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</si>
  <si>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</si>
  <si>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</si>
  <si>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</si>
  <si>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</si>
  <si>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</si>
  <si>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</si>
  <si>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</si>
  <si>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</si>
  <si>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</si>
  <si>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</si>
  <si>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</si>
  <si>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</si>
  <si>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</si>
  <si>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</si>
  <si>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</si>
  <si>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</si>
  <si>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</si>
  <si>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</si>
  <si>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</si>
  <si>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</si>
  <si>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</si>
  <si>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</si>
  <si>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</si>
  <si>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</si>
  <si>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</si>
  <si>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</si>
  <si>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</si>
  <si>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</si>
  <si>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</si>
  <si>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</si>
  <si>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</si>
  <si>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</si>
  <si>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</si>
  <si>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</si>
  <si>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</si>
  <si>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</si>
  <si>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</si>
  <si>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</si>
  <si>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</si>
  <si>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</si>
  <si>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</si>
  <si>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</si>
  <si>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</si>
  <si>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</si>
  <si>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</si>
  <si>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</si>
  <si>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</si>
  <si>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</si>
  <si>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</si>
  <si>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</si>
  <si>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</si>
  <si>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</si>
  <si>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</si>
  <si>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</si>
  <si>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</si>
  <si>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</si>
  <si>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</si>
  <si>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</si>
  <si>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</si>
  <si>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</si>
  <si>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</si>
  <si>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</si>
  <si>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</si>
  <si>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</si>
  <si>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</si>
  <si>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</si>
  <si>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</si>
  <si>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</si>
  <si>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</si>
  <si>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</si>
  <si>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</si>
  <si>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</si>
  <si>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</si>
  <si>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</si>
  <si>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</si>
  <si>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</si>
  <si>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</si>
  <si>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</si>
  <si>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</si>
  <si>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</si>
  <si>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</si>
  <si>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</si>
  <si>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</si>
  <si>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</si>
  <si>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</si>
  <si>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</si>
  <si>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</si>
  <si>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</si>
  <si>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</si>
  <si>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</si>
  <si>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</si>
  <si>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</si>
  <si>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</si>
  <si>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</si>
  <si>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</si>
  <si>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</si>
  <si>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</si>
  <si>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</si>
  <si>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</si>
  <si>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</si>
  <si>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</si>
  <si>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</si>
  <si>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</si>
  <si>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</si>
  <si>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</si>
  <si>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</si>
  <si>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</si>
  <si>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</si>
  <si>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</si>
  <si>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</si>
  <si>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</si>
  <si>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</si>
  <si>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</si>
  <si>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</si>
  <si>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</si>
  <si>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</si>
  <si>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</si>
  <si>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</si>
  <si>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</si>
  <si>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</si>
  <si>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</si>
  <si>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</si>
  <si>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</si>
  <si>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</si>
  <si>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</si>
  <si>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</si>
  <si>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</si>
  <si>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</si>
  <si>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</si>
  <si>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</si>
  <si>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</si>
  <si>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</si>
  <si>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</si>
  <si>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</si>
  <si>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</si>
  <si>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</si>
  <si>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</si>
  <si>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</si>
  <si>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</si>
  <si>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</si>
  <si>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</si>
  <si>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</si>
  <si>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</si>
  <si>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</si>
  <si>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</si>
  <si>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</si>
  <si>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</si>
  <si>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</si>
  <si>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</si>
  <si>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</si>
  <si>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</si>
  <si>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</si>
  <si>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</si>
  <si>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</si>
  <si>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</si>
  <si>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</si>
  <si>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</si>
  <si>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</si>
  <si>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</si>
  <si>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</si>
  <si>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</si>
  <si>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</si>
  <si>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</si>
  <si>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</si>
  <si>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</si>
  <si>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</si>
  <si>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</si>
  <si>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</si>
  <si>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</si>
  <si>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</si>
  <si>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</si>
  <si>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</si>
  <si>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</si>
  <si>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</si>
  <si>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</si>
  <si>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</si>
  <si>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</si>
  <si>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</si>
  <si>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</si>
  <si>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</si>
  <si>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</si>
  <si>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</si>
  <si>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</si>
  <si>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</si>
  <si>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</si>
  <si>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</si>
  <si>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</si>
  <si>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</si>
  <si>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</si>
  <si>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</si>
  <si>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</si>
  <si>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</si>
  <si>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</si>
  <si>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</si>
  <si>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</si>
  <si>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</si>
  <si>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</si>
  <si>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</si>
  <si>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</si>
  <si>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</si>
  <si>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</si>
  <si>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</si>
  <si>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</si>
  <si>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</si>
  <si>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</si>
  <si>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</si>
  <si>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</si>
  <si>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</si>
  <si>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</si>
  <si>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</si>
  <si>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</si>
  <si>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</si>
  <si>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</si>
  <si>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</si>
  <si>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</si>
  <si>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</si>
  <si>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</si>
  <si>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</si>
  <si>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</si>
  <si>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</si>
  <si>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</si>
  <si>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</si>
  <si>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</si>
  <si>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</si>
  <si>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</si>
  <si>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</si>
  <si>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</si>
  <si>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</si>
  <si>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</si>
  <si>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</si>
  <si>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</si>
  <si>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</si>
  <si>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</si>
  <si>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</si>
  <si>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</si>
  <si>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</si>
  <si>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</si>
  <si>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</si>
  <si>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</si>
  <si>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</si>
  <si>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</si>
  <si>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</si>
  <si>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</si>
  <si>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</si>
  <si>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</si>
  <si>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</si>
  <si>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</si>
  <si>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</si>
  <si>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</si>
  <si>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</si>
  <si>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</si>
  <si>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</si>
  <si>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</si>
  <si>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</si>
  <si>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</si>
  <si>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</si>
  <si>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</si>
  <si>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</si>
  <si>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</si>
  <si>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</si>
  <si>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</si>
  <si>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</si>
  <si>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</si>
  <si>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</si>
  <si>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</si>
  <si>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</si>
  <si>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</si>
  <si>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</si>
  <si>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</si>
  <si>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</si>
  <si>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</si>
  <si>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</si>
  <si>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</si>
  <si>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</si>
  <si>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</si>
  <si>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</si>
  <si>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</si>
  <si>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</si>
  <si>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</si>
  <si>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</si>
  <si>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</si>
  <si>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</si>
  <si>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</si>
  <si>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</si>
  <si>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</si>
  <si>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</si>
  <si>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</si>
  <si>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</si>
  <si>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</si>
  <si>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</si>
  <si>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</si>
  <si>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</si>
  <si>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</si>
  <si>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</si>
  <si>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</si>
  <si>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</si>
  <si>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</si>
  <si>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</si>
  <si>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</si>
  <si>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</si>
  <si>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</si>
  <si>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</si>
  <si>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</si>
  <si>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</si>
  <si>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</si>
  <si>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</si>
  <si>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</si>
  <si>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</si>
  <si>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</si>
  <si>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</si>
  <si>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</si>
  <si>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</si>
  <si>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</si>
  <si>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</si>
  <si>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</si>
  <si>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</si>
  <si>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</si>
  <si>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</si>
  <si>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</si>
  <si>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</si>
  <si>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</si>
  <si>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</si>
  <si>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</si>
  <si>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</si>
  <si>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</si>
  <si>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</si>
  <si>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</si>
  <si>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</si>
  <si>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</si>
  <si>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</si>
  <si>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</si>
  <si>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</si>
  <si>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</si>
  <si>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</si>
  <si>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</si>
  <si>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</si>
  <si>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</si>
  <si>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</si>
  <si>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</si>
  <si>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</si>
  <si>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</si>
  <si>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</si>
  <si>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</si>
  <si>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</si>
  <si>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</si>
  <si>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</si>
  <si>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</si>
  <si>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</si>
  <si>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</si>
  <si>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</si>
  <si>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</si>
  <si>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</si>
  <si>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</si>
  <si>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</si>
  <si>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</si>
  <si>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</si>
  <si>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</si>
  <si>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</si>
  <si>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</si>
  <si>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</si>
  <si>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</si>
  <si>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</si>
  <si>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</si>
  <si>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</si>
  <si>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</si>
  <si>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</si>
  <si>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</si>
  <si>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</si>
  <si>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</si>
  <si>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</si>
  <si>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</si>
  <si>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</si>
  <si>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</si>
  <si>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</si>
  <si>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</si>
  <si>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</si>
  <si>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</si>
  <si>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</si>
  <si>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</si>
  <si>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</si>
  <si>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</si>
  <si>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</si>
  <si>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</si>
  <si>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</si>
  <si>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</si>
  <si>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</si>
  <si>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</si>
  <si>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</si>
  <si>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</si>
  <si>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</si>
  <si>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</si>
  <si>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</si>
  <si>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</si>
  <si>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</si>
  <si>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</si>
  <si>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</si>
  <si>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</si>
  <si>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</si>
  <si>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</si>
  <si>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</si>
  <si>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</si>
  <si>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</si>
  <si>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</si>
  <si>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</si>
  <si>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</si>
  <si>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</si>
  <si>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</si>
  <si>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</si>
  <si>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</si>
  <si>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</si>
  <si>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</si>
  <si>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</si>
  <si>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</si>
  <si>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</si>
  <si>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</si>
  <si>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</si>
  <si>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</si>
  <si>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</si>
  <si>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</si>
  <si>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</si>
  <si>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</si>
  <si>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</si>
  <si>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</si>
  <si>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</si>
  <si>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</si>
  <si>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</si>
  <si>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</si>
  <si>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</si>
  <si>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</si>
  <si>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</si>
  <si>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</si>
  <si>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</si>
  <si>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</si>
  <si>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</si>
  <si>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</si>
  <si>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</si>
  <si>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</si>
  <si>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</si>
  <si>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</si>
  <si>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</si>
  <si>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</si>
  <si>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</si>
  <si>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</si>
  <si>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</si>
  <si>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</si>
  <si>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</si>
  <si>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</si>
  <si>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</si>
  <si>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</si>
  <si>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</si>
  <si>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</si>
  <si>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</si>
  <si>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</si>
  <si>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</si>
  <si>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</si>
  <si>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</si>
  <si>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</si>
  <si>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</si>
  <si>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</si>
  <si>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</si>
  <si>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</si>
  <si>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</si>
  <si>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</si>
  <si>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</si>
  <si>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</si>
  <si>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</si>
  <si>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</si>
  <si>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</si>
  <si>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</si>
  <si>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</si>
  <si>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</si>
  <si>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</si>
  <si>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</si>
  <si>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</si>
  <si>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</si>
  <si>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</si>
  <si>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</si>
  <si>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</si>
  <si>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</si>
  <si>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</si>
  <si>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</si>
  <si>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</si>
  <si>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</si>
  <si>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</si>
  <si>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</si>
  <si>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</si>
  <si>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</si>
  <si>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</si>
  <si>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</si>
  <si>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</si>
  <si>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</si>
  <si>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</si>
  <si>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</si>
  <si>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</si>
  <si>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</si>
  <si>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</si>
  <si>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</si>
  <si>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</si>
  <si>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</si>
  <si>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</si>
  <si>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</si>
  <si>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</si>
  <si>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</si>
  <si>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</si>
  <si>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</si>
  <si>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</si>
  <si>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</si>
  <si>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</si>
  <si>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</si>
  <si>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</si>
  <si>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</si>
  <si>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</si>
  <si>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</si>
  <si>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</si>
  <si>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</si>
  <si>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</si>
  <si>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</si>
  <si>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</si>
  <si>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</si>
  <si>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</si>
  <si>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</si>
  <si>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</si>
  <si>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</si>
  <si>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</si>
  <si>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</si>
  <si>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</si>
  <si>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</si>
  <si>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</si>
  <si>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</si>
  <si>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</si>
  <si>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</si>
  <si>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</si>
  <si>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</si>
  <si>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</si>
  <si>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</si>
  <si>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</si>
  <si>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</si>
  <si>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</si>
  <si>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</si>
  <si>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</si>
  <si>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</si>
  <si>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</si>
  <si>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</si>
  <si>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</si>
  <si>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</si>
  <si>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</si>
  <si>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</si>
  <si>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</si>
  <si>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</si>
  <si>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</si>
  <si>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</si>
  <si>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</si>
  <si>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</si>
  <si>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</si>
  <si>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</si>
  <si>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</si>
  <si>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</si>
  <si>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</si>
  <si>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</si>
  <si>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</si>
  <si>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</si>
  <si>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</si>
  <si>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</si>
  <si>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</si>
  <si>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</si>
  <si>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</si>
  <si>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</si>
  <si>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</si>
  <si>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</si>
  <si>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</si>
  <si>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</si>
  <si>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</si>
  <si>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</si>
  <si>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</si>
  <si>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</si>
  <si>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</si>
  <si>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</si>
  <si>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</si>
  <si>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</si>
  <si>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</si>
  <si>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</si>
  <si>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</si>
  <si>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</si>
  <si>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</si>
  <si>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</si>
  <si>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</si>
  <si>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</si>
  <si>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</si>
  <si>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</si>
  <si>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</si>
  <si>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</si>
  <si>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</si>
  <si>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</si>
  <si>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</si>
  <si>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</si>
  <si>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</si>
  <si>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</si>
  <si>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</si>
  <si>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</si>
  <si>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</si>
  <si>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</si>
  <si>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</si>
  <si>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</si>
  <si>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</si>
  <si>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</si>
  <si>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</si>
  <si>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</si>
  <si>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</si>
  <si>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</si>
  <si>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</si>
  <si>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</si>
  <si>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</si>
  <si>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</si>
  <si>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</si>
  <si>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</si>
  <si>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</si>
  <si>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</si>
  <si>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</si>
  <si>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</si>
  <si>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</si>
  <si>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</si>
  <si>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</si>
  <si>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</si>
  <si>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</si>
  <si>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</si>
  <si>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</si>
  <si>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</si>
  <si>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</si>
  <si>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</si>
  <si>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</si>
  <si>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</si>
  <si>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</si>
  <si>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</si>
  <si>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</si>
  <si>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</si>
  <si>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</si>
  <si>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</si>
  <si>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</si>
  <si>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</si>
  <si>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</si>
  <si>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</si>
  <si>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</si>
  <si>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</si>
  <si>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</si>
  <si>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</si>
  <si>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</si>
  <si>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</si>
  <si>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</si>
  <si>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</si>
  <si>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</si>
  <si>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</si>
  <si>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</si>
  <si>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</si>
  <si>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</si>
  <si>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</si>
  <si>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</si>
  <si>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</si>
  <si>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</si>
  <si>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</si>
  <si>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</si>
  <si>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</si>
  <si>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</si>
  <si>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</si>
  <si>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</si>
  <si>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</si>
  <si>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</si>
  <si>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</si>
  <si>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</si>
  <si>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</si>
  <si>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</si>
  <si>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</si>
  <si>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</si>
  <si>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</si>
  <si>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</si>
  <si>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</si>
  <si>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</si>
  <si>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</si>
  <si>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</si>
  <si>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</si>
  <si>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</si>
  <si>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</si>
  <si>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</si>
  <si>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</si>
  <si>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</si>
  <si>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</si>
  <si>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</si>
  <si>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</si>
  <si>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</si>
  <si>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</si>
  <si>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</si>
  <si>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</si>
  <si>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</si>
  <si>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</si>
  <si>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</si>
  <si>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</si>
  <si>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</si>
  <si>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</si>
  <si>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</si>
  <si>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</si>
  <si>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</si>
  <si>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</si>
  <si>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</si>
  <si>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</si>
  <si>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</si>
  <si>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</si>
  <si>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</si>
  <si>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</si>
  <si>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</si>
  <si>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</si>
  <si>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</si>
  <si>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</si>
  <si>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</si>
  <si>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</si>
  <si>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</si>
  <si>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</si>
  <si>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</si>
  <si>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</si>
  <si>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</si>
  <si>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</si>
  <si>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</si>
  <si>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</si>
  <si>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</si>
  <si>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</si>
  <si>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</si>
  <si>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</si>
  <si>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</si>
  <si>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</si>
  <si>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</si>
  <si>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</si>
  <si>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</si>
  <si>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</si>
  <si>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</si>
  <si>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</si>
  <si>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</si>
  <si>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</si>
  <si>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</si>
  <si>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</si>
  <si>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</si>
  <si>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</si>
  <si>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</si>
  <si>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</si>
  <si>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</si>
  <si>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</si>
  <si>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</si>
  <si>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</si>
  <si>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</si>
  <si>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</si>
  <si>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</si>
  <si>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</si>
  <si>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</si>
  <si>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</si>
  <si>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</si>
  <si>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</si>
  <si>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</si>
  <si>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</si>
  <si>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</si>
  <si>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</si>
  <si>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</si>
  <si>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</si>
  <si>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</si>
  <si>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</si>
  <si>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</si>
  <si>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</si>
  <si>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</si>
  <si>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</si>
  <si>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</si>
  <si>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</si>
  <si>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</si>
  <si>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</si>
  <si>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</si>
  <si>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</si>
  <si>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</si>
  <si>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</si>
  <si>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</si>
  <si>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</si>
  <si>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</si>
  <si>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</si>
  <si>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</si>
  <si>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</si>
  <si>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</si>
  <si>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</si>
  <si>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</si>
  <si>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</si>
  <si>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</si>
  <si>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</si>
  <si>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</si>
  <si>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</si>
  <si>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</si>
  <si>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</si>
  <si>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</si>
  <si>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</si>
  <si>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</si>
  <si>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</si>
  <si>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</si>
  <si>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</si>
  <si>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</si>
  <si>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</si>
  <si>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</si>
  <si>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</si>
  <si>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</si>
  <si>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</si>
  <si>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</si>
  <si>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</si>
  <si>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</si>
  <si>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</si>
  <si>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</si>
  <si>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</si>
  <si>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</si>
  <si>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</si>
  <si>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</si>
  <si>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</si>
  <si>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</si>
  <si>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</si>
  <si>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</si>
  <si>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</si>
  <si>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</si>
  <si>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</si>
  <si>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</si>
  <si>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</si>
  <si>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</si>
  <si>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</si>
  <si>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</si>
  <si>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</si>
  <si>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</si>
  <si>
    <t>Koisas Kozinha</t>
  </si>
  <si>
    <t>Ronaldo nascimento</t>
  </si>
  <si>
    <t>Litoral Sul (Ricali)</t>
  </si>
  <si>
    <t>Pino 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</si>
</sst>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8" xfId="0" applyFont="1" applyBorder="1" applyAlignment="1">
      <alignment horizontal="center" vertical="center"/>
    </xf>
    <xf numFmtId="0" fontId="21" fillId="0" borderId="37" xfId="0" applyFont="1" applyBorder="1" applyAlignment="1">
      <alignment horizontal="center" vertical="center"/>
    </xf>
    <xf numFmtId="0" fontId="21" fillId="0" borderId="2"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5" xfId="0" applyFont="1" applyBorder="1" applyAlignment="1">
      <alignment horizontal="center" vertic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34" formatCode="_-&quot;R$&quot;\ * #,##0.00_-;\-&quot;R$&quot;\ * #,##0.00_-;_-&quot;R$&quot;\ * &quot;-&quot;??_-;_-@_-"/>
    </dxf>
    <dxf>
      <alignment horizontal="center"/>
    </dxf>
    <dxf>
      <alignment horizontal="center"/>
    </dxf>
    <dxf>
      <numFmt numFmtId="164" formatCode="&quot;R$&quot;\ #,##0.0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32">
      <pivotArea type="all" dataOnly="0" outline="0" fieldPosition="0"/>
    </format>
    <format dxfId="531">
      <pivotArea field="18" type="button" dataOnly="0" labelOnly="1" outline="0" axis="axisRow" fieldPosition="0"/>
    </format>
    <format dxfId="530">
      <pivotArea dataOnly="0" labelOnly="1" outline="0" fieldPosition="0">
        <references count="1">
          <reference field="4294967294" count="2">
            <x v="0"/>
            <x v="1"/>
          </reference>
        </references>
      </pivotArea>
    </format>
    <format dxfId="529">
      <pivotArea type="all" dataOnly="0" outline="0" fieldPosition="0"/>
    </format>
    <format dxfId="528">
      <pivotArea field="18" type="button" dataOnly="0" labelOnly="1" outline="0" axis="axisRow" fieldPosition="0"/>
    </format>
    <format dxfId="527">
      <pivotArea dataOnly="0" labelOnly="1" outline="0" fieldPosition="0">
        <references count="1">
          <reference field="4294967294" count="2">
            <x v="0"/>
            <x v="1"/>
          </reference>
        </references>
      </pivotArea>
    </format>
    <format dxfId="526">
      <pivotArea collapsedLevelsAreSubtotals="1" fieldPosition="0">
        <references count="1">
          <reference field="18" count="1">
            <x v="0"/>
          </reference>
        </references>
      </pivotArea>
    </format>
    <format dxfId="525">
      <pivotArea collapsedLevelsAreSubtotals="1" fieldPosition="0">
        <references count="1">
          <reference field="18" count="1">
            <x v="1"/>
          </reference>
        </references>
      </pivotArea>
    </format>
    <format dxfId="524">
      <pivotArea collapsedLevelsAreSubtotals="1" fieldPosition="0">
        <references count="1">
          <reference field="18" count="1">
            <x v="2"/>
          </reference>
        </references>
      </pivotArea>
    </format>
    <format dxfId="523">
      <pivotArea collapsedLevelsAreSubtotals="1" fieldPosition="0">
        <references count="1">
          <reference field="18" count="1">
            <x v="3"/>
          </reference>
        </references>
      </pivotArea>
    </format>
    <format dxfId="522">
      <pivotArea collapsedLevelsAreSubtotals="1" fieldPosition="0">
        <references count="1">
          <reference field="18" count="1">
            <x v="4"/>
          </reference>
        </references>
      </pivotArea>
    </format>
    <format dxfId="521">
      <pivotArea collapsedLevelsAreSubtotals="1" fieldPosition="0">
        <references count="1">
          <reference field="18" count="1">
            <x v="5"/>
          </reference>
        </references>
      </pivotArea>
    </format>
    <format dxfId="520">
      <pivotArea collapsedLevelsAreSubtotals="1" fieldPosition="0">
        <references count="1">
          <reference field="18" count="1">
            <x v="6"/>
          </reference>
        </references>
      </pivotArea>
    </format>
    <format dxfId="519">
      <pivotArea collapsedLevelsAreSubtotals="1" fieldPosition="0">
        <references count="1">
          <reference field="18" count="1">
            <x v="7"/>
          </reference>
        </references>
      </pivotArea>
    </format>
    <format dxfId="518">
      <pivotArea collapsedLevelsAreSubtotals="1" fieldPosition="0">
        <references count="1">
          <reference field="18" count="1">
            <x v="8"/>
          </reference>
        </references>
      </pivotArea>
    </format>
    <format dxfId="517">
      <pivotArea collapsedLevelsAreSubtotals="1" fieldPosition="0">
        <references count="1">
          <reference field="18" count="1">
            <x v="9"/>
          </reference>
        </references>
      </pivotArea>
    </format>
    <format dxfId="516">
      <pivotArea collapsedLevelsAreSubtotals="1" fieldPosition="0">
        <references count="1">
          <reference field="18" count="1">
            <x v="10"/>
          </reference>
        </references>
      </pivotArea>
    </format>
    <format dxfId="515">
      <pivotArea outline="0" collapsedLevelsAreSubtotals="1" fieldPosition="0">
        <references count="1">
          <reference field="4294967294" count="1" selected="0">
            <x v="1"/>
          </reference>
        </references>
      </pivotArea>
    </format>
    <format dxfId="514">
      <pivotArea collapsedLevelsAreSubtotals="1" fieldPosition="0">
        <references count="2">
          <reference field="4294967294" count="1" selected="0">
            <x v="0"/>
          </reference>
          <reference field="18" count="1">
            <x v="0"/>
          </reference>
        </references>
      </pivotArea>
    </format>
    <format dxfId="513">
      <pivotArea collapsedLevelsAreSubtotals="1" fieldPosition="0">
        <references count="2">
          <reference field="4294967294" count="1" selected="0">
            <x v="0"/>
          </reference>
          <reference field="18" count="1">
            <x v="1"/>
          </reference>
        </references>
      </pivotArea>
    </format>
    <format dxfId="512">
      <pivotArea collapsedLevelsAreSubtotals="1" fieldPosition="0">
        <references count="2">
          <reference field="4294967294" count="1" selected="0">
            <x v="0"/>
          </reference>
          <reference field="18" count="1">
            <x v="2"/>
          </reference>
        </references>
      </pivotArea>
    </format>
    <format dxfId="511">
      <pivotArea collapsedLevelsAreSubtotals="1" fieldPosition="0">
        <references count="2">
          <reference field="4294967294" count="1" selected="0">
            <x v="0"/>
          </reference>
          <reference field="18" count="1">
            <x v="3"/>
          </reference>
        </references>
      </pivotArea>
    </format>
    <format dxfId="510">
      <pivotArea collapsedLevelsAreSubtotals="1" fieldPosition="0">
        <references count="2">
          <reference field="4294967294" count="1" selected="0">
            <x v="0"/>
          </reference>
          <reference field="18" count="1">
            <x v="4"/>
          </reference>
        </references>
      </pivotArea>
    </format>
    <format dxfId="509">
      <pivotArea collapsedLevelsAreSubtotals="1" fieldPosition="0">
        <references count="2">
          <reference field="4294967294" count="1" selected="0">
            <x v="0"/>
          </reference>
          <reference field="18" count="1">
            <x v="5"/>
          </reference>
        </references>
      </pivotArea>
    </format>
    <format dxfId="508">
      <pivotArea collapsedLevelsAreSubtotals="1" fieldPosition="0">
        <references count="2">
          <reference field="4294967294" count="1" selected="0">
            <x v="0"/>
          </reference>
          <reference field="18" count="1">
            <x v="6"/>
          </reference>
        </references>
      </pivotArea>
    </format>
    <format dxfId="507">
      <pivotArea collapsedLevelsAreSubtotals="1" fieldPosition="0">
        <references count="2">
          <reference field="4294967294" count="1" selected="0">
            <x v="0"/>
          </reference>
          <reference field="18" count="1">
            <x v="7"/>
          </reference>
        </references>
      </pivotArea>
    </format>
    <format dxfId="506">
      <pivotArea collapsedLevelsAreSubtotals="1" fieldPosition="0">
        <references count="2">
          <reference field="4294967294" count="1" selected="0">
            <x v="0"/>
          </reference>
          <reference field="18" count="1">
            <x v="8"/>
          </reference>
        </references>
      </pivotArea>
    </format>
    <format dxfId="505">
      <pivotArea collapsedLevelsAreSubtotals="1" fieldPosition="0">
        <references count="2">
          <reference field="4294967294" count="1" selected="0">
            <x v="0"/>
          </reference>
          <reference field="18" count="1">
            <x v="9"/>
          </reference>
        </references>
      </pivotArea>
    </format>
    <format dxfId="504">
      <pivotArea collapsedLevelsAreSubtotals="1" fieldPosition="0">
        <references count="2">
          <reference field="4294967294" count="1" selected="0">
            <x v="0"/>
          </reference>
          <reference field="18" count="1">
            <x v="10"/>
          </reference>
        </references>
      </pivotArea>
    </format>
    <format dxfId="503">
      <pivotArea collapsedLevelsAreSubtotals="1" fieldPosition="0">
        <references count="2">
          <reference field="4294967294" count="1" selected="0">
            <x v="0"/>
          </reference>
          <reference field="18" count="1">
            <x v="11"/>
          </reference>
        </references>
      </pivotArea>
    </format>
    <format dxfId="502">
      <pivotArea outline="0" collapsedLevelsAreSubtotals="1" fieldPosition="0"/>
    </format>
    <format dxfId="501">
      <pivotArea dataOnly="0" labelOnly="1" fieldPosition="0">
        <references count="1">
          <reference field="18" count="0"/>
        </references>
      </pivotArea>
    </format>
    <format dxfId="500">
      <pivotArea dataOnly="0" labelOnly="1" grandRow="1" outline="0" fieldPosition="0"/>
    </format>
    <format dxfId="499">
      <pivotArea outline="0" collapsedLevelsAreSubtotals="1" fieldPosition="0"/>
    </format>
    <format dxfId="498">
      <pivotArea dataOnly="0" labelOnly="1" fieldPosition="0">
        <references count="1">
          <reference field="18" count="0"/>
        </references>
      </pivotArea>
    </format>
    <format dxfId="497">
      <pivotArea dataOnly="0" labelOnly="1" grandRow="1" outline="0" fieldPosition="0"/>
    </format>
    <format dxfId="496">
      <pivotArea outline="0" collapsedLevelsAreSubtotals="1" fieldPosition="0"/>
    </format>
    <format dxfId="495">
      <pivotArea dataOnly="0" labelOnly="1" fieldPosition="0">
        <references count="1">
          <reference field="18" count="0"/>
        </references>
      </pivotArea>
    </format>
    <format dxfId="494">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34">
      <pivotArea dataOnly="0" labelOnly="1" fieldPosition="0">
        <references count="1">
          <reference field="6" count="1">
            <x v="441"/>
          </reference>
        </references>
      </pivotArea>
    </format>
    <format dxfId="533">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43">
      <pivotArea outline="0" collapsedLevelsAreSubtotals="1" fieldPosition="0"/>
    </format>
    <format dxfId="542">
      <pivotArea dataOnly="0" labelOnly="1" fieldPosition="0">
        <references count="1">
          <reference field="18" count="0"/>
        </references>
      </pivotArea>
    </format>
    <format dxfId="541">
      <pivotArea dataOnly="0" labelOnly="1" grandRow="1" outline="0" fieldPosition="0"/>
    </format>
    <format dxfId="540">
      <pivotArea outline="0" collapsedLevelsAreSubtotals="1" fieldPosition="0"/>
    </format>
    <format dxfId="539">
      <pivotArea dataOnly="0" labelOnly="1" fieldPosition="0">
        <references count="1">
          <reference field="18" count="0"/>
        </references>
      </pivotArea>
    </format>
    <format dxfId="538">
      <pivotArea dataOnly="0" labelOnly="1" grandRow="1" outline="0" fieldPosition="0"/>
    </format>
    <format dxfId="537">
      <pivotArea outline="0" collapsedLevelsAreSubtotals="1" fieldPosition="0"/>
    </format>
    <format dxfId="536">
      <pivotArea dataOnly="0" labelOnly="1" fieldPosition="0">
        <references count="1">
          <reference field="18" count="0"/>
        </references>
      </pivotArea>
    </format>
    <format dxfId="535">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1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379">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1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385">
      <pivotArea dataOnly="0" labelOnly="1" outline="0" axis="axisValues" fieldPosition="0"/>
    </format>
    <format dxfId="384">
      <pivotArea field="21" type="button" dataOnly="0" labelOnly="1" outline="0" axis="axisRow" fieldPosition="0"/>
    </format>
    <format dxfId="383">
      <pivotArea field="4" type="button" dataOnly="0" labelOnly="1" outline="0" axis="axisRow" fieldPosition="1"/>
    </format>
    <format dxfId="382">
      <pivotArea dataOnly="0" labelOnly="1" outline="0" axis="axisValues" fieldPosition="0"/>
    </format>
    <format dxfId="381">
      <pivotArea grandRow="1" outline="0" collapsedLevelsAreSubtotals="1" fieldPosition="0"/>
    </format>
    <format dxfId="380">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389">
      <pivotArea grandRow="1" outline="0" collapsedLevelsAreSubtotals="1" fieldPosition="0"/>
    </format>
    <format dxfId="388">
      <pivotArea dataOnly="0" labelOnly="1" grandRow="1" outline="0" fieldPosition="0"/>
    </format>
    <format dxfId="387">
      <pivotArea field="21" type="button" dataOnly="0" labelOnly="1" outline="0" axis="axisRow" fieldPosition="0"/>
    </format>
    <format dxfId="38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12"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393">
      <pivotArea field="21" type="button" dataOnly="0" labelOnly="1" outline="0" axis="axisRow" fieldPosition="0"/>
    </format>
    <format dxfId="392">
      <pivotArea dataOnly="0" labelOnly="1" outline="0" axis="axisValues" fieldPosition="0"/>
    </format>
    <format dxfId="391">
      <pivotArea grandRow="1" outline="0" collapsedLevelsAreSubtotals="1" fieldPosition="0"/>
    </format>
    <format dxfId="390">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1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396">
      <pivotArea outline="0" collapsedLevelsAreSubtotals="1" fieldPosition="0"/>
    </format>
    <format dxfId="395">
      <pivotArea outline="0" fieldPosition="0">
        <references count="1">
          <reference field="4294967294" count="3" selected="0">
            <x v="1"/>
            <x v="2"/>
            <x v="3"/>
          </reference>
        </references>
      </pivotArea>
    </format>
    <format dxfId="394">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08">
      <pivotArea field="5" type="button" dataOnly="0" labelOnly="1" outline="0" axis="axisRow" fieldPosition="0"/>
    </format>
    <format dxfId="307">
      <pivotArea dataOnly="0" labelOnly="1" outline="0" fieldPosition="0">
        <references count="1">
          <reference field="4294967294" count="2">
            <x v="0"/>
            <x v="1"/>
          </reference>
        </references>
      </pivotArea>
    </format>
    <format dxfId="306">
      <pivotArea field="5" type="button" dataOnly="0" labelOnly="1" outline="0" axis="axisRow" fieldPosition="0"/>
    </format>
    <format dxfId="305">
      <pivotArea dataOnly="0" labelOnly="1" outline="0" fieldPosition="0">
        <references count="1">
          <reference field="4294967294" count="2">
            <x v="0"/>
            <x v="1"/>
          </reference>
        </references>
      </pivotArea>
    </format>
    <format dxfId="304">
      <pivotArea type="all" dataOnly="0" outline="0" fieldPosition="0"/>
    </format>
    <format dxfId="303">
      <pivotArea dataOnly="0" labelOnly="1" grandRow="1" outline="0" fieldPosition="0"/>
    </format>
    <format dxfId="302">
      <pivotArea grandRow="1" outline="0" collapsedLevelsAreSubtotals="1" fieldPosition="0"/>
    </format>
    <format dxfId="301">
      <pivotArea dataOnly="0" labelOnly="1" grandRow="1" outline="0" fieldPosition="0"/>
    </format>
    <format dxfId="300">
      <pivotArea grandRow="1" outline="0" collapsedLevelsAreSubtotals="1" fieldPosition="0"/>
    </format>
    <format dxfId="299">
      <pivotArea dataOnly="0" labelOnly="1" grandRow="1" outline="0" fieldPosition="0"/>
    </format>
    <format dxfId="298">
      <pivotArea grandRow="1" outline="0" collapsedLevelsAreSubtotals="1" fieldPosition="0"/>
    </format>
    <format dxfId="297">
      <pivotArea dataOnly="0" labelOnly="1" grandRow="1" outline="0" fieldPosition="0"/>
    </format>
    <format dxfId="296">
      <pivotArea field="5" type="button" dataOnly="0" labelOnly="1" outline="0" axis="axisRow" fieldPosition="0"/>
    </format>
    <format dxfId="295">
      <pivotArea dataOnly="0" labelOnly="1" outline="0" fieldPosition="0">
        <references count="1">
          <reference field="4294967294" count="2">
            <x v="0"/>
            <x v="1"/>
          </reference>
        </references>
      </pivotArea>
    </format>
    <format dxfId="294">
      <pivotArea type="all" dataOnly="0" outline="0" fieldPosition="0"/>
    </format>
    <format dxfId="293">
      <pivotArea outline="0" collapsedLevelsAreSubtotals="1" fieldPosition="0"/>
    </format>
    <format dxfId="292">
      <pivotArea field="5" type="button" dataOnly="0" labelOnly="1" outline="0" axis="axisRow" fieldPosition="0"/>
    </format>
    <format dxfId="291">
      <pivotArea dataOnly="0" labelOnly="1" fieldPosition="0">
        <references count="1">
          <reference field="5" count="0"/>
        </references>
      </pivotArea>
    </format>
    <format dxfId="290">
      <pivotArea dataOnly="0" labelOnly="1" grandRow="1" outline="0" fieldPosition="0"/>
    </format>
    <format dxfId="289">
      <pivotArea dataOnly="0" labelOnly="1" outline="0" fieldPosition="0">
        <references count="1">
          <reference field="4294967294" count="2">
            <x v="0"/>
            <x v="1"/>
          </reference>
        </references>
      </pivotArea>
    </format>
    <format dxfId="288">
      <pivotArea type="all" dataOnly="0" outline="0" fieldPosition="0"/>
    </format>
    <format dxfId="287">
      <pivotArea outline="0" collapsedLevelsAreSubtotals="1" fieldPosition="0"/>
    </format>
    <format dxfId="286">
      <pivotArea field="5" type="button" dataOnly="0" labelOnly="1" outline="0" axis="axisRow" fieldPosition="0"/>
    </format>
    <format dxfId="285">
      <pivotArea dataOnly="0" labelOnly="1" fieldPosition="0">
        <references count="1">
          <reference field="5" count="0"/>
        </references>
      </pivotArea>
    </format>
    <format dxfId="284">
      <pivotArea dataOnly="0" labelOnly="1" grandRow="1" outline="0" fieldPosition="0"/>
    </format>
    <format dxfId="28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33">
      <pivotArea type="all" dataOnly="0" outline="0" fieldPosition="0"/>
    </format>
    <format dxfId="332">
      <pivotArea outline="0" collapsedLevelsAreSubtotals="1" fieldPosition="0"/>
    </format>
    <format dxfId="331">
      <pivotArea field="18" type="button" dataOnly="0" labelOnly="1" outline="0" axis="axisRow" fieldPosition="0"/>
    </format>
    <format dxfId="330">
      <pivotArea dataOnly="0" labelOnly="1" fieldPosition="0">
        <references count="1">
          <reference field="18" count="11">
            <x v="3"/>
            <x v="4"/>
            <x v="5"/>
            <x v="6"/>
            <x v="7"/>
            <x v="8"/>
            <x v="9"/>
            <x v="10"/>
            <x v="11"/>
            <x v="12"/>
            <x v="13"/>
          </reference>
        </references>
      </pivotArea>
    </format>
    <format dxfId="329">
      <pivotArea dataOnly="0" labelOnly="1" grandRow="1" outline="0" fieldPosition="0"/>
    </format>
    <format dxfId="328">
      <pivotArea dataOnly="0" labelOnly="1" outline="0" fieldPosition="0">
        <references count="1">
          <reference field="4294967294" count="2">
            <x v="0"/>
            <x v="1"/>
          </reference>
        </references>
      </pivotArea>
    </format>
    <format dxfId="327">
      <pivotArea type="all" dataOnly="0" outline="0" fieldPosition="0"/>
    </format>
    <format dxfId="326">
      <pivotArea outline="0" collapsedLevelsAreSubtotals="1" fieldPosition="0"/>
    </format>
    <format dxfId="325">
      <pivotArea field="18" type="button" dataOnly="0" labelOnly="1" outline="0" axis="axisRow" fieldPosition="0"/>
    </format>
    <format dxfId="324">
      <pivotArea dataOnly="0" labelOnly="1" fieldPosition="0">
        <references count="1">
          <reference field="18" count="11">
            <x v="3"/>
            <x v="4"/>
            <x v="5"/>
            <x v="6"/>
            <x v="7"/>
            <x v="8"/>
            <x v="9"/>
            <x v="10"/>
            <x v="11"/>
            <x v="12"/>
            <x v="13"/>
          </reference>
        </references>
      </pivotArea>
    </format>
    <format dxfId="323">
      <pivotArea dataOnly="0" labelOnly="1" grandRow="1" outline="0" fieldPosition="0"/>
    </format>
    <format dxfId="322">
      <pivotArea dataOnly="0" labelOnly="1" outline="0" fieldPosition="0">
        <references count="1">
          <reference field="4294967294" count="2">
            <x v="0"/>
            <x v="1"/>
          </reference>
        </references>
      </pivotArea>
    </format>
    <format dxfId="321">
      <pivotArea collapsedLevelsAreSubtotals="1" fieldPosition="0">
        <references count="1">
          <reference field="18" count="1">
            <x v="13"/>
          </reference>
        </references>
      </pivotArea>
    </format>
    <format dxfId="320">
      <pivotArea collapsedLevelsAreSubtotals="1" fieldPosition="0">
        <references count="1">
          <reference field="18" count="1">
            <x v="12"/>
          </reference>
        </references>
      </pivotArea>
    </format>
    <format dxfId="319">
      <pivotArea collapsedLevelsAreSubtotals="1" fieldPosition="0">
        <references count="1">
          <reference field="18" count="1">
            <x v="11"/>
          </reference>
        </references>
      </pivotArea>
    </format>
    <format dxfId="318">
      <pivotArea collapsedLevelsAreSubtotals="1" fieldPosition="0">
        <references count="1">
          <reference field="18" count="1">
            <x v="10"/>
          </reference>
        </references>
      </pivotArea>
    </format>
    <format dxfId="317">
      <pivotArea collapsedLevelsAreSubtotals="1" fieldPosition="0">
        <references count="1">
          <reference field="18" count="1">
            <x v="9"/>
          </reference>
        </references>
      </pivotArea>
    </format>
    <format dxfId="316">
      <pivotArea collapsedLevelsAreSubtotals="1" fieldPosition="0">
        <references count="1">
          <reference field="18" count="1">
            <x v="8"/>
          </reference>
        </references>
      </pivotArea>
    </format>
    <format dxfId="315">
      <pivotArea collapsedLevelsAreSubtotals="1" fieldPosition="0">
        <references count="1">
          <reference field="18" count="1">
            <x v="7"/>
          </reference>
        </references>
      </pivotArea>
    </format>
    <format dxfId="314">
      <pivotArea collapsedLevelsAreSubtotals="1" fieldPosition="0">
        <references count="1">
          <reference field="18" count="1">
            <x v="6"/>
          </reference>
        </references>
      </pivotArea>
    </format>
    <format dxfId="313">
      <pivotArea collapsedLevelsAreSubtotals="1" fieldPosition="0">
        <references count="1">
          <reference field="18" count="1">
            <x v="5"/>
          </reference>
        </references>
      </pivotArea>
    </format>
    <format dxfId="312">
      <pivotArea collapsedLevelsAreSubtotals="1" fieldPosition="0">
        <references count="1">
          <reference field="18" count="1">
            <x v="4"/>
          </reference>
        </references>
      </pivotArea>
    </format>
    <format dxfId="311">
      <pivotArea collapsedLevelsAreSubtotals="1" fieldPosition="0">
        <references count="1">
          <reference field="18" count="1">
            <x v="3"/>
          </reference>
        </references>
      </pivotArea>
    </format>
    <format dxfId="310">
      <pivotArea dataOnly="0" labelOnly="1" fieldPosition="0">
        <references count="1">
          <reference field="18" count="11">
            <x v="3"/>
            <x v="4"/>
            <x v="5"/>
            <x v="6"/>
            <x v="7"/>
            <x v="8"/>
            <x v="9"/>
            <x v="10"/>
            <x v="11"/>
            <x v="12"/>
            <x v="13"/>
          </reference>
        </references>
      </pivotArea>
    </format>
    <format dxfId="309">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58">
      <pivotArea type="all" dataOnly="0" outline="0" fieldPosition="0"/>
    </format>
    <format dxfId="357">
      <pivotArea outline="0" collapsedLevelsAreSubtotals="1" fieldPosition="0"/>
    </format>
    <format dxfId="356">
      <pivotArea type="origin" dataOnly="0" labelOnly="1" outline="0" fieldPosition="0"/>
    </format>
    <format dxfId="355">
      <pivotArea field="5" type="button" dataOnly="0" labelOnly="1" outline="0" axis="axisCol" fieldPosition="0"/>
    </format>
    <format dxfId="354">
      <pivotArea type="topRight" dataOnly="0" labelOnly="1" outline="0" fieldPosition="0"/>
    </format>
    <format dxfId="353">
      <pivotArea field="2" type="button" dataOnly="0" labelOnly="1" outline="0" axis="axisRow" fieldPosition="0"/>
    </format>
    <format dxfId="352">
      <pivotArea dataOnly="0" labelOnly="1" fieldPosition="0">
        <references count="1">
          <reference field="2" count="0"/>
        </references>
      </pivotArea>
    </format>
    <format dxfId="351">
      <pivotArea dataOnly="0" labelOnly="1" grandRow="1" outline="0" fieldPosition="0"/>
    </format>
    <format dxfId="350">
      <pivotArea dataOnly="0" labelOnly="1" fieldPosition="0">
        <references count="1">
          <reference field="5" count="0"/>
        </references>
      </pivotArea>
    </format>
    <format dxfId="349">
      <pivotArea dataOnly="0" labelOnly="1" grandCol="1" outline="0" fieldPosition="0"/>
    </format>
    <format dxfId="348">
      <pivotArea type="origin" dataOnly="0" labelOnly="1" outline="0" fieldPosition="0"/>
    </format>
    <format dxfId="347">
      <pivotArea field="5" type="button" dataOnly="0" labelOnly="1" outline="0" axis="axisCol" fieldPosition="0"/>
    </format>
    <format dxfId="346">
      <pivotArea type="topRight" dataOnly="0" labelOnly="1" outline="0" fieldPosition="0"/>
    </format>
    <format dxfId="345">
      <pivotArea field="2" type="button" dataOnly="0" labelOnly="1" outline="0" axis="axisRow" fieldPosition="0"/>
    </format>
    <format dxfId="344">
      <pivotArea dataOnly="0" labelOnly="1" fieldPosition="0">
        <references count="1">
          <reference field="5" count="0"/>
        </references>
      </pivotArea>
    </format>
    <format dxfId="343">
      <pivotArea dataOnly="0" labelOnly="1" grandCol="1" outline="0" fieldPosition="0"/>
    </format>
    <format dxfId="342">
      <pivotArea type="origin" dataOnly="0" labelOnly="1" outline="0" fieldPosition="0"/>
    </format>
    <format dxfId="341">
      <pivotArea field="5" type="button" dataOnly="0" labelOnly="1" outline="0" axis="axisCol" fieldPosition="0"/>
    </format>
    <format dxfId="340">
      <pivotArea type="topRight" dataOnly="0" labelOnly="1" outline="0" fieldPosition="0"/>
    </format>
    <format dxfId="339">
      <pivotArea field="2" type="button" dataOnly="0" labelOnly="1" outline="0" axis="axisRow" fieldPosition="0"/>
    </format>
    <format dxfId="338">
      <pivotArea dataOnly="0" labelOnly="1" fieldPosition="0">
        <references count="1">
          <reference field="5" count="0"/>
        </references>
      </pivotArea>
    </format>
    <format dxfId="337">
      <pivotArea dataOnly="0" labelOnly="1" grandCol="1" outline="0" fieldPosition="0"/>
    </format>
    <format dxfId="336">
      <pivotArea grandRow="1" outline="0" collapsedLevelsAreSubtotals="1" fieldPosition="0"/>
    </format>
    <format dxfId="335">
      <pivotArea dataOnly="0" labelOnly="1" grandRow="1" outline="0" fieldPosition="0"/>
    </format>
    <format dxfId="334">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78">
      <pivotArea field="4" type="button" dataOnly="0" labelOnly="1" outline="0" axis="axisRow" fieldPosition="0"/>
    </format>
    <format dxfId="377">
      <pivotArea dataOnly="0" labelOnly="1" outline="0" axis="axisValues" fieldPosition="0"/>
    </format>
    <format dxfId="376">
      <pivotArea grandRow="1" outline="0" collapsedLevelsAreSubtotals="1" fieldPosition="0"/>
    </format>
    <format dxfId="375">
      <pivotArea dataOnly="0" labelOnly="1" grandRow="1" outline="0" fieldPosition="0"/>
    </format>
    <format dxfId="374">
      <pivotArea type="all" dataOnly="0" outline="0" fieldPosition="0"/>
    </format>
    <format dxfId="373">
      <pivotArea outline="0" collapsedLevelsAreSubtotals="1" fieldPosition="0"/>
    </format>
    <format dxfId="372">
      <pivotArea field="4" type="button" dataOnly="0" labelOnly="1" outline="0" axis="axisRow" fieldPosition="0"/>
    </format>
    <format dxfId="371">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70">
      <pivotArea dataOnly="0" labelOnly="1" grandRow="1" outline="0" fieldPosition="0"/>
    </format>
    <format dxfId="369">
      <pivotArea dataOnly="0" labelOnly="1" outline="0" axis="axisValues" fieldPosition="0"/>
    </format>
    <format dxfId="368">
      <pivotArea type="all" dataOnly="0" outline="0" fieldPosition="0"/>
    </format>
    <format dxfId="367">
      <pivotArea outline="0" collapsedLevelsAreSubtotals="1" fieldPosition="0"/>
    </format>
    <format dxfId="366">
      <pivotArea field="4" type="button" dataOnly="0" labelOnly="1" outline="0" axis="axisRow" fieldPosition="0"/>
    </format>
    <format dxfId="365">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64">
      <pivotArea dataOnly="0" labelOnly="1" grandRow="1" outline="0" fieldPosition="0"/>
    </format>
    <format dxfId="363">
      <pivotArea dataOnly="0" labelOnly="1" outline="0" axis="axisValues" fieldPosition="0"/>
    </format>
    <format dxfId="362">
      <pivotArea field="4" type="button" dataOnly="0" labelOnly="1" outline="0" axis="axisRow" fieldPosition="0"/>
    </format>
    <format dxfId="361">
      <pivotArea dataOnly="0" labelOnly="1" outline="0" axis="axisValues" fieldPosition="0"/>
    </format>
    <format dxfId="360">
      <pivotArea grandRow="1" outline="0" collapsedLevelsAreSubtotals="1" fieldPosition="0"/>
    </format>
    <format dxfId="35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3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36">
      <pivotArea outline="0" collapsedLevelsAreSubtotals="1" fieldPosition="0"/>
    </format>
    <format dxfId="235">
      <pivotArea dataOnly="0" labelOnly="1" fieldPosition="0">
        <references count="1">
          <reference field="1" count="0"/>
        </references>
      </pivotArea>
    </format>
    <format dxfId="23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218" totalsRowCount="1" headerRowDxfId="607" dataDxfId="605" headerRowBorderDxfId="606" tableBorderDxfId="604" totalsRowBorderDxfId="603">
  <autoFilter ref="A1:V217" xr:uid="{7E831CCF-E802-4A71-B6A7-513A8B426708}">
    <filterColumn colId="0">
      <dynamicFilter type="thisMonth" val="46174" maxVal="46204"/>
    </filterColumn>
  </autoFilter>
  <tableColumns count="22">
    <tableColumn id="1" xr3:uid="{76684A6E-C7B0-4199-8302-DE0D42A8A105}" name="Data" totalsRowLabel="Total" dataDxfId="602" totalsRowDxfId="601"/>
    <tableColumn id="2" xr3:uid="{F15B895A-5A3B-4C2D-B383-6D0C48AA278E}" name="Ticket" dataDxfId="600" totalsRowDxfId="599"/>
    <tableColumn id="3" xr3:uid="{6EFEAB9B-E063-4E4A-A6D2-F8CA892B2013}" name="Vendedor" dataDxfId="598" totalsRowDxfId="597"/>
    <tableColumn id="4" xr3:uid="{EF07BB64-6F57-4639-A122-622E6666E3DE}" name="Cliente" dataDxfId="596" totalsRowDxfId="595"/>
    <tableColumn id="5" xr3:uid="{625FDEEF-1D7F-47FF-83F2-1A660D74F81C}" name="Produto" dataDxfId="594" totalsRowDxfId="593"/>
    <tableColumn id="6" xr3:uid="{86198995-B475-46CD-8D95-629C89133146}" name="TipoReceita" dataDxfId="592" totalsRowDxfId="591"/>
    <tableColumn id="7" xr3:uid="{511AE429-E4B5-42F3-A35D-C9BC180DD29B}" name="Qtde" totalsRowFunction="sum" dataDxfId="590" totalsRowDxfId="589"/>
    <tableColumn id="8" xr3:uid="{DF379BCA-61D2-49FA-8CEF-5FB7467DE718}" name="VlrUnitário" dataDxfId="588" totalsRowDxfId="587"/>
    <tableColumn id="9" xr3:uid="{1945195E-4F82-478B-8B2D-7F0600A8CEC8}" name="VlrTotal" totalsRowFunction="sum" dataDxfId="586" totalsRowDxfId="585"/>
    <tableColumn id="21" xr3:uid="{0FCE8FB0-ED64-4402-9279-D3450C229927}" name="Vlr Meta" totalsRowFunction="sum" dataDxfId="584" totalsRowDxfId="583"/>
    <tableColumn id="10" xr3:uid="{1F8E86E1-C3B8-4BA1-8EF2-34FD28A99CD1}" name="%Comissão" dataDxfId="582" totalsRowDxfId="581" dataCellStyle="Porcentagem"/>
    <tableColumn id="11" xr3:uid="{7AF1D776-3583-4AA8-ABA9-5A652B9C2CC7}" name="%ComissãoSupervisor" dataDxfId="580" totalsRowDxfId="579" dataCellStyle="Porcentagem"/>
    <tableColumn id="12" xr3:uid="{776F0B3E-2DA8-4332-870D-42A9616574CD}" name="Base" dataDxfId="578" totalsRowDxfId="577"/>
    <tableColumn id="13" xr3:uid="{2ACE40DE-7D56-44B3-884F-A79E6BB72021}" name="ComissãoVendedor " totalsRowFunction="sum" dataDxfId="576" totalsRowDxfId="575"/>
    <tableColumn id="14" xr3:uid="{BA93F379-EB16-44E4-B240-F73C47EC360B}" name="ComissãoSupervisor" totalsRowFunction="sum" dataDxfId="574" totalsRowDxfId="573"/>
    <tableColumn id="15" xr3:uid="{1955815E-E6AE-4BF7-9F21-8DED62E8CFB6}" name="Clicksign" dataDxfId="572" totalsRowDxfId="571"/>
    <tableColumn id="16" xr3:uid="{8899F7C2-6C46-4913-9178-C3BFBB1A431F}" name="Contrato_Termo Aditivo" dataDxfId="570" totalsRowDxfId="569"/>
    <tableColumn id="17" xr3:uid="{C9C40A0A-C8C0-48A4-B2A9-E4A1A88755B6}" name="Obs" dataDxfId="568" totalsRowDxfId="567"/>
    <tableColumn id="18" xr3:uid="{492A95C3-2CCC-4EE6-9E8A-A11F6F0B43DA}" name="Parcelas" dataDxfId="566" totalsRowDxfId="565"/>
    <tableColumn id="22" xr3:uid="{EC452F76-CA8F-41A5-A01B-D142E0025C39}" name="Data Contrato" dataDxfId="564" totalsRowDxfId="563"/>
    <tableColumn id="19" xr3:uid="{167F829A-0296-408D-BAAA-468B00E956F1}" name="Contrato" dataDxfId="562" totalsRowDxfId="561"/>
    <tableColumn id="20" xr3:uid="{3FECAE39-38AF-4BA8-8C16-B26E27D74267}" name="SDR_RESPONSÁVEL" totalsRowFunction="count" dataDxfId="560" totalsRowDxfId="5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7" totalsRowShown="0" headerRowDxfId="558">
  <autoFilter ref="M1:AC57" xr:uid="{86D9BEC3-8CE7-4C1E-BA0F-25EC8B5FACDF}">
    <filterColumn colId="1">
      <filters>
        <dateGroupItem year="2026" dateTimeGrouping="year"/>
      </filters>
    </filterColumn>
  </autoFilter>
  <tableColumns count="17">
    <tableColumn id="1" xr3:uid="{65FF39B3-6AA4-47E3-A2E0-34AF59670B48}" name="Ano" dataDxfId="557"/>
    <tableColumn id="15" xr3:uid="{4F28688F-AE94-4AA3-B655-5355F9DA4CEC}" name="Mês" dataDxfId="556"/>
    <tableColumn id="2" xr3:uid="{9F352413-EAA1-41A7-B4D3-9D32DC5A8B88}" name="Vendedor"/>
    <tableColumn id="16" xr3:uid="{3D4D81D6-372A-48C5-9408-A36AD27C1B31}" name="Lead" dataDxfId="555"/>
    <tableColumn id="3" xr3:uid="{5D6A238A-B8BE-4B10-9CED-92C1F0D4F835}" name="Propsota" dataDxfId="554"/>
    <tableColumn id="4" xr3:uid="{2EF085B6-3E3A-46B0-8B55-AD9641ECEB8F}" name="Apresentação" dataDxfId="553"/>
    <tableColumn id="5" xr3:uid="{81EB3760-F668-479F-8FF5-C2210941AFE3}" name="Meta Individual" dataDxfId="552"/>
    <tableColumn id="6" xr3:uid="{897CAD94-46DD-414E-B5CF-D27344FB7C5F}" name="Meta Equipe" dataDxfId="551"/>
    <tableColumn id="7" xr3:uid="{DBA8DEF0-9D1D-42B7-8979-411FC3118DB7}" name="Meta Projetos" dataDxfId="550"/>
    <tableColumn id="17" xr3:uid="{2A353D1A-2C11-433A-B27A-F3ACE6F07AD9}" name="OBLead" dataDxfId="549"/>
    <tableColumn id="8" xr3:uid="{CF39EE58-1D3F-47E2-9DEA-C387BBAA7E67}" name="OB Proposta "/>
    <tableColumn id="9" xr3:uid="{0E45D32A-35C3-4D50-AE03-0075AD8C6EEA}" name="OB Apresentação"/>
    <tableColumn id="10" xr3:uid="{7B549B0C-BAC0-483C-B6BC-A82C834A1EEE}" name="OB Individual" dataDxfId="548"/>
    <tableColumn id="11" xr3:uid="{50C746E6-3A52-4E59-9FDB-C49049B8DB33}" name="OBEquipe" dataDxfId="547"/>
    <tableColumn id="12" xr3:uid="{DAD9E805-63F1-4227-AD05-A88F02501A42}" name="OB Projetos" dataDxfId="546"/>
    <tableColumn id="13" xr3:uid="{363BCA7E-0EE6-4F3F-AD3D-9BD2DD9564A6}" name="OBI" dataDxfId="545" dataCellStyle="Porcentagem">
      <calculatedColumnFormula>metas[[#This Row],[Meta Individual]]/metas[[#This Row],[OB Individual]]</calculatedColumnFormula>
    </tableColumn>
    <tableColumn id="14" xr3:uid="{B9AA1BFD-524A-4E21-8FFD-935006A08F7F}" name="OBE" dataDxfId="544"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493">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492"/>
    <tableColumn id="3" xr3:uid="{306573B0-663F-4FD5-A3DB-9F62497B49A9}" name="Produto"/>
    <tableColumn id="4" xr3:uid="{77DF7960-C077-4684-96D0-A87B770E7A42}" name="Responsável" dataDxfId="491"/>
    <tableColumn id="5" xr3:uid="{08577646-70E8-4AAD-838B-B3AD45B15BFA}" name="Vlr Projeto" dataDxfId="490"/>
    <tableColumn id="6" xr3:uid="{ECBE08A0-270B-44AD-AD1B-6FE645E9669D}" name="Mensalidade" dataDxfId="489"/>
    <tableColumn id="7" xr3:uid="{8DA10C52-D1C8-42CF-AEC3-B20978502172}" name="Horas" dataDxfId="488"/>
    <tableColumn id="8" xr3:uid="{DF4F6CC0-7A04-4D77-93AA-AF8D4237E27A}" name="Pipeline"/>
    <tableColumn id="9" xr3:uid="{2D7FB6EE-86E4-4C40-8A68-E47C1B133D6C}" name="Temperatura" dataDxfId="48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486" dataDxfId="485">
  <autoFilter ref="A1:U61" xr:uid="{82EEB8D0-CE5D-4E33-AA8F-68FA3FB9BE2A}"/>
  <tableColumns count="21">
    <tableColumn id="1" xr3:uid="{FDF714A1-D874-417D-A9CC-E0F5CD8364C0}" name="Data" totalsRowLabel="Total" dataDxfId="484" totalsRowDxfId="483"/>
    <tableColumn id="2" xr3:uid="{C9123B6B-DC9A-42B9-AB49-621ED871EEC6}" name="Ticket" dataDxfId="482" totalsRowDxfId="481"/>
    <tableColumn id="3" xr3:uid="{5EE4A1B1-B4FC-4010-A057-AFBCDF3C80A9}" name="Vendedor" dataDxfId="480" totalsRowDxfId="479"/>
    <tableColumn id="4" xr3:uid="{CD645F1C-700E-447C-8AFB-7FD118CE1220}" name="Cliente" dataDxfId="478" totalsRowDxfId="477"/>
    <tableColumn id="5" xr3:uid="{E6E29ECF-BE70-494F-8A66-4068F851AEC7}" name="Produto" dataDxfId="476" totalsRowDxfId="475"/>
    <tableColumn id="6" xr3:uid="{2F930CC3-19EA-4CB4-AF15-DD8CD9606F51}" name="TipoReceita" dataDxfId="474" totalsRowDxfId="473"/>
    <tableColumn id="7" xr3:uid="{CEB413ED-2BFB-4732-87B1-70ECDBE68737}" name="Qtde" dataDxfId="472" totalsRowDxfId="471"/>
    <tableColumn id="8" xr3:uid="{0FC4679B-8C0E-4915-BEAF-694BD9655225}" name="VlrUnitário" dataDxfId="470" totalsRowDxfId="469"/>
    <tableColumn id="9" xr3:uid="{EF19D10E-A4ED-48E8-B0BF-201B6109D558}" name="VlrTotal" totalsRowFunction="sum" dataDxfId="468" totalsRowDxfId="467"/>
    <tableColumn id="10" xr3:uid="{5D1AD167-E6F3-4299-B733-45131C7E5230}" name="Vlr Meta" totalsRowFunction="sum" dataDxfId="466" totalsRowDxfId="465"/>
    <tableColumn id="11" xr3:uid="{A20882DB-0D54-4D31-9C96-64E969432C02}" name="%Comissão" dataDxfId="464" totalsRowDxfId="463" dataCellStyle="Porcentagem"/>
    <tableColumn id="12" xr3:uid="{53FADB7C-1AFC-424B-8FC9-80755A67C5BB}" name="%ComissãoSupervisor" dataDxfId="462" totalsRowDxfId="461" dataCellStyle="Porcentagem"/>
    <tableColumn id="13" xr3:uid="{5CF9A7CA-E3CE-4259-87AC-ED9493455B65}" name="Base" dataDxfId="460" totalsRowDxfId="459"/>
    <tableColumn id="14" xr3:uid="{A5274DAD-9DB2-4B17-9537-C9AADA14F4EA}" name="ComissãoVendedor " totalsRowFunction="sum" dataDxfId="458" totalsRowDxfId="457"/>
    <tableColumn id="15" xr3:uid="{B72E7035-569C-44CF-9EC3-82C0F46FD072}" name="ComissãoSupervisor" totalsRowFunction="sum" dataDxfId="456" totalsRowDxfId="455"/>
    <tableColumn id="16" xr3:uid="{B62C88FC-04AD-4E74-828E-41FB780EF4E9}" name="Clicksign" dataDxfId="454" totalsRowDxfId="453"/>
    <tableColumn id="17" xr3:uid="{43B9E5D9-373B-42B4-8C07-5118CE8E0679}" name="Contrato_Termo Aditivo" dataDxfId="452" totalsRowDxfId="451"/>
    <tableColumn id="18" xr3:uid="{674995D7-A090-40AA-87D2-F212C3CB0550}" name="Obs" dataDxfId="450" totalsRowDxfId="449"/>
    <tableColumn id="19" xr3:uid="{1B38FD7B-AEA1-4772-9790-456B0A6B3CAE}" name="Parcelas" dataDxfId="448" totalsRowDxfId="447"/>
    <tableColumn id="20" xr3:uid="{E47F7669-974D-406F-977B-68C71598F46F}" name="Contrato" dataDxfId="446" totalsRowDxfId="445"/>
    <tableColumn id="21" xr3:uid="{FC398DAA-0384-4ED0-85A6-8DB0EC189ADA}" name="SDR_RESPONSÁVEL" totalsRowFunction="count" dataDxfId="444" totalsRowDxfId="443"/>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42" dataDxfId="440" totalsRowDxfId="438" headerRowBorderDxfId="441" tableBorderDxfId="439" totalsRowBorderDxfId="437">
  <autoFilter ref="A1:T39" xr:uid="{FA16E0BC-1B01-4779-A523-F5AA6B5E51F4}"/>
  <tableColumns count="20">
    <tableColumn id="1" xr3:uid="{4C21184A-44CC-4EE0-8661-F18F99CCF773}" name="Data" totalsRowLabel="Total" dataDxfId="436" totalsRowDxfId="435"/>
    <tableColumn id="2" xr3:uid="{AE9B43E8-4AB3-4ECB-B1F7-05CFBD6F78DA}" name="Ticket" dataDxfId="434" totalsRowDxfId="433"/>
    <tableColumn id="3" xr3:uid="{DED0B5A8-E2EB-461D-940E-56B6906B1974}" name="Vendedor" dataDxfId="432" totalsRowDxfId="431"/>
    <tableColumn id="4" xr3:uid="{F3C569F1-990C-4A11-A1D3-8ECFB0FD57B6}" name="Cliente" dataDxfId="430" totalsRowDxfId="429"/>
    <tableColumn id="5" xr3:uid="{61CCE236-22AA-49B6-A6DC-B78FFD8F7C4C}" name="Produto" dataDxfId="428" totalsRowDxfId="427"/>
    <tableColumn id="6" xr3:uid="{4F0ECD4A-6CD6-4B9D-9A55-3CA2652D0EF9}" name="TipoReceita" dataDxfId="426" totalsRowDxfId="425"/>
    <tableColumn id="7" xr3:uid="{5A38B627-1D9C-4E8D-834F-AFB8B46F319F}" name="Qtde" dataDxfId="424" totalsRowDxfId="423"/>
    <tableColumn id="8" xr3:uid="{9A7106D1-2566-4F8E-B087-BE94BF2F6481}" name="VlrUnitário" dataDxfId="422" totalsRowDxfId="421"/>
    <tableColumn id="9" xr3:uid="{141D27AC-20C6-43D9-9F0F-372CAB0D4BEA}" name="VlrTotal" totalsRowFunction="sum" dataDxfId="420" totalsRowDxfId="419"/>
    <tableColumn id="10" xr3:uid="{9FF41B08-0A53-4FE5-AC69-7C1C72342134}" name="%Comissão" dataDxfId="418" totalsRowDxfId="417" dataCellStyle="Porcentagem"/>
    <tableColumn id="11" xr3:uid="{CCBA7B46-6AF4-4E49-88BB-EAA1E9BCBFD1}" name="%ComissãoSupervisor" dataDxfId="416" totalsRowDxfId="415" dataCellStyle="Porcentagem"/>
    <tableColumn id="12" xr3:uid="{E4F1B715-9DEA-4EAF-97AF-E348093D9C5B}" name="Base" dataDxfId="414" totalsRowDxfId="413"/>
    <tableColumn id="13" xr3:uid="{5FF8D42C-CF34-4949-A4E0-D1379216A978}" name="ComissãoVendedor " totalsRowFunction="sum" dataDxfId="412" totalsRowDxfId="411"/>
    <tableColumn id="14" xr3:uid="{8AD2B6AD-FB83-493E-95FD-73A4DF6D3A7F}" name="ComissãoSupervisor" totalsRowFunction="sum" dataDxfId="410" totalsRowDxfId="409"/>
    <tableColumn id="15" xr3:uid="{E36C2879-DCB7-47E4-926C-4D1CFEF1DDB9}" name="Clicksign" dataDxfId="408" totalsRowDxfId="407"/>
    <tableColumn id="16" xr3:uid="{4CBF53D7-5E48-4A66-A9D6-945E0F991E27}" name="Contrato_Termo Aditivo" dataDxfId="406" totalsRowDxfId="405"/>
    <tableColumn id="17" xr3:uid="{B859C796-E301-4D3B-AF03-966FCC5341C4}" name="Obs" dataDxfId="404" totalsRowDxfId="403"/>
    <tableColumn id="18" xr3:uid="{8C299E41-B52B-4CD0-B302-76DE9544C246}" name="Parcelas" dataDxfId="402" totalsRowDxfId="401"/>
    <tableColumn id="19" xr3:uid="{F7F7FB0F-7370-462E-BE66-7CA061F4B3B6}" name="Contrato" dataDxfId="400" totalsRowDxfId="399"/>
    <tableColumn id="20" xr3:uid="{025BEC9C-214E-48B4-8731-AE066749F9C4}" name="SDR_RESPONSÁVEL" totalsRowFunction="count" dataDxfId="398" totalsRowDxfId="397"/>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282" dataDxfId="280" totalsRowDxfId="278" headerRowBorderDxfId="281" tableBorderDxfId="279" totalsRowBorderDxfId="277">
  <autoFilter ref="A1:T472" xr:uid="{7B01CAB7-A111-4A1F-874C-05E6EF76761E}"/>
  <tableColumns count="20">
    <tableColumn id="1" xr3:uid="{D98A93E1-518A-437B-B560-00DA34E821B9}" name="Data" dataDxfId="276" totalsRowDxfId="275"/>
    <tableColumn id="2" xr3:uid="{E88C721A-9459-47D3-A404-36378FCFCDBC}" name="Ticket" dataDxfId="274" totalsRowDxfId="273"/>
    <tableColumn id="20" xr3:uid="{36C32BDC-9C00-4E36-ABE0-7C4FB1417122}" name="Vendedor" dataDxfId="272" totalsRowDxfId="271"/>
    <tableColumn id="21" xr3:uid="{15E6999E-F87A-4E92-8F1A-DD29C2D03C79}" name="Cliente" dataDxfId="270" totalsRowDxfId="269"/>
    <tableColumn id="4" xr3:uid="{841A1A22-266C-4ADD-A8E1-D5B95AC720B2}" name="Produto" dataDxfId="268" totalsRowDxfId="267"/>
    <tableColumn id="22" xr3:uid="{9E7A4823-6FF5-43AC-8F94-86E07BC3535C}" name="TipoReceita" dataDxfId="266" totalsRowDxfId="265"/>
    <tableColumn id="5" xr3:uid="{FCC66FFD-B33C-49DF-8B3D-36A59C2672DE}" name="Qtde" totalsRowFunction="sum" dataDxfId="264" totalsRowDxfId="263"/>
    <tableColumn id="6" xr3:uid="{7C7708B0-856F-4F76-BB9A-C08A8D54998A}" name="VlrUnitário" dataDxfId="262" totalsRowDxfId="261"/>
    <tableColumn id="7" xr3:uid="{DAAF017B-4132-45EC-AD6F-694FBC225003}" name="VlrTotal" totalsRowFunction="sum" dataDxfId="260" totalsRowDxfId="259"/>
    <tableColumn id="8" xr3:uid="{BE877EFB-9A45-42CB-A398-6810470BF145}" name="%Comissão" dataDxfId="258" totalsRowDxfId="257"/>
    <tableColumn id="24" xr3:uid="{2891F2B7-9296-47A8-A6D2-6F937C88CF9C}" name="%ComissãoSupervisor" dataDxfId="256" totalsRowDxfId="255" dataCellStyle="Porcentagem"/>
    <tableColumn id="23" xr3:uid="{D9138345-7A13-4DF3-A0A3-03ABBA4517C3}" name="Base" dataDxfId="254" totalsRowDxfId="253"/>
    <tableColumn id="12" xr3:uid="{2DCA9EA6-5A40-4243-B9A8-52C9B5628C8D}" name="ComissãoVendedor " totalsRowFunction="sum" dataDxfId="252" totalsRowDxfId="251"/>
    <tableColumn id="19" xr3:uid="{B57463C3-FF1A-4F7C-8BE9-8033C5DDAABF}" name="ComissãoSupervisor" totalsRowFunction="sum" dataDxfId="250" totalsRowDxfId="249">
      <calculatedColumnFormula>I2*K2</calculatedColumnFormula>
    </tableColumn>
    <tableColumn id="13" xr3:uid="{0B98ECE0-DA19-407A-BCF0-C9536DA8924D}" name="Clicksign" dataDxfId="248" totalsRowDxfId="247"/>
    <tableColumn id="15" xr3:uid="{A24336E0-1F31-4129-A7A3-E801FA9E3771}" name="Contrato_Termo Aditivo" dataDxfId="246" totalsRowDxfId="245"/>
    <tableColumn id="18" xr3:uid="{BED66D4B-16BD-4626-B834-B792A67FF693}" name="Obs" dataDxfId="244" totalsRowDxfId="243"/>
    <tableColumn id="3" xr3:uid="{09087987-4727-462C-A676-B2798483B70E}" name="Parcelas" dataDxfId="242" totalsRowDxfId="241"/>
    <tableColumn id="9" xr3:uid="{FC0705B0-6485-4403-BED7-415CB4369586}" name="Contrato" dataDxfId="240" totalsRowDxfId="239"/>
    <tableColumn id="10" xr3:uid="{468DE6E7-89A6-4755-BD52-A5A6134AD835}" name="SDR_RESPONSÁVEL" totalsRowFunction="count" dataDxfId="238" totalsRowDxfId="237"/>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32" dataDxfId="231">
  <autoFilter ref="A867:F1039" xr:uid="{7A9B4EAF-0C6C-4CB4-8FF9-ACC9F3932E87}">
    <filterColumn colId="0">
      <filters>
        <dateGroupItem year="2026" dateTimeGrouping="year"/>
      </filters>
    </filterColumn>
  </autoFilter>
  <tableColumns count="6">
    <tableColumn id="1" xr3:uid="{FB20A868-C54A-4318-90D3-550D7885B37C}" name="Mês" dataDxfId="230"/>
    <tableColumn id="2" xr3:uid="{B68CA983-D16E-44EB-BB27-CFCB434B4917}" name="Vendedor" dataDxfId="229"/>
    <tableColumn id="3" xr3:uid="{AA0D617C-AB69-4353-A05D-4CE569F76D3C}" name="Comissão" dataDxfId="228"/>
    <tableColumn id="4" xr3:uid="{BE9D0C40-3D48-4F36-8C56-B9F4BF5CBE92}" name="Pago em" dataDxfId="227"/>
    <tableColumn id="5" xr3:uid="{75570D4F-F2F5-45CF-8D02-81B06EE9ABB9}" name="Count" dataDxfId="226"/>
    <tableColumn id="6" xr3:uid="{156C348A-8365-4ECD-8330-6BCE96EB2A6C}" name="Ano" dataDxfId="225"/>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24"/>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23"/>
    <tableColumn id="6" xr3:uid="{CBE87A94-DE6E-4285-BD4F-53A7D915C0E9}" uniqueName="6" name="Razão social" queryTableFieldId="6" dataDxfId="222"/>
    <tableColumn id="7" xr3:uid="{09887FDB-35E3-4620-BDCF-C53CB8BD1907}" uniqueName="7" name="Título do negócio" queryTableFieldId="7" dataDxfId="221"/>
    <tableColumn id="8" xr3:uid="{489F02EC-E957-4B33-B3D0-8CAA7B10EB8E}" uniqueName="8" name="CNPJ" queryTableFieldId="8"/>
    <tableColumn id="9" xr3:uid="{B7EA3BFD-AC42-48FB-9B6F-075FF1258307}" uniqueName="9" name="Nome do Cliente" queryTableFieldId="9" dataDxfId="220"/>
    <tableColumn id="10" xr3:uid="{C5F8166A-0642-4311-B0EE-AF768F9A6B42}" uniqueName="10" name="Nome do Contato" queryTableFieldId="10" dataDxfId="219"/>
    <tableColumn id="11" xr3:uid="{E373BC8E-FF44-46C1-8BBC-4A2A4F60C7FE}" uniqueName="11" name="Telefone do Contato" queryTableFieldId="11" dataDxfId="218"/>
    <tableColumn id="12" xr3:uid="{E47FA22B-98C0-4A66-AD84-FC7BB89C6A58}" uniqueName="12" name="Celular do Contato" queryTableFieldId="12" dataDxfId="217"/>
    <tableColumn id="13" xr3:uid="{D236F7C3-2841-47E5-A1D3-4AC2C4E7C211}" uniqueName="13" name="E-mail do contato" queryTableFieldId="13" dataDxfId="216"/>
    <tableColumn id="14" xr3:uid="{2A49ABC7-3326-4E83-9B52-C9A10176A3BC}" uniqueName="14" name="Grupo do cliente" queryTableFieldId="14" dataDxfId="215"/>
    <tableColumn id="15" xr3:uid="{768421AB-6F00-4E3D-802E-DD5A7B01989B}" uniqueName="15" name="Contatos" queryTableFieldId="15" dataDxfId="214"/>
    <tableColumn id="16" xr3:uid="{B7479E1D-0651-4D86-9855-A6544C4DFE8A}" uniqueName="16" name="Endereço" queryTableFieldId="16" dataDxfId="213"/>
    <tableColumn id="17" xr3:uid="{CBDC0715-CDB4-4A3D-BA4E-6DE3FA68F809}" uniqueName="17" name="Cidade" queryTableFieldId="17" dataDxfId="212"/>
    <tableColumn id="18" xr3:uid="{3453DAD6-C85C-450E-99FF-91469E17F829}" uniqueName="18" name="Estado" queryTableFieldId="18" dataDxfId="211"/>
    <tableColumn id="19" xr3:uid="{BFFA8133-959F-4C00-B3DC-64EF7A462C70}" uniqueName="19" name="Origem" queryTableFieldId="19" dataDxfId="210"/>
    <tableColumn id="20" xr3:uid="{54F3BCFD-7922-4E12-912E-2E42ED625E8E}" uniqueName="20" name="Origem do cliente" queryTableFieldId="20" dataDxfId="209"/>
    <tableColumn id="21" xr3:uid="{4841ADBD-907C-4F49-AD32-A5758306F00D}" uniqueName="21" name="Categoria do cliente" queryTableFieldId="21" dataDxfId="208"/>
    <tableColumn id="22" xr3:uid="{27B6B7FD-08E2-4FAB-AE93-BD95AEF27A4A}" uniqueName="22" name="TAGS" queryTableFieldId="22" dataDxfId="207"/>
    <tableColumn id="23" xr3:uid="{8DA2DA71-3E50-4A46-AAC4-3CF7DA233C62}" uniqueName="23" name="Funil de vendas" queryTableFieldId="23" dataDxfId="206"/>
    <tableColumn id="24" xr3:uid="{9E02B082-1677-4B86-AFDF-90B0986B08D1}" uniqueName="24" name="Etapa do funil de vendas" queryTableFieldId="24" dataDxfId="205"/>
    <tableColumn id="25" xr3:uid="{ABFCFA4B-A592-44AC-91C4-B7B80F8EE1C4}" uniqueName="25" name="Forma de Pagamento" queryTableFieldId="25" dataDxfId="204"/>
    <tableColumn id="26" xr3:uid="{CA852046-D628-426B-B418-FF1D2317F78C}" uniqueName="26" name="Data esperada de fechamento" queryTableFieldId="26" dataDxfId="203"/>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02"/>
    <tableColumn id="31" xr3:uid="{20F99E58-AB46-4597-BDCE-41F115FBF9DD}" uniqueName="31" name="Data de Criação" queryTableFieldId="31" dataDxfId="201"/>
    <tableColumn id="32" xr3:uid="{267E0369-4AB6-4B0E-900E-A52A0C68F27A}" uniqueName="32" name="Hora de Criação" queryTableFieldId="32" dataDxfId="200"/>
    <tableColumn id="33" xr3:uid="{3ED1E8E8-2C02-44B1-85F7-68DABBDC0FFC}" uniqueName="33" name="Código externo" queryTableFieldId="33" dataDxfId="199"/>
    <tableColumn id="34" xr3:uid="{8EBC58A9-606E-4A64-A808-D87DADCEE496}" uniqueName="34" name="Status" queryTableFieldId="34" dataDxfId="198"/>
    <tableColumn id="35" xr3:uid="{D67BD68F-6116-4A3E-A324-4835EF324C2B}" uniqueName="35" name="Data de Perda/Ganho" queryTableFieldId="35" dataDxfId="197"/>
    <tableColumn id="36" xr3:uid="{F5E4F8E7-678E-4A08-83C0-5DF0CDDF83FE}" uniqueName="36" name="Hora de Perda/Ganho" queryTableFieldId="36" dataDxfId="196"/>
    <tableColumn id="37" xr3:uid="{A3E25483-5EDE-482D-B422-7495AC3681F0}" uniqueName="37" name="Motivo de perda" queryTableFieldId="37" dataDxfId="195"/>
    <tableColumn id="38" xr3:uid="{9BDBDEF4-F472-4BC2-A19B-3A5BBF571263}" uniqueName="38" name="Razão de Perda" queryTableFieldId="38" dataDxfId="194"/>
    <tableColumn id="39" xr3:uid="{6CEDE161-6498-4F3F-A241-464682713E29}" uniqueName="39" name="Data Venda  Agenda" queryTableFieldId="39" dataDxfId="193"/>
    <tableColumn id="40" xr3:uid="{AAF6D804-27BE-40AA-A48E-CAD6DA14262A}" uniqueName="40" name="Data Proposta" queryTableFieldId="40" dataDxfId="192"/>
    <tableColumn id="41" xr3:uid="{A384EDEA-CA81-4E3B-8F58-1BF98F57506F}" uniqueName="41" name="SDRResponsável" queryTableFieldId="41" dataDxfId="191"/>
    <tableColumn id="42" xr3:uid="{E49259CF-0FF4-40D2-AB01-99C229B760DF}" uniqueName="42" name="DataApresentação1" queryTableFieldId="42" dataDxfId="190"/>
    <tableColumn id="43" xr3:uid="{75285A4D-0112-4034-A2AF-AA4705378E59}" uniqueName="43" name="DataApresentação2" queryTableFieldId="43" dataDxfId="189"/>
    <tableColumn id="44" xr3:uid="{0A3858B8-B3AD-46AC-9C95-BF25A96B3BE7}" uniqueName="44" name="Data UltContato" queryTableFieldId="44" dataDxfId="188"/>
    <tableColumn id="45" xr3:uid="{4E3896E7-0E34-4F67-8449-9C4FFD89CD0E}" uniqueName="45" name="Temperatura" queryTableFieldId="45" dataDxfId="187"/>
    <tableColumn id="46" xr3:uid="{493C3EC1-A15A-4BBD-8BF7-4C41387CB9F2}" uniqueName="46" name="Horas" queryTableFieldId="46" dataDxfId="186"/>
    <tableColumn id="47" xr3:uid="{E35BF434-0FA1-4027-B123-AE0769A46904}" uniqueName="47" name="Produtos" queryTableFieldId="47" dataDxfId="185"/>
    <tableColumn id="48" xr3:uid="{468BC8B6-B38C-4DB0-96FD-DFE55FC8ED6C}" uniqueName="48" name="Vlr Projeto" queryTableFieldId="48" dataDxfId="184"/>
    <tableColumn id="49" xr3:uid="{6ED41C70-B488-4E3D-B323-FD31332C7575}" uniqueName="49" name="Vlr Mensalidade" queryTableFieldId="49" dataDxfId="183"/>
    <tableColumn id="50" xr3:uid="{9FD843D3-6241-4E66-BABB-701962EA0660}" uniqueName="50" name="QTDE" queryTableFieldId="50" dataDxfId="18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181"/>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180"/>
    <tableColumn id="6" xr3:uid="{874CB533-C906-4B19-8FB2-A9B7AB544979}" uniqueName="6" name="Razão social" queryTableFieldId="6" dataDxfId="179"/>
    <tableColumn id="7" xr3:uid="{B838C63B-0DB5-4DF9-A734-4819D4D91B16}" uniqueName="7" name="Título do negócio" queryTableFieldId="7" dataDxfId="178"/>
    <tableColumn id="8" xr3:uid="{909DC2EB-CEA0-4FE5-A88C-843DDE979854}" uniqueName="8" name="CNPJ" queryTableFieldId="8"/>
    <tableColumn id="9" xr3:uid="{CD11231E-71E5-4A58-8D4C-3C2ACAEE7AED}" uniqueName="9" name="Nome do Cliente" queryTableFieldId="9" dataDxfId="177"/>
    <tableColumn id="10" xr3:uid="{05265F90-2572-4E99-B1AF-D25A0829C63F}" uniqueName="10" name="Nome do Contato" queryTableFieldId="10" dataDxfId="176"/>
    <tableColumn id="11" xr3:uid="{5E7C55EB-0E8B-44B8-8CC5-1F571C57D324}" uniqueName="11" name="Telefone do Contato" queryTableFieldId="11" dataDxfId="175"/>
    <tableColumn id="12" xr3:uid="{8FFDE287-C36B-4B9A-8940-1760A8AF96D8}" uniqueName="12" name="Celular do Contato" queryTableFieldId="12"/>
    <tableColumn id="13" xr3:uid="{D866E01C-BE8C-48F6-ABEA-E79D580A6E11}" uniqueName="13" name="E-mail" queryTableFieldId="13" dataDxfId="174"/>
    <tableColumn id="14" xr3:uid="{8F4C7A63-EE14-4662-AB65-437CD720852A}" uniqueName="14" name="Contatos" queryTableFieldId="14" dataDxfId="173"/>
    <tableColumn id="15" xr3:uid="{DE3BCCAF-C1AF-491E-9D91-7562F3C53A83}" uniqueName="15" name="Endereço" queryTableFieldId="15" dataDxfId="172"/>
    <tableColumn id="16" xr3:uid="{DB7D31B4-9D6E-4D5F-BD35-D85E6E21C294}" uniqueName="16" name="Cidade" queryTableFieldId="16" dataDxfId="171"/>
    <tableColumn id="17" xr3:uid="{CC0FEDE9-C5BD-4BC7-A298-5F39A828289E}" uniqueName="17" name="Estado" queryTableFieldId="17" dataDxfId="170"/>
    <tableColumn id="18" xr3:uid="{4221F071-BFA0-44ED-9E0A-CC8A59E8FE58}" uniqueName="18" name="Origem" queryTableFieldId="18" dataDxfId="169"/>
    <tableColumn id="19" xr3:uid="{A4355A7A-4A60-4417-A76F-04AE3E80524E}" uniqueName="19" name="TAGS" queryTableFieldId="19" dataDxfId="168"/>
    <tableColumn id="20" xr3:uid="{127A6323-B959-4F7C-AC57-78D9CE68331B}" uniqueName="20" name="Funil de vendas" queryTableFieldId="20" dataDxfId="167"/>
    <tableColumn id="21" xr3:uid="{8EFB872E-0A60-4880-8458-F8E6C1A801CB}" uniqueName="21" name="Etapa do funil de vendas" queryTableFieldId="21" dataDxfId="166"/>
    <tableColumn id="22" xr3:uid="{4057C1FD-9EC2-4303-9016-1715F8F4F3A7}" uniqueName="22" name="Forma de Pagamento" queryTableFieldId="22" dataDxfId="165"/>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64"/>
    <tableColumn id="26" xr3:uid="{3B0E6E40-BC9B-4200-89AC-3F372096B2A8}" uniqueName="26" name="Tempo como pós venda" queryTableFieldId="26"/>
    <tableColumn id="27" xr3:uid="{985AD707-61EE-4A26-8FB2-EA6CEDB1E8BA}" uniqueName="27" name="Data de Criação" queryTableFieldId="27" dataDxfId="163"/>
    <tableColumn id="28" xr3:uid="{D1FE223F-D0AF-449B-B944-9C30DDA1C9C5}" uniqueName="28" name="Hora de Criação" queryTableFieldId="28" dataDxfId="162"/>
    <tableColumn id="29" xr3:uid="{7AF73B45-1471-4A0E-9D25-5D304FB8A467}" uniqueName="29" name="Status" queryTableFieldId="29" dataDxfId="161"/>
    <tableColumn id="30" xr3:uid="{4206398E-EB31-4D5A-9AE8-1FB8D5050C5E}" uniqueName="30" name="Data de Perda/Ganho" queryTableFieldId="30" dataDxfId="160"/>
    <tableColumn id="31" xr3:uid="{14280A48-F44F-4E3E-A9EE-3A1CD51709D6}" uniqueName="31" name="Hora de Perda/Ganho" queryTableFieldId="31" dataDxfId="159"/>
    <tableColumn id="32" xr3:uid="{458C9950-FBE5-426C-B56B-F626D7E9FE5B}" uniqueName="32" name="Motivo de perda" queryTableFieldId="32" dataDxfId="158"/>
    <tableColumn id="33" xr3:uid="{A0E07746-40EE-479A-8AEC-D52571F2EE44}" uniqueName="33" name="Razão de Perda" queryTableFieldId="33"/>
    <tableColumn id="34" xr3:uid="{FDBACAB6-4052-4409-808D-1DDF39B2A783}" uniqueName="34" name="Data Proposta" queryTableFieldId="34" dataDxfId="157"/>
    <tableColumn id="35" xr3:uid="{912B14E4-F9DF-4D73-8228-3A244ECD4A6B}" uniqueName="35" name="DataApresentação1" queryTableFieldId="35" dataDxfId="156"/>
    <tableColumn id="36" xr3:uid="{A74222D5-28A6-4D45-AD64-DDC465AF7CC5}" uniqueName="36" name="DataApresentação2" queryTableFieldId="36" dataDxfId="155"/>
    <tableColumn id="37" xr3:uid="{97201CBA-70CC-4FD6-89EE-D69F3DB929E5}" uniqueName="37" name="Data UltContato" queryTableFieldId="37" dataDxfId="154"/>
    <tableColumn id="38" xr3:uid="{1F306328-79C2-43F3-A43E-340346C9E490}" uniqueName="38" name="Temperatura" queryTableFieldId="38" dataDxfId="153"/>
    <tableColumn id="39" xr3:uid="{AAE44C16-35E4-41E1-B086-A4E8AEF21720}" uniqueName="39" name="Horas" queryTableFieldId="39" dataDxfId="152"/>
    <tableColumn id="40" xr3:uid="{52E7DAA2-436D-4EE1-9094-8BD419C0AAB7}" uniqueName="40" name="Vlr Projeto" queryTableFieldId="40" dataDxfId="151"/>
    <tableColumn id="41" xr3:uid="{DA2EAA45-2398-44AC-AE82-C299CF986D49}" uniqueName="41" name="Vlr Mensalidade" queryTableFieldId="41" dataDxfId="150"/>
    <tableColumn id="42" xr3:uid="{C7E9C93B-D13C-46E0-A7AA-CC6C130098FB}" uniqueName="42" name="Produtos" queryTableFieldId="42" dataDxfId="149"/>
    <tableColumn id="43" xr3:uid="{295C9D30-71BC-42B4-AA62-D72EF35AB869}" uniqueName="43" name="Qtde" queryTableFieldId="43" dataDxfId="14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47"/>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46"/>
    <tableColumn id="8" xr3:uid="{C53D8128-CE59-4E9E-A64E-60414DDD7916}" uniqueName="8" name="CNPJ" queryTableFieldId="8"/>
    <tableColumn id="9" xr3:uid="{E7613A43-0BF0-4862-9AA7-8E6B7359F8FF}" uniqueName="9" name="Nome do Cliente" queryTableFieldId="9" dataDxfId="145"/>
    <tableColumn id="10" xr3:uid="{FE97FA32-6FF3-4E5E-9BF5-48D1B6AEB67B}" uniqueName="10" name="Nome do Contato" queryTableFieldId="10" dataDxfId="144"/>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43"/>
    <tableColumn id="14" xr3:uid="{FF380B9C-7E02-4273-9007-88D08E1E9E93}" uniqueName="14" name="Contatos" queryTableFieldId="14"/>
    <tableColumn id="15" xr3:uid="{02CC331F-2916-4388-82BD-6151884837C5}" uniqueName="15" name="Endereço" queryTableFieldId="15" dataDxfId="142"/>
    <tableColumn id="16" xr3:uid="{A8831C4D-1259-4FC5-96AE-44BFBE3531A7}" uniqueName="16" name="Cidade" queryTableFieldId="16" dataDxfId="141"/>
    <tableColumn id="17" xr3:uid="{DA4852BE-E3EE-4F9E-9A1C-C014CCE9E8FB}" uniqueName="17" name="Estado" queryTableFieldId="17" dataDxfId="140"/>
    <tableColumn id="18" xr3:uid="{141C7615-D3F2-40CD-8AD6-54C95E553D2B}" uniqueName="18" name="Origem" queryTableFieldId="18" dataDxfId="139"/>
    <tableColumn id="19" xr3:uid="{84DADEE5-095F-4343-B53B-A2854E53F18F}" uniqueName="19" name="TAGS" queryTableFieldId="19" dataDxfId="138"/>
    <tableColumn id="20" xr3:uid="{BE601783-814C-469F-B1E6-D4414A0BF5A1}" uniqueName="20" name="Funil de vendas" queryTableFieldId="20" dataDxfId="137"/>
    <tableColumn id="21" xr3:uid="{50334F77-9C37-4615-BEE1-6701F0E87F7D}" uniqueName="21" name="Etapa do funil de vendas" queryTableFieldId="21" dataDxfId="136"/>
    <tableColumn id="22" xr3:uid="{D73F32C2-12CB-464C-87AB-91B534CF205A}" uniqueName="22" name="Forma de Pagamento" queryTableFieldId="22" dataDxfId="135"/>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34"/>
    <tableColumn id="26" xr3:uid="{4DA6F876-E8AD-432A-9340-0424A085D0D7}" uniqueName="26" name="Tempo como pós venda" queryTableFieldId="26"/>
    <tableColumn id="27" xr3:uid="{57C009B9-6D10-49D2-BD0E-DC3953BB7E6D}" uniqueName="27" name="Data de Criação" queryTableFieldId="27" dataDxfId="133"/>
    <tableColumn id="28" xr3:uid="{1BB12652-3102-4960-AB02-5972739FEF11}" uniqueName="28" name="Hora de Criação" queryTableFieldId="28" dataDxfId="132"/>
    <tableColumn id="29" xr3:uid="{14B6BE92-D3C6-46E0-B292-7D1E0E6DA160}" uniqueName="29" name="Status" queryTableFieldId="29" dataDxfId="131"/>
    <tableColumn id="30" xr3:uid="{1683160A-1F86-4351-99E3-268583AD1EDA}" uniqueName="30" name="Data de Perda/Ganho" queryTableFieldId="30" dataDxfId="130"/>
    <tableColumn id="31" xr3:uid="{525A694C-D6FE-4FFA-AC17-66B0A5F5547C}" uniqueName="31" name="Hora de Perda/Ganho" queryTableFieldId="31" dataDxfId="129"/>
    <tableColumn id="32" xr3:uid="{609DC66E-2430-4723-ACFA-DD97A1696A19}" uniqueName="32" name="Motivo de perda" queryTableFieldId="32" dataDxfId="128"/>
    <tableColumn id="33" xr3:uid="{08E5268C-178E-4B37-8AA0-101BC2C46977}" uniqueName="33" name="Razão de Perda" queryTableFieldId="33"/>
    <tableColumn id="34" xr3:uid="{9517416E-12E1-4380-8C08-0D01B5911766}" uniqueName="34" name="Data Proposta" queryTableFieldId="34" dataDxfId="127"/>
    <tableColumn id="35" xr3:uid="{2E66FED3-C176-4E3B-A356-31C7C08CBD34}" uniqueName="35" name="DataApresentação1" queryTableFieldId="35" dataDxfId="126"/>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25"/>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24"/>
    <tableColumn id="6" xr3:uid="{B2E94FB6-EA59-4C43-AD0F-5791BDA6E13A}" uniqueName="6" name="Razão social" queryTableFieldId="6" dataDxfId="123"/>
    <tableColumn id="7" xr3:uid="{CD7A8E33-244F-4CA3-8836-E5CE817B2720}" uniqueName="7" name="Título do negócio" queryTableFieldId="7" dataDxfId="122"/>
    <tableColumn id="8" xr3:uid="{E6C4065F-22E1-40D8-B4DC-C0E5968ADABA}" uniqueName="8" name="CNPJ" queryTableFieldId="8"/>
    <tableColumn id="9" xr3:uid="{2EBF13C4-49F5-41D2-BE54-4DE5D2947F78}" uniqueName="9" name="Nome do Cliente" queryTableFieldId="9" dataDxfId="121"/>
    <tableColumn id="10" xr3:uid="{E7A02E27-BF96-4F02-BB92-32885B3AEE23}" uniqueName="10" name="Nome do Contato" queryTableFieldId="10" dataDxfId="120"/>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19"/>
    <tableColumn id="14" xr3:uid="{A4E87BBB-FF83-41AA-B630-9F20BB285574}" uniqueName="14" name="Grupo do cliente" queryTableFieldId="14" dataDxfId="118"/>
    <tableColumn id="15" xr3:uid="{5E574475-1F29-458F-AEDF-E64D62E69EF1}" uniqueName="15" name="Contatos" queryTableFieldId="15" dataDxfId="117"/>
    <tableColumn id="16" xr3:uid="{4F5538B1-72DE-4A41-9E4E-CEC5FFC0DC9C}" uniqueName="16" name="Endereço" queryTableFieldId="16" dataDxfId="116"/>
    <tableColumn id="17" xr3:uid="{0922BF57-1964-4805-AD20-57C3751B67DD}" uniqueName="17" name="Cidade" queryTableFieldId="17" dataDxfId="115"/>
    <tableColumn id="18" xr3:uid="{CF8B72FC-7A20-4673-A961-7C5C2F89800B}" uniqueName="18" name="Estado" queryTableFieldId="18" dataDxfId="114"/>
    <tableColumn id="19" xr3:uid="{1D7794B7-9149-460D-81E5-971758704AE1}" uniqueName="19" name="Origem" queryTableFieldId="19" dataDxfId="113"/>
    <tableColumn id="20" xr3:uid="{56801F2A-1E9C-4202-A4D7-E8B7010F6F6D}" uniqueName="20" name="Origem do cliente" queryTableFieldId="20" dataDxfId="112"/>
    <tableColumn id="21" xr3:uid="{B1A68A04-0A0A-4273-A209-47220E12255A}" uniqueName="21" name="Categoria do cliente" queryTableFieldId="21"/>
    <tableColumn id="22" xr3:uid="{F1A3F332-AB38-4B75-B5AE-7B599552DBE7}" uniqueName="22" name="TAGS" queryTableFieldId="22" dataDxfId="111"/>
    <tableColumn id="23" xr3:uid="{7FFBDD0B-A736-4E6B-BBAB-966B44D38C10}" uniqueName="23" name="Funil de vendas" queryTableFieldId="23" dataDxfId="110"/>
    <tableColumn id="24" xr3:uid="{9C81CB07-2DFC-4491-88A9-1C3D1AE31605}" uniqueName="24" name="Etapa do funil de vendas" queryTableFieldId="24" dataDxfId="109"/>
    <tableColumn id="25" xr3:uid="{41CA4D09-1619-4A79-83FF-56FE482B6680}" uniqueName="25" name="Forma de Pagamento" queryTableFieldId="25" dataDxfId="108"/>
    <tableColumn id="26" xr3:uid="{7142DEC2-91EA-4168-8560-B6175F64D9C1}" uniqueName="26" name="Data esperada de fechamento" queryTableFieldId="26" dataDxfId="107"/>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06"/>
    <tableColumn id="31" xr3:uid="{730FF3EA-CAC1-4DBE-B3FA-38B54DDA2E2D}" uniqueName="31" name="Data de Criação" queryTableFieldId="31" dataDxfId="105"/>
    <tableColumn id="32" xr3:uid="{79B15A37-F21B-419F-B25D-F8CD01AC557F}" uniqueName="32" name="Hora de Criação" queryTableFieldId="32" dataDxfId="104"/>
    <tableColumn id="33" xr3:uid="{2BD51DAD-1DC4-4C18-818D-C1EA2661E9EA}" uniqueName="33" name="Código externo" queryTableFieldId="33"/>
    <tableColumn id="34" xr3:uid="{14B2D0CA-9FE4-4155-BA00-54FB8B9AE06B}" uniqueName="34" name="Status" queryTableFieldId="34" dataDxfId="103"/>
    <tableColumn id="35" xr3:uid="{FF98BFC9-76D9-44DE-A404-F7225B22FED3}" uniqueName="35" name="Data de Perda/Ganho" queryTableFieldId="35" dataDxfId="102"/>
    <tableColumn id="36" xr3:uid="{A18BA80B-7EFA-445C-B7F4-AFFE47E9920B}" uniqueName="36" name="Hora de Perda/Ganho" queryTableFieldId="36" dataDxfId="101"/>
    <tableColumn id="37" xr3:uid="{BF4330A4-537D-41ED-B790-12DB92F247FB}" uniqueName="37" name="Motivo de perda" queryTableFieldId="37" dataDxfId="100"/>
    <tableColumn id="38" xr3:uid="{F475CCED-B0E0-4721-A54B-A36F714A34F5}" uniqueName="38" name="Razão de Perda" queryTableFieldId="38"/>
    <tableColumn id="39" xr3:uid="{2ABDBB96-557F-4774-8238-4BED09EE1771}" uniqueName="39" name="Data Venda  Agenda" queryTableFieldId="39" dataDxfId="99"/>
    <tableColumn id="40" xr3:uid="{EDBE036E-FE7C-4F06-BE99-DC15813B046C}" uniqueName="40" name="Data Proposta" queryTableFieldId="40" dataDxfId="98"/>
    <tableColumn id="41" xr3:uid="{5E873FA1-C8B3-49B8-8D64-D79B01F5B856}" uniqueName="41" name="SDRResponsável" queryTableFieldId="41" dataDxfId="97"/>
    <tableColumn id="42" xr3:uid="{18BB8A4B-D728-4CA6-BB36-C6992FE5B703}" uniqueName="42" name="DataApresentação1" queryTableFieldId="42" dataDxfId="96"/>
    <tableColumn id="43" xr3:uid="{FAFE9C00-D594-44C7-BC01-59E8317F8A32}" uniqueName="43" name="DataApresentação2" queryTableFieldId="43" dataDxfId="95"/>
    <tableColumn id="44" xr3:uid="{060FBFE5-52FA-4C04-B8A0-E2029E8CDEC9}" uniqueName="44" name="Data UltContato" queryTableFieldId="44" dataDxfId="94"/>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93"/>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92"/>
    <tableColumn id="6" xr3:uid="{A975B9C1-1939-4382-8A8B-D309C091DB18}" uniqueName="6" name="Razão social" queryTableFieldId="6" dataDxfId="91"/>
    <tableColumn id="7" xr3:uid="{9332744E-4FAD-453A-A7F9-A517A61A618A}" uniqueName="7" name="Título do negócio" queryTableFieldId="7" dataDxfId="90"/>
    <tableColumn id="8" xr3:uid="{BE8D8B3E-516F-4C24-92E6-CF40B5F7D7EF}" uniqueName="8" name="CNPJ" queryTableFieldId="8"/>
    <tableColumn id="9" xr3:uid="{9CB0B5EB-18B7-431C-AE16-4622C35E21CB}" uniqueName="9" name="Nome do Cliente" queryTableFieldId="9" dataDxfId="89"/>
    <tableColumn id="10" xr3:uid="{F3B8352E-7474-4E14-8348-141F4E2444EB}" uniqueName="10" name="Nome do Contato" queryTableFieldId="10" dataDxfId="88"/>
    <tableColumn id="11" xr3:uid="{7B775999-AF05-41A7-A14D-317A697691AE}" uniqueName="11" name="Telefone do Contato" queryTableFieldId="11" dataDxfId="87"/>
    <tableColumn id="12" xr3:uid="{0A290931-6D06-42F2-BCF7-BE126B993D67}" uniqueName="12" name="Celular do Contato" queryTableFieldId="12" dataDxfId="86"/>
    <tableColumn id="13" xr3:uid="{CEF199B0-3EA3-45CA-95D4-672D91433BD9}" uniqueName="13" name="E-mail do contato" queryTableFieldId="13" dataDxfId="85"/>
    <tableColumn id="14" xr3:uid="{FA5CBC93-5AD5-4556-BBD6-08406C69F4DE}" uniqueName="14" name="Grupo do cliente" queryTableFieldId="14" dataDxfId="84"/>
    <tableColumn id="15" xr3:uid="{77428C82-39F5-4DF1-8C31-30F8D3B85C79}" uniqueName="15" name="Contatos" queryTableFieldId="15" dataDxfId="83"/>
    <tableColumn id="16" xr3:uid="{BC716626-E928-406E-B335-37EDBA77897C}" uniqueName="16" name="Endereço" queryTableFieldId="16" dataDxfId="82"/>
    <tableColumn id="17" xr3:uid="{0670EBAD-AF10-42E4-BFBB-EA16F5C194B0}" uniqueName="17" name="Cidade" queryTableFieldId="17" dataDxfId="81"/>
    <tableColumn id="18" xr3:uid="{2D21E196-58BA-4ABE-9D14-08DCB0C21764}" uniqueName="18" name="Estado" queryTableFieldId="18" dataDxfId="80"/>
    <tableColumn id="19" xr3:uid="{6AFA0B9D-D74D-4F92-BA5C-1BF667DD5DBC}" uniqueName="19" name="Origem" queryTableFieldId="19" dataDxfId="79"/>
    <tableColumn id="20" xr3:uid="{3717747A-4E2A-4331-86DC-F70194294D5B}" uniqueName="20" name="Origem do cliente" queryTableFieldId="20" dataDxfId="78"/>
    <tableColumn id="21" xr3:uid="{28736824-6E0E-4AE4-9DA7-EA2ACECD6AAE}" uniqueName="21" name="Categoria do cliente" queryTableFieldId="21" dataDxfId="77"/>
    <tableColumn id="22" xr3:uid="{A4C59AAD-CDCC-439C-BC27-E044BC0C88AD}" uniqueName="22" name="TAGS" queryTableFieldId="22" dataDxfId="76"/>
    <tableColumn id="23" xr3:uid="{7C449F22-02A5-4BA1-A2BF-2FB6986DC805}" uniqueName="23" name="Funil de vendas" queryTableFieldId="23" dataDxfId="75"/>
    <tableColumn id="24" xr3:uid="{ADC01B8F-BF89-40A7-8EC6-35B291517F52}" uniqueName="24" name="Etapa do funil de vendas" queryTableFieldId="24" dataDxfId="74"/>
    <tableColumn id="25" xr3:uid="{9006C3A0-486C-4C3E-98B5-5ED3C63AD8AA}" uniqueName="25" name="Forma de Pagamento" queryTableFieldId="25" dataDxfId="73"/>
    <tableColumn id="26" xr3:uid="{A393E524-A47A-433B-8865-AE943D2265D7}" uniqueName="26" name="Data esperada de fechamento" queryTableFieldId="26" dataDxfId="72"/>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71"/>
    <tableColumn id="31" xr3:uid="{D07BBFE1-56BE-4419-A975-25509A67DB55}" uniqueName="31" name="Data de Criação" queryTableFieldId="31" dataDxfId="70"/>
    <tableColumn id="32" xr3:uid="{77A572A5-F3D2-4ABE-83C4-8A2446980D26}" uniqueName="32" name="Hora de Criação" queryTableFieldId="32" dataDxfId="69"/>
    <tableColumn id="33" xr3:uid="{1CE3884F-45AB-4814-8F3A-09A087DC6611}" uniqueName="33" name="Código externo" queryTableFieldId="33" dataDxfId="68"/>
    <tableColumn id="34" xr3:uid="{1779C4AC-A874-4F8C-969D-7FC3DE4DDC9C}" uniqueName="34" name="Status" queryTableFieldId="34" dataDxfId="67"/>
    <tableColumn id="35" xr3:uid="{F0B8FBEB-A440-4E4E-A247-B85C80AA35F9}" uniqueName="35" name="Data de Perda/Ganho" queryTableFieldId="35" dataDxfId="66"/>
    <tableColumn id="36" xr3:uid="{A18FDE3A-ED7F-4406-B561-070476D1AC46}" uniqueName="36" name="Hora de Perda/Ganho" queryTableFieldId="36" dataDxfId="65"/>
    <tableColumn id="37" xr3:uid="{1E8AEBB0-18EA-4681-A5EB-714EC16D8D7E}" uniqueName="37" name="Motivo de perda" queryTableFieldId="37" dataDxfId="64"/>
    <tableColumn id="38" xr3:uid="{F1F7BBF3-3B66-4795-9A46-B8DFC5FC9F34}" uniqueName="38" name="Razão de Perda" queryTableFieldId="38" dataDxfId="63"/>
    <tableColumn id="39" xr3:uid="{9471CAB5-456B-4647-A2A5-85BD72128D62}" uniqueName="39" name="Data Venda  Agenda" queryTableFieldId="39" dataDxfId="62"/>
    <tableColumn id="40" xr3:uid="{DF77A022-8FF0-4D70-AEE5-CBD5554615F0}" uniqueName="40" name="Data Proposta" queryTableFieldId="40" dataDxfId="61"/>
    <tableColumn id="41" xr3:uid="{24694E81-AA00-469C-B38B-E56E44E15766}" uniqueName="41" name="SDRResponsável" queryTableFieldId="41" dataDxfId="60"/>
    <tableColumn id="42" xr3:uid="{044BD884-6166-48AD-9606-8048BC2547EB}" uniqueName="42" name="DataApresentação1" queryTableFieldId="42" dataDxfId="59"/>
    <tableColumn id="43" xr3:uid="{4EB6B121-59B0-473E-A74B-1BCCADAF3291}" uniqueName="43" name="DataApresentação2" queryTableFieldId="43" dataDxfId="58"/>
    <tableColumn id="44" xr3:uid="{3A701181-DD86-475B-9966-6A7A489FC300}" uniqueName="44" name="Data UltContato" queryTableFieldId="44" dataDxfId="57"/>
    <tableColumn id="45" xr3:uid="{34FD476A-4B8A-49A6-B3CB-8DAB3E49706D}" uniqueName="45" name="Temperatura" queryTableFieldId="45"/>
    <tableColumn id="46" xr3:uid="{786CA557-A440-4019-9BE5-BC58F07ADA81}" uniqueName="46" name="Horas" queryTableFieldId="46" dataDxfId="56"/>
    <tableColumn id="47" xr3:uid="{5039C753-277D-4568-B089-45614252B95A}" uniqueName="47" name="Produtos" queryTableFieldId="47" dataDxfId="55"/>
    <tableColumn id="48" xr3:uid="{B39E5DCB-693C-4CD0-BBD4-805829F3AE58}" uniqueName="48" name="Vlr Projeto" queryTableFieldId="48" dataDxfId="54"/>
    <tableColumn id="49" xr3:uid="{740B4DE9-842F-433B-BCAC-E07AD4CD3F92}" uniqueName="49" name="Vlr Mensalidade" queryTableFieldId="49" dataDxfId="53"/>
    <tableColumn id="50" xr3:uid="{CA648311-CF4B-47AC-B564-3C206F65ADCF}" uniqueName="50" name="qtde" queryTableFieldId="50" dataDxfId="5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51"/>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50"/>
    <tableColumn id="6" xr3:uid="{F7F30899-BB58-4514-A14B-C61B54FBA67C}" uniqueName="6" name="Razão social" queryTableFieldId="6" dataDxfId="49"/>
    <tableColumn id="7" xr3:uid="{3B88F317-D3E6-4A89-9C27-66D0A88C712A}" uniqueName="7" name="Título do negócio" queryTableFieldId="7" dataDxfId="48"/>
    <tableColumn id="8" xr3:uid="{D903E9EC-3721-49D8-9A38-A4F46F9AD812}" uniqueName="8" name="CNPJ" queryTableFieldId="8"/>
    <tableColumn id="9" xr3:uid="{089B823B-979B-4928-96AF-F25078B38CCF}" uniqueName="9" name="Nome do Cliente" queryTableFieldId="9" dataDxfId="47"/>
    <tableColumn id="10" xr3:uid="{DB3C68B0-64CD-40C5-B221-6F70E8CBEF2E}" uniqueName="10" name="Nome do Contato" queryTableFieldId="10" dataDxfId="46"/>
    <tableColumn id="11" xr3:uid="{D8A37290-2279-4700-B428-8E29807876DA}" uniqueName="11" name="Telefone do Contato" queryTableFieldId="11" dataDxfId="45"/>
    <tableColumn id="12" xr3:uid="{D4F69720-B525-48AC-96DE-4B7EB9CFC0A7}" uniqueName="12" name="Celular do Contato" queryTableFieldId="12"/>
    <tableColumn id="13" xr3:uid="{9D441D56-6CDA-4F87-BBF9-A740D5DF09C0}" uniqueName="13" name="E-mail" queryTableFieldId="13" dataDxfId="44"/>
    <tableColumn id="14" xr3:uid="{7FA65F7E-8EAD-4E27-8996-CEBE9D81E2D3}" uniqueName="14" name="Contatos" queryTableFieldId="14" dataDxfId="43"/>
    <tableColumn id="15" xr3:uid="{6451E915-1ABB-4129-8BF8-9D63AAF587C7}" uniqueName="15" name="Endereço" queryTableFieldId="15" dataDxfId="42"/>
    <tableColumn id="16" xr3:uid="{6DC1A834-E487-4A1E-8B69-4C19DCC54006}" uniqueName="16" name="Cidade" queryTableFieldId="16" dataDxfId="41"/>
    <tableColumn id="17" xr3:uid="{2D46073F-B3F3-45CE-9C50-03F8C2231965}" uniqueName="17" name="Estado" queryTableFieldId="17" dataDxfId="40"/>
    <tableColumn id="18" xr3:uid="{B088FFA2-C3BA-4C78-A431-957EFE74078D}" uniqueName="18" name="Origem" queryTableFieldId="18" dataDxfId="39"/>
    <tableColumn id="19" xr3:uid="{67A83209-F810-4D36-8A25-D6BF21DFAC13}" uniqueName="19" name="TAGS" queryTableFieldId="19" dataDxfId="38"/>
    <tableColumn id="20" xr3:uid="{B67EB2E1-784C-4C30-82B7-7875ABFB100E}" uniqueName="20" name="Funil de vendas" queryTableFieldId="20" dataDxfId="37"/>
    <tableColumn id="21" xr3:uid="{D3D65C38-7209-42A9-901A-194CF3E898D8}" uniqueName="21" name="Etapa do funil de vendas" queryTableFieldId="21" dataDxfId="36"/>
    <tableColumn id="22" xr3:uid="{B6257116-5328-4D07-B0D2-76509467D09C}" uniqueName="22" name="Forma de Pagamento" queryTableFieldId="22" dataDxfId="35"/>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34"/>
    <tableColumn id="26" xr3:uid="{4E957EE7-CF14-4E14-8DDF-5BB60DE624E0}" uniqueName="26" name="Tempo como pós venda" queryTableFieldId="26"/>
    <tableColumn id="27" xr3:uid="{62AD15E0-BE70-46A1-B1A7-71E82BD64901}" uniqueName="27" name="Data de Criação" queryTableFieldId="27" dataDxfId="33"/>
    <tableColumn id="28" xr3:uid="{D519E395-8C45-4BD7-9D89-FB374CFFA869}" uniqueName="28" name="Hora de Criação" queryTableFieldId="28" dataDxfId="32"/>
    <tableColumn id="29" xr3:uid="{9A0514DC-0ED6-4A45-A9DC-9A513F83A08E}" uniqueName="29" name="Status" queryTableFieldId="29" dataDxfId="31"/>
    <tableColumn id="30" xr3:uid="{3932D2FD-4446-43AB-9E79-014EA3ADF31D}" uniqueName="30" name="Data de Perda/Ganho" queryTableFieldId="30" dataDxfId="30"/>
    <tableColumn id="31" xr3:uid="{8730F7E0-7885-42FE-B76C-AABB8F39AD41}" uniqueName="31" name="Hora de Perda/Ganho" queryTableFieldId="31" dataDxfId="29"/>
    <tableColumn id="32" xr3:uid="{9682B8EC-D1E2-40A3-926F-7DA547F79FD8}" uniqueName="32" name="Motivo de perda" queryTableFieldId="32" dataDxfId="28"/>
    <tableColumn id="33" xr3:uid="{F0F5D17C-13D3-4ADE-A0DA-AB7FB318B31A}" uniqueName="33" name="Razão de Perda" queryTableFieldId="33"/>
    <tableColumn id="34" xr3:uid="{94975100-F10B-4AE6-BDF0-1602B12B202B}" uniqueName="34" name="Data Proposta" queryTableFieldId="34" dataDxfId="27"/>
    <tableColumn id="35" xr3:uid="{8A74EA39-9157-43DB-8922-FF2307E64893}" uniqueName="35" name="DataApresentação1" queryTableFieldId="35" dataDxfId="26"/>
    <tableColumn id="36" xr3:uid="{E4959412-836E-4887-9ACD-2686A14AE260}" uniqueName="36" name="DataApresentação2" queryTableFieldId="36" dataDxfId="25"/>
    <tableColumn id="37" xr3:uid="{2BC18C98-550A-418C-99E8-EF28A4A6AFDC}" uniqueName="37" name="Data UltContato" queryTableFieldId="37" dataDxfId="24"/>
    <tableColumn id="38" xr3:uid="{2BC391F5-2E7C-4E07-B97F-73F5B4A8D9B6}" uniqueName="38" name="Temperatura" queryTableFieldId="38" dataDxfId="23"/>
    <tableColumn id="39" xr3:uid="{0B0F85F4-CF57-4EEF-B5C1-4B4D1005DF95}" uniqueName="39" name="Horas" queryTableFieldId="39" dataDxfId="22"/>
    <tableColumn id="40" xr3:uid="{7F3A6471-E45A-4FFE-AB89-E876EA069C8C}" uniqueName="40" name="Vlr Projeto" queryTableFieldId="40" dataDxfId="21"/>
    <tableColumn id="41" xr3:uid="{231CE392-E179-4721-9CCA-44C6D1545B40}" uniqueName="41" name="Vlr Mensalidade" queryTableFieldId="41" dataDxfId="20"/>
    <tableColumn id="42" xr3:uid="{2485E902-38D1-4ABF-AE20-F06EC46CF467}" uniqueName="42" name="Produtos" queryTableFieldId="42" dataDxfId="19"/>
    <tableColumn id="43" xr3:uid="{37AE4BF8-BF91-4789-AAD4-BEB33ECA78FC}" uniqueName="43" name="Qdte" queryTableFieldId="43" dataDxfId="18"/>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4.4" x14ac:dyDescent="0.3"/>
  <cols>
    <col min="1" max="1" width="10.33203125" bestFit="1" customWidth="1"/>
  </cols>
  <sheetData>
    <row r="1" spans="1:22" s="392" customFormat="1" ht="43.2" x14ac:dyDescent="0.3">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3">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3">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3">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3">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218"/>
  <sheetViews>
    <sheetView showGridLines="0" zoomScaleNormal="100" workbookViewId="0">
      <pane xSplit="5" ySplit="1" topLeftCell="I197" activePane="bottomRight" state="frozen"/>
      <selection pane="topRight" activeCell="F1" sqref="F1"/>
      <selection pane="bottomLeft" activeCell="A3" sqref="A3"/>
      <selection pane="bottomRight" activeCell="C211" sqref="C211"/>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hidden="1" x14ac:dyDescent="0.3">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hidden="1" x14ac:dyDescent="0.3">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Row],[VlrTotal]]*0.2)+vendas2026[[#This Row],[VlrTotal]]</f>
        <v>504</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hidden="1" x14ac:dyDescent="0.3">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Row],[VlrTotal]]*0.2)+vendas2026[[#This Row],[VlrTotal]]</f>
        <v>427.67999999999995</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hidden="1" x14ac:dyDescent="0.3">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hidden="1" x14ac:dyDescent="0.3">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hidden="1" x14ac:dyDescent="0.3">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hidden="1" x14ac:dyDescent="0.3">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hidden="1" x14ac:dyDescent="0.3">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hidden="1" x14ac:dyDescent="0.3">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hidden="1" x14ac:dyDescent="0.3">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hidden="1" x14ac:dyDescent="0.3">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hidden="1" x14ac:dyDescent="0.3">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hidden="1" x14ac:dyDescent="0.3">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hidden="1" x14ac:dyDescent="0.3">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hidden="1" x14ac:dyDescent="0.3">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hidden="1" x14ac:dyDescent="0.3">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hidden="1" x14ac:dyDescent="0.3">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7.0000000000000007E-2</v>
      </c>
      <c r="L182" s="16">
        <f>vendas2026[[#This Row],[%Comissão]]*0.25</f>
        <v>1.7500000000000002E-2</v>
      </c>
      <c r="M182" s="14" t="s">
        <v>24</v>
      </c>
      <c r="N182" s="24">
        <f>vendas2026[[#This Row],[VlrTotal]]*vendas2026[[#This Row],[%Comissão]]</f>
        <v>1068.48</v>
      </c>
      <c r="O182" s="14">
        <f>vendas2026[[#This Row],[VlrTotal]]*vendas2026[[#This Row],[%ComissãoSupervisor]]</f>
        <v>267.12</v>
      </c>
      <c r="P182" s="11" t="s">
        <v>25</v>
      </c>
      <c r="Q182" s="11" t="s">
        <v>25</v>
      </c>
      <c r="R182" s="11"/>
      <c r="S182" s="11">
        <v>10</v>
      </c>
      <c r="T182" s="383">
        <v>46156</v>
      </c>
      <c r="U182" s="11" t="s">
        <v>26</v>
      </c>
      <c r="V182" s="17" t="s">
        <v>20</v>
      </c>
    </row>
    <row r="183" spans="1:22" hidden="1" x14ac:dyDescent="0.3">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hidden="1" x14ac:dyDescent="0.3">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hidden="1" x14ac:dyDescent="0.3">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hidden="1" x14ac:dyDescent="0.3">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hidden="1" x14ac:dyDescent="0.3">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hidden="1" x14ac:dyDescent="0.3">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hidden="1" x14ac:dyDescent="0.3">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hidden="1" x14ac:dyDescent="0.3">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hidden="1" x14ac:dyDescent="0.3">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hidden="1" x14ac:dyDescent="0.3">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hidden="1" x14ac:dyDescent="0.3">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hidden="1" x14ac:dyDescent="0.3">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hidden="1" x14ac:dyDescent="0.3">
      <c r="A195" s="10">
        <v>46167</v>
      </c>
      <c r="B195" s="11">
        <v>142315</v>
      </c>
      <c r="C195" s="11" t="s">
        <v>45</v>
      </c>
      <c r="D195" s="11" t="s">
        <v>21</v>
      </c>
      <c r="E195" s="11" t="s">
        <v>50</v>
      </c>
      <c r="F195" s="11" t="s">
        <v>50</v>
      </c>
      <c r="G195" s="12">
        <v>2</v>
      </c>
      <c r="H195" s="13">
        <v>158.4</v>
      </c>
      <c r="I195" s="14">
        <f>vendas2026[[#This Row],[Qtde]]*vendas2026[[#This Row],[VlrUnitário]]</f>
        <v>316.8</v>
      </c>
      <c r="J195" s="385">
        <f>vendas2026[[#This Row],[VlrTotal]]</f>
        <v>316.8</v>
      </c>
      <c r="K195" s="16">
        <v>6.8999999999999999E-3</v>
      </c>
      <c r="L195" s="16">
        <f>vendas2026[[#This Row],[%Comissão]]*0.25</f>
        <v>1.725E-3</v>
      </c>
      <c r="M195" s="14" t="s">
        <v>43</v>
      </c>
      <c r="N195" s="24">
        <f>vendas2026[[#This Row],[VlrTotal]]*vendas2026[[#This Row],[%Comissão]]</f>
        <v>2.1859199999999999</v>
      </c>
      <c r="O195" s="14">
        <f>vendas2026[[#This Row],[VlrTotal]]*vendas2026[[#This Row],[%ComissãoSupervisor]]</f>
        <v>0.54647999999999997</v>
      </c>
      <c r="P195" s="11" t="s">
        <v>3361</v>
      </c>
      <c r="Q195" s="11" t="s">
        <v>3362</v>
      </c>
      <c r="R195" s="11"/>
      <c r="S195" s="11">
        <v>1</v>
      </c>
      <c r="T195" s="383"/>
      <c r="U195" s="11" t="s">
        <v>3363</v>
      </c>
      <c r="V195" s="17" t="s">
        <v>45</v>
      </c>
    </row>
    <row r="196" spans="1:22" hidden="1" x14ac:dyDescent="0.3">
      <c r="A196" s="10">
        <v>46171</v>
      </c>
      <c r="B196" s="11">
        <v>143759</v>
      </c>
      <c r="C196" s="11" t="s">
        <v>45</v>
      </c>
      <c r="D196" s="11" t="s">
        <v>6556</v>
      </c>
      <c r="E196" s="11" t="s">
        <v>42</v>
      </c>
      <c r="F196" s="11" t="s">
        <v>3355</v>
      </c>
      <c r="G196" s="12">
        <v>10</v>
      </c>
      <c r="H196" s="13">
        <v>189</v>
      </c>
      <c r="I196" s="14">
        <f>vendas2026[[#This Row],[Qtde]]*vendas2026[[#This Row],[VlrUnitário]]</f>
        <v>1890</v>
      </c>
      <c r="J196" s="385">
        <f>(vendas2026[[#This Row],[VlrTotal]]*0.2)+vendas2026[[#This Row],[VlrTotal]]</f>
        <v>2268</v>
      </c>
      <c r="K196" s="16">
        <v>7.0000000000000007E-2</v>
      </c>
      <c r="L196" s="16">
        <f>vendas2026[[#This Row],[%Comissão]]*0.25</f>
        <v>1.7500000000000002E-2</v>
      </c>
      <c r="M196" s="14" t="s">
        <v>43</v>
      </c>
      <c r="N196" s="24">
        <f>vendas2026[[#This Row],[VlrTotal]]*vendas2026[[#This Row],[%Comissão]]</f>
        <v>132.30000000000001</v>
      </c>
      <c r="O196" s="14">
        <f>vendas2026[[#This Row],[VlrTotal]]*vendas2026[[#This Row],[%ComissãoSupervisor]]</f>
        <v>33.075000000000003</v>
      </c>
      <c r="P196" s="11" t="s">
        <v>3361</v>
      </c>
      <c r="Q196" s="11" t="s">
        <v>3362</v>
      </c>
      <c r="R196" s="11"/>
      <c r="S196" s="11">
        <v>4</v>
      </c>
      <c r="T196" s="383"/>
      <c r="U196" s="11" t="s">
        <v>3363</v>
      </c>
      <c r="V196" s="17" t="s">
        <v>45</v>
      </c>
    </row>
    <row r="197" spans="1:22" x14ac:dyDescent="0.3">
      <c r="A197" s="10">
        <v>46181</v>
      </c>
      <c r="B197" s="11">
        <v>135343</v>
      </c>
      <c r="C197" s="11" t="s">
        <v>45</v>
      </c>
      <c r="D197" s="11" t="s">
        <v>46</v>
      </c>
      <c r="E197" s="11" t="s">
        <v>35</v>
      </c>
      <c r="F197" s="11" t="s">
        <v>3355</v>
      </c>
      <c r="G197" s="12">
        <v>24</v>
      </c>
      <c r="H197" s="13">
        <v>187.5</v>
      </c>
      <c r="I197" s="14">
        <f>vendas2026[[#This Row],[Qtde]]*vendas2026[[#This Row],[VlrUnitário]]</f>
        <v>4500</v>
      </c>
      <c r="J197" s="385">
        <f>(vendas2026[[#This Row],[VlrTotal]]*0.2)+vendas2026[[#This Row],[VlrTotal]]</f>
        <v>5400</v>
      </c>
      <c r="K197" s="16">
        <v>7.0000000000000007E-2</v>
      </c>
      <c r="L197" s="16">
        <f>vendas2026[[#This Row],[%Comissão]]*0.25</f>
        <v>1.7500000000000002E-2</v>
      </c>
      <c r="M197" s="14" t="s">
        <v>43</v>
      </c>
      <c r="N197" s="24">
        <f>vendas2026[[#This Row],[VlrTotal]]*vendas2026[[#This Row],[%Comissão]]</f>
        <v>315.00000000000006</v>
      </c>
      <c r="O197" s="14">
        <f>vendas2026[[#This Row],[VlrTotal]]*vendas2026[[#This Row],[%ComissãoSupervisor]]</f>
        <v>78.750000000000014</v>
      </c>
      <c r="P197" s="11" t="s">
        <v>3361</v>
      </c>
      <c r="Q197" s="11" t="s">
        <v>3362</v>
      </c>
      <c r="R197" s="11"/>
      <c r="S197" s="11">
        <v>6</v>
      </c>
      <c r="T197" s="383">
        <v>46181</v>
      </c>
      <c r="U197" s="11" t="s">
        <v>26</v>
      </c>
      <c r="V197" s="17" t="s">
        <v>45</v>
      </c>
    </row>
    <row r="198" spans="1:22" x14ac:dyDescent="0.3">
      <c r="A198" s="10">
        <v>46181</v>
      </c>
      <c r="B198" s="11">
        <v>135343</v>
      </c>
      <c r="C198" s="11" t="s">
        <v>45</v>
      </c>
      <c r="D198" s="11" t="s">
        <v>46</v>
      </c>
      <c r="E198" s="11" t="s">
        <v>35</v>
      </c>
      <c r="F198" s="11" t="s">
        <v>23</v>
      </c>
      <c r="G198" s="12">
        <v>2</v>
      </c>
      <c r="H198" s="13">
        <v>142.56</v>
      </c>
      <c r="I198" s="14">
        <f>vendas2026[[#This Row],[Qtde]]*vendas2026[[#This Row],[VlrUnitário]]</f>
        <v>285.12</v>
      </c>
      <c r="J198" s="385">
        <f>(vendas2026[[#This Row],[VlrTotal]]*0.2)+vendas2026[[#This Row],[VlrTotal]]</f>
        <v>342.14400000000001</v>
      </c>
      <c r="K198" s="16">
        <v>1</v>
      </c>
      <c r="L198" s="16">
        <f>vendas2026[[#This Row],[%Comissão]]*0.25</f>
        <v>0.25</v>
      </c>
      <c r="M198" s="14" t="s">
        <v>43</v>
      </c>
      <c r="N198" s="24">
        <f>vendas2026[[#This Row],[VlrTotal]]*vendas2026[[#This Row],[%Comissão]]</f>
        <v>285.12</v>
      </c>
      <c r="O198" s="14">
        <f>vendas2026[[#This Row],[VlrTotal]]*vendas2026[[#This Row],[%ComissãoSupervisor]]</f>
        <v>71.28</v>
      </c>
      <c r="P198" s="11" t="s">
        <v>3361</v>
      </c>
      <c r="Q198" s="11" t="s">
        <v>3362</v>
      </c>
      <c r="R198" s="11"/>
      <c r="S198" s="11">
        <v>1</v>
      </c>
      <c r="T198" s="383">
        <v>46181</v>
      </c>
      <c r="U198" s="11" t="s">
        <v>26</v>
      </c>
      <c r="V198" s="17" t="s">
        <v>45</v>
      </c>
    </row>
    <row r="199" spans="1:22" x14ac:dyDescent="0.3">
      <c r="A199" s="10">
        <v>46181</v>
      </c>
      <c r="B199" s="11">
        <v>118061</v>
      </c>
      <c r="C199" s="11" t="s">
        <v>20</v>
      </c>
      <c r="D199" s="11" t="s">
        <v>70</v>
      </c>
      <c r="E199" s="11" t="s">
        <v>42</v>
      </c>
      <c r="F199" s="11" t="s">
        <v>3355</v>
      </c>
      <c r="G199" s="12">
        <v>198</v>
      </c>
      <c r="H199" s="13">
        <v>180.04</v>
      </c>
      <c r="I199" s="14">
        <f>vendas2026[[#This Row],[Qtde]]*vendas2026[[#This Row],[VlrUnitário]]</f>
        <v>35647.919999999998</v>
      </c>
      <c r="J199" s="385">
        <f>vendas2026[[#This Row],[VlrTotal]]</f>
        <v>35647.919999999998</v>
      </c>
      <c r="K199" s="16">
        <v>7.0000000000000007E-2</v>
      </c>
      <c r="L199" s="16">
        <f>vendas2026[[#This Row],[%Comissão]]*0.25</f>
        <v>1.7500000000000002E-2</v>
      </c>
      <c r="M199" s="14" t="s">
        <v>43</v>
      </c>
      <c r="N199" s="24">
        <f>vendas2026[[#This Row],[VlrTotal]]*vendas2026[[#This Row],[%Comissão]]</f>
        <v>2495.3544000000002</v>
      </c>
      <c r="O199" s="14">
        <f>vendas2026[[#This Row],[VlrTotal]]*vendas2026[[#This Row],[%ComissãoSupervisor]]</f>
        <v>623.83860000000004</v>
      </c>
      <c r="P199" s="11" t="s">
        <v>3361</v>
      </c>
      <c r="Q199" s="11" t="s">
        <v>3362</v>
      </c>
      <c r="R199" s="11"/>
      <c r="S199" s="11">
        <v>6</v>
      </c>
      <c r="T199" s="383"/>
      <c r="U199" s="11" t="s">
        <v>3363</v>
      </c>
      <c r="V199" s="17" t="s">
        <v>20</v>
      </c>
    </row>
    <row r="200" spans="1:22" x14ac:dyDescent="0.3">
      <c r="A200" s="10">
        <v>46183</v>
      </c>
      <c r="B200" s="11">
        <v>140986</v>
      </c>
      <c r="C200" s="11" t="s">
        <v>45</v>
      </c>
      <c r="D200" s="11" t="s">
        <v>49</v>
      </c>
      <c r="E200" s="11" t="s">
        <v>50</v>
      </c>
      <c r="F200" s="11" t="s">
        <v>50</v>
      </c>
      <c r="G200" s="12">
        <v>16</v>
      </c>
      <c r="H200" s="13">
        <v>156.25</v>
      </c>
      <c r="I200" s="14">
        <f>vendas2026[[#This Row],[Qtde]]*vendas2026[[#This Row],[VlrUnitário]]</f>
        <v>2500</v>
      </c>
      <c r="J200" s="385">
        <f>vendas2026[[#This Row],[VlrTotal]]</f>
        <v>2500</v>
      </c>
      <c r="K200" s="16">
        <v>6.8999999999999999E-3</v>
      </c>
      <c r="L200" s="16">
        <f>vendas2026[[#This Row],[%Comissão]]*0.25</f>
        <v>1.725E-3</v>
      </c>
      <c r="M200" s="14" t="s">
        <v>43</v>
      </c>
      <c r="N200" s="24">
        <f>vendas2026[[#This Row],[VlrTotal]]*vendas2026[[#This Row],[%Comissão]]</f>
        <v>17.25</v>
      </c>
      <c r="O200" s="14">
        <f>vendas2026[[#This Row],[VlrTotal]]*vendas2026[[#This Row],[%ComissãoSupervisor]]</f>
        <v>4.3125</v>
      </c>
      <c r="P200" s="11" t="s">
        <v>3361</v>
      </c>
      <c r="Q200" s="11" t="s">
        <v>3362</v>
      </c>
      <c r="R200" s="11"/>
      <c r="S200" s="11">
        <v>1</v>
      </c>
      <c r="T200" s="383"/>
      <c r="U200" s="11" t="s">
        <v>3363</v>
      </c>
      <c r="V200" s="17" t="s">
        <v>45</v>
      </c>
    </row>
    <row r="201" spans="1:22" x14ac:dyDescent="0.3">
      <c r="A201" s="10">
        <v>46184</v>
      </c>
      <c r="B201" s="11">
        <v>142241</v>
      </c>
      <c r="C201" s="11" t="s">
        <v>45</v>
      </c>
      <c r="D201" s="11" t="s">
        <v>4489</v>
      </c>
      <c r="E201" s="11" t="s">
        <v>50</v>
      </c>
      <c r="F201" s="11" t="s">
        <v>50</v>
      </c>
      <c r="G201" s="12">
        <v>6</v>
      </c>
      <c r="H201" s="13">
        <v>176</v>
      </c>
      <c r="I201" s="14">
        <f>vendas2026[[#This Row],[Qtde]]*vendas2026[[#This Row],[VlrUnitário]]</f>
        <v>1056</v>
      </c>
      <c r="J201" s="385">
        <f>vendas2026[[#This Row],[VlrTotal]]</f>
        <v>1056</v>
      </c>
      <c r="K201" s="16">
        <v>0.01</v>
      </c>
      <c r="L201" s="16">
        <f>vendas2026[[#This Row],[%Comissão]]*0.25</f>
        <v>2.5000000000000001E-3</v>
      </c>
      <c r="M201" s="14" t="s">
        <v>43</v>
      </c>
      <c r="N201" s="24">
        <f>vendas2026[[#This Row],[VlrTotal]]*vendas2026[[#This Row],[%Comissão]]</f>
        <v>10.56</v>
      </c>
      <c r="O201" s="14">
        <f>vendas2026[[#This Row],[VlrTotal]]*vendas2026[[#This Row],[%ComissãoSupervisor]]</f>
        <v>2.64</v>
      </c>
      <c r="P201" s="11" t="s">
        <v>3361</v>
      </c>
      <c r="Q201" s="11" t="s">
        <v>3362</v>
      </c>
      <c r="R201" s="11"/>
      <c r="S201" s="11">
        <v>1</v>
      </c>
      <c r="T201" s="383"/>
      <c r="U201" s="11" t="s">
        <v>3363</v>
      </c>
      <c r="V201" s="17" t="s">
        <v>45</v>
      </c>
    </row>
    <row r="202" spans="1:22" x14ac:dyDescent="0.3">
      <c r="A202" s="10">
        <v>46188</v>
      </c>
      <c r="B202" s="11">
        <v>144483</v>
      </c>
      <c r="C202" s="11" t="s">
        <v>6557</v>
      </c>
      <c r="D202" s="11" t="s">
        <v>6558</v>
      </c>
      <c r="E202" s="11" t="s">
        <v>28</v>
      </c>
      <c r="F202" s="11" t="s">
        <v>3355</v>
      </c>
      <c r="G202" s="12">
        <v>400</v>
      </c>
      <c r="H202" s="13">
        <v>190</v>
      </c>
      <c r="I202" s="14">
        <f>vendas2026[[#This Row],[Qtde]]*vendas2026[[#This Row],[VlrUnitário]]</f>
        <v>76000</v>
      </c>
      <c r="J202" s="385">
        <f>vendas2026[[#This Row],[VlrTotal]]</f>
        <v>76000</v>
      </c>
      <c r="K202" s="16">
        <v>7.0000000000000007E-2</v>
      </c>
      <c r="L202" s="16">
        <f>vendas2026[[#This Row],[%Comissão]]*0.25</f>
        <v>1.7500000000000002E-2</v>
      </c>
      <c r="M202" s="14" t="s">
        <v>24</v>
      </c>
      <c r="N202" s="24">
        <v>0</v>
      </c>
      <c r="O202" s="14">
        <f>vendas2026[[#This Row],[VlrTotal]]*vendas2026[[#This Row],[%ComissãoSupervisor]]</f>
        <v>1330.0000000000002</v>
      </c>
      <c r="P202" s="11" t="s">
        <v>25</v>
      </c>
      <c r="Q202" s="11" t="s">
        <v>25</v>
      </c>
      <c r="R202" s="11"/>
      <c r="S202" s="11">
        <v>10</v>
      </c>
      <c r="T202" s="383">
        <v>46188</v>
      </c>
      <c r="U202" s="11" t="s">
        <v>204</v>
      </c>
      <c r="V202" s="17" t="s">
        <v>6111</v>
      </c>
    </row>
    <row r="203" spans="1:22" x14ac:dyDescent="0.3">
      <c r="A203" s="10">
        <v>46188</v>
      </c>
      <c r="B203" s="11">
        <v>144483</v>
      </c>
      <c r="C203" s="11" t="s">
        <v>6557</v>
      </c>
      <c r="D203" s="11" t="s">
        <v>6558</v>
      </c>
      <c r="E203" s="11" t="s">
        <v>30</v>
      </c>
      <c r="F203" s="11" t="s">
        <v>3355</v>
      </c>
      <c r="G203" s="12">
        <v>24</v>
      </c>
      <c r="H203" s="13">
        <v>190</v>
      </c>
      <c r="I203" s="14">
        <f>vendas2026[[#This Row],[Qtde]]*vendas2026[[#This Row],[VlrUnitário]]</f>
        <v>4560</v>
      </c>
      <c r="J203" s="385">
        <f>vendas2026[[#This Row],[VlrTotal]]</f>
        <v>4560</v>
      </c>
      <c r="K203" s="16">
        <v>7.0000000000000007E-2</v>
      </c>
      <c r="L203" s="16">
        <f>vendas2026[[#This Row],[%Comissão]]*0.25</f>
        <v>1.7500000000000002E-2</v>
      </c>
      <c r="M203" s="14" t="s">
        <v>24</v>
      </c>
      <c r="N203" s="24">
        <v>0</v>
      </c>
      <c r="O203" s="14">
        <f>vendas2026[[#This Row],[VlrTotal]]*vendas2026[[#This Row],[%ComissãoSupervisor]]</f>
        <v>79.800000000000011</v>
      </c>
      <c r="P203" s="11" t="s">
        <v>25</v>
      </c>
      <c r="Q203" s="11" t="s">
        <v>25</v>
      </c>
      <c r="R203" s="11"/>
      <c r="S203" s="11">
        <v>10</v>
      </c>
      <c r="T203" s="383">
        <v>46188</v>
      </c>
      <c r="U203" s="11" t="s">
        <v>204</v>
      </c>
      <c r="V203" s="17" t="s">
        <v>6111</v>
      </c>
    </row>
    <row r="204" spans="1:22" x14ac:dyDescent="0.3">
      <c r="A204" s="10">
        <v>46188</v>
      </c>
      <c r="B204" s="11">
        <v>144484</v>
      </c>
      <c r="C204" s="11" t="s">
        <v>6557</v>
      </c>
      <c r="D204" s="11" t="s">
        <v>6558</v>
      </c>
      <c r="E204" s="11" t="s">
        <v>31</v>
      </c>
      <c r="F204" s="11" t="s">
        <v>32</v>
      </c>
      <c r="G204" s="12">
        <v>1</v>
      </c>
      <c r="H204" s="13">
        <v>1600</v>
      </c>
      <c r="I204" s="14">
        <f>vendas2026[[#This Row],[Qtde]]*vendas2026[[#This Row],[VlrUnitário]]</f>
        <v>1600</v>
      </c>
      <c r="J204" s="385">
        <f>vendas2026[[#This Row],[VlrTotal]]</f>
        <v>1600</v>
      </c>
      <c r="K204" s="16">
        <v>7.0000000000000007E-2</v>
      </c>
      <c r="L204" s="16">
        <f>vendas2026[[#This Row],[%Comissão]]*0.25</f>
        <v>1.7500000000000002E-2</v>
      </c>
      <c r="M204" s="14" t="s">
        <v>24</v>
      </c>
      <c r="N204" s="24">
        <v>0</v>
      </c>
      <c r="O204" s="14">
        <f>vendas2026[[#This Row],[VlrTotal]]*vendas2026[[#This Row],[%ComissãoSupervisor]]</f>
        <v>28.000000000000004</v>
      </c>
      <c r="P204" s="11" t="s">
        <v>25</v>
      </c>
      <c r="Q204" s="11" t="s">
        <v>25</v>
      </c>
      <c r="R204" s="11"/>
      <c r="S204" s="11">
        <v>10</v>
      </c>
      <c r="T204" s="383">
        <v>46188</v>
      </c>
      <c r="U204" s="11" t="s">
        <v>204</v>
      </c>
      <c r="V204" s="17" t="s">
        <v>6111</v>
      </c>
    </row>
    <row r="205" spans="1:22" x14ac:dyDescent="0.3">
      <c r="A205" s="10">
        <v>46188</v>
      </c>
      <c r="B205" s="11">
        <v>144483</v>
      </c>
      <c r="C205" s="11" t="s">
        <v>6557</v>
      </c>
      <c r="D205" s="11" t="s">
        <v>6558</v>
      </c>
      <c r="E205" s="11" t="s">
        <v>28</v>
      </c>
      <c r="F205" s="11" t="s">
        <v>23</v>
      </c>
      <c r="G205" s="12">
        <v>8</v>
      </c>
      <c r="H205" s="13">
        <v>275.62</v>
      </c>
      <c r="I205" s="14">
        <f>vendas2026[[#This Row],[Qtde]]*vendas2026[[#This Row],[VlrUnitário]]</f>
        <v>2204.96</v>
      </c>
      <c r="J205" s="385">
        <f>vendas2026[[#This Row],[VlrTotal]]</f>
        <v>2204.96</v>
      </c>
      <c r="K205" s="16">
        <v>1</v>
      </c>
      <c r="L205" s="16">
        <f>vendas2026[[#This Row],[%Comissão]]*0.25</f>
        <v>0.25</v>
      </c>
      <c r="M205" s="14" t="s">
        <v>24</v>
      </c>
      <c r="N205" s="24">
        <v>0</v>
      </c>
      <c r="O205" s="14">
        <f>vendas2026[[#This Row],[VlrTotal]]*vendas2026[[#This Row],[%ComissãoSupervisor]]</f>
        <v>551.24</v>
      </c>
      <c r="P205" s="11" t="s">
        <v>25</v>
      </c>
      <c r="Q205" s="11" t="s">
        <v>25</v>
      </c>
      <c r="R205" s="11"/>
      <c r="S205" s="11">
        <v>1</v>
      </c>
      <c r="T205" s="383">
        <v>46188</v>
      </c>
      <c r="U205" s="11" t="s">
        <v>204</v>
      </c>
      <c r="V205" s="17" t="s">
        <v>6111</v>
      </c>
    </row>
    <row r="206" spans="1:22" x14ac:dyDescent="0.3">
      <c r="A206" s="10">
        <v>46188</v>
      </c>
      <c r="B206" s="11">
        <v>144483</v>
      </c>
      <c r="C206" s="11" t="s">
        <v>6557</v>
      </c>
      <c r="D206" s="11" t="s">
        <v>6558</v>
      </c>
      <c r="E206" s="11" t="s">
        <v>30</v>
      </c>
      <c r="F206" s="11" t="s">
        <v>23</v>
      </c>
      <c r="G206" s="12">
        <v>12</v>
      </c>
      <c r="H206" s="13">
        <v>115</v>
      </c>
      <c r="I206" s="14">
        <f>vendas2026[[#This Row],[Qtde]]*vendas2026[[#This Row],[VlrUnitário]]</f>
        <v>1380</v>
      </c>
      <c r="J206" s="385">
        <f>vendas2026[[#This Row],[VlrTotal]]</f>
        <v>1380</v>
      </c>
      <c r="K206" s="16">
        <v>1</v>
      </c>
      <c r="L206" s="16">
        <f>vendas2026[[#This Row],[%Comissão]]*0.25</f>
        <v>0.25</v>
      </c>
      <c r="M206" s="14" t="s">
        <v>24</v>
      </c>
      <c r="N206" s="24">
        <v>0</v>
      </c>
      <c r="O206" s="14">
        <f>vendas2026[[#This Row],[VlrTotal]]*vendas2026[[#This Row],[%ComissãoSupervisor]]</f>
        <v>345</v>
      </c>
      <c r="P206" s="11" t="s">
        <v>25</v>
      </c>
      <c r="Q206" s="11" t="s">
        <v>25</v>
      </c>
      <c r="R206" s="11"/>
      <c r="S206" s="11">
        <v>1</v>
      </c>
      <c r="T206" s="383">
        <v>46188</v>
      </c>
      <c r="U206" s="11" t="s">
        <v>204</v>
      </c>
      <c r="V206" s="17" t="s">
        <v>6111</v>
      </c>
    </row>
    <row r="207" spans="1:22" x14ac:dyDescent="0.3">
      <c r="A207" s="10">
        <v>46188</v>
      </c>
      <c r="B207" s="11">
        <v>144483</v>
      </c>
      <c r="C207" s="11" t="s">
        <v>6557</v>
      </c>
      <c r="D207" s="11" t="s">
        <v>6558</v>
      </c>
      <c r="E207" s="11" t="s">
        <v>141</v>
      </c>
      <c r="F207" s="11" t="s">
        <v>23</v>
      </c>
      <c r="G207" s="12">
        <v>1</v>
      </c>
      <c r="H207" s="13">
        <v>712.8</v>
      </c>
      <c r="I207" s="14">
        <f>vendas2026[[#This Row],[Qtde]]*vendas2026[[#This Row],[VlrUnitário]]</f>
        <v>712.8</v>
      </c>
      <c r="J207" s="385">
        <f>vendas2026[[#This Row],[VlrTotal]]</f>
        <v>712.8</v>
      </c>
      <c r="K207" s="16">
        <v>1</v>
      </c>
      <c r="L207" s="16">
        <f>vendas2026[[#This Row],[%Comissão]]*0.25</f>
        <v>0.25</v>
      </c>
      <c r="M207" s="14" t="s">
        <v>24</v>
      </c>
      <c r="N207" s="24">
        <v>0</v>
      </c>
      <c r="O207" s="14">
        <f>vendas2026[[#This Row],[VlrTotal]]*vendas2026[[#This Row],[%ComissãoSupervisor]]</f>
        <v>178.2</v>
      </c>
      <c r="P207" s="11" t="s">
        <v>25</v>
      </c>
      <c r="Q207" s="11" t="s">
        <v>25</v>
      </c>
      <c r="R207" s="11"/>
      <c r="S207" s="11">
        <v>1</v>
      </c>
      <c r="T207" s="383">
        <v>46188</v>
      </c>
      <c r="U207" s="11" t="s">
        <v>204</v>
      </c>
      <c r="V207" s="17" t="s">
        <v>6111</v>
      </c>
    </row>
    <row r="208" spans="1:22" x14ac:dyDescent="0.3">
      <c r="A208" s="10">
        <v>46188</v>
      </c>
      <c r="B208" s="11">
        <v>144483</v>
      </c>
      <c r="C208" s="11" t="s">
        <v>6557</v>
      </c>
      <c r="D208" s="11" t="s">
        <v>6558</v>
      </c>
      <c r="E208" s="11" t="s">
        <v>3364</v>
      </c>
      <c r="F208" s="11" t="s">
        <v>23</v>
      </c>
      <c r="G208" s="12">
        <v>1</v>
      </c>
      <c r="H208" s="13">
        <v>356.4</v>
      </c>
      <c r="I208" s="14">
        <f>vendas2026[[#This Row],[Qtde]]*vendas2026[[#This Row],[VlrUnitário]]</f>
        <v>356.4</v>
      </c>
      <c r="J208" s="385">
        <f>vendas2026[[#This Row],[VlrTotal]]</f>
        <v>356.4</v>
      </c>
      <c r="K208" s="16">
        <v>1</v>
      </c>
      <c r="L208" s="16">
        <f>vendas2026[[#This Row],[%Comissão]]*0.25</f>
        <v>0.25</v>
      </c>
      <c r="M208" s="14" t="s">
        <v>24</v>
      </c>
      <c r="N208" s="24">
        <v>0</v>
      </c>
      <c r="O208" s="14">
        <f>vendas2026[[#This Row],[VlrTotal]]*vendas2026[[#This Row],[%ComissãoSupervisor]]</f>
        <v>89.1</v>
      </c>
      <c r="P208" s="11" t="s">
        <v>25</v>
      </c>
      <c r="Q208" s="11" t="s">
        <v>25</v>
      </c>
      <c r="R208" s="11"/>
      <c r="S208" s="11">
        <v>1</v>
      </c>
      <c r="T208" s="383">
        <v>46188</v>
      </c>
      <c r="U208" s="11" t="s">
        <v>204</v>
      </c>
      <c r="V208" s="17" t="s">
        <v>6111</v>
      </c>
    </row>
    <row r="209" spans="1:22" x14ac:dyDescent="0.3">
      <c r="A209" s="10">
        <v>46188</v>
      </c>
      <c r="B209" s="11">
        <v>144483</v>
      </c>
      <c r="C209" s="11" t="s">
        <v>6557</v>
      </c>
      <c r="D209" s="11" t="s">
        <v>6558</v>
      </c>
      <c r="E209" s="11" t="s">
        <v>106</v>
      </c>
      <c r="F209" s="11" t="s">
        <v>23</v>
      </c>
      <c r="G209" s="12">
        <v>1</v>
      </c>
      <c r="H209" s="13">
        <v>356.4</v>
      </c>
      <c r="I209" s="14">
        <f>vendas2026[[#This Row],[Qtde]]*vendas2026[[#This Row],[VlrUnitário]]</f>
        <v>356.4</v>
      </c>
      <c r="J209" s="385">
        <f>vendas2026[[#This Row],[VlrTotal]]</f>
        <v>356.4</v>
      </c>
      <c r="K209" s="16">
        <v>1</v>
      </c>
      <c r="L209" s="16">
        <f>vendas2026[[#This Row],[%Comissão]]*0.25</f>
        <v>0.25</v>
      </c>
      <c r="M209" s="14" t="s">
        <v>24</v>
      </c>
      <c r="N209" s="24">
        <v>0</v>
      </c>
      <c r="O209" s="14">
        <f>vendas2026[[#This Row],[VlrTotal]]*vendas2026[[#This Row],[%ComissãoSupervisor]]</f>
        <v>89.1</v>
      </c>
      <c r="P209" s="11" t="s">
        <v>25</v>
      </c>
      <c r="Q209" s="11" t="s">
        <v>25</v>
      </c>
      <c r="R209" s="11"/>
      <c r="S209" s="11">
        <v>1</v>
      </c>
      <c r="T209" s="383">
        <v>46188</v>
      </c>
      <c r="U209" s="11" t="s">
        <v>204</v>
      </c>
      <c r="V209" s="17" t="s">
        <v>6111</v>
      </c>
    </row>
    <row r="210" spans="1:22" x14ac:dyDescent="0.3">
      <c r="A210" s="10">
        <v>46188</v>
      </c>
      <c r="B210" s="11">
        <v>144483</v>
      </c>
      <c r="C210" s="11" t="s">
        <v>6557</v>
      </c>
      <c r="D210" s="11" t="s">
        <v>6558</v>
      </c>
      <c r="E210" s="11" t="s">
        <v>54</v>
      </c>
      <c r="F210" s="11" t="s">
        <v>23</v>
      </c>
      <c r="G210" s="12">
        <v>1</v>
      </c>
      <c r="H210" s="13">
        <v>356.4</v>
      </c>
      <c r="I210" s="14">
        <f>vendas2026[[#This Row],[Qtde]]*vendas2026[[#This Row],[VlrUnitário]]</f>
        <v>356.4</v>
      </c>
      <c r="J210" s="385">
        <f>vendas2026[[#This Row],[VlrTotal]]</f>
        <v>356.4</v>
      </c>
      <c r="K210" s="16">
        <v>1</v>
      </c>
      <c r="L210" s="16">
        <f>vendas2026[[#This Row],[%Comissão]]*0.25</f>
        <v>0.25</v>
      </c>
      <c r="M210" s="14" t="s">
        <v>24</v>
      </c>
      <c r="N210" s="24">
        <v>0</v>
      </c>
      <c r="O210" s="14">
        <f>vendas2026[[#This Row],[VlrTotal]]*vendas2026[[#This Row],[%ComissãoSupervisor]]</f>
        <v>89.1</v>
      </c>
      <c r="P210" s="11" t="s">
        <v>25</v>
      </c>
      <c r="Q210" s="11" t="s">
        <v>25</v>
      </c>
      <c r="R210" s="11"/>
      <c r="S210" s="11">
        <v>1</v>
      </c>
      <c r="T210" s="383">
        <v>46188</v>
      </c>
      <c r="U210" s="11" t="s">
        <v>204</v>
      </c>
      <c r="V210" s="17" t="s">
        <v>6111</v>
      </c>
    </row>
    <row r="211" spans="1:22" x14ac:dyDescent="0.3">
      <c r="A211" s="10">
        <v>46188</v>
      </c>
      <c r="B211" s="11">
        <v>144484</v>
      </c>
      <c r="C211" s="11" t="s">
        <v>6557</v>
      </c>
      <c r="D211" s="11" t="s">
        <v>6558</v>
      </c>
      <c r="E211" s="11" t="s">
        <v>31</v>
      </c>
      <c r="F211" s="11" t="s">
        <v>23</v>
      </c>
      <c r="G211" s="12">
        <v>1</v>
      </c>
      <c r="H211" s="13">
        <v>2295.1999999999998</v>
      </c>
      <c r="I211" s="14">
        <f>vendas2026[[#This Row],[Qtde]]*vendas2026[[#This Row],[VlrUnitário]]</f>
        <v>2295.1999999999998</v>
      </c>
      <c r="J211" s="385">
        <f>vendas2026[[#This Row],[VlrTotal]]</f>
        <v>2295.1999999999998</v>
      </c>
      <c r="K211" s="16">
        <v>1</v>
      </c>
      <c r="L211" s="16">
        <f>vendas2026[[#This Row],[%Comissão]]*0.25</f>
        <v>0.25</v>
      </c>
      <c r="M211" s="14" t="s">
        <v>24</v>
      </c>
      <c r="N211" s="24">
        <v>0</v>
      </c>
      <c r="O211" s="14">
        <f>vendas2026[[#This Row],[VlrTotal]]*vendas2026[[#This Row],[%ComissãoSupervisor]]</f>
        <v>573.79999999999995</v>
      </c>
      <c r="P211" s="11" t="s">
        <v>25</v>
      </c>
      <c r="Q211" s="11" t="s">
        <v>25</v>
      </c>
      <c r="R211" s="11"/>
      <c r="S211" s="11">
        <v>1</v>
      </c>
      <c r="T211" s="383">
        <v>46188</v>
      </c>
      <c r="U211" s="11" t="s">
        <v>204</v>
      </c>
      <c r="V211" s="17" t="s">
        <v>6111</v>
      </c>
    </row>
    <row r="212" spans="1:22" x14ac:dyDescent="0.3">
      <c r="A212" s="10">
        <v>46188</v>
      </c>
      <c r="B212" s="11">
        <v>134873</v>
      </c>
      <c r="C212" s="11" t="s">
        <v>45</v>
      </c>
      <c r="D212" s="11" t="s">
        <v>81</v>
      </c>
      <c r="E212" s="11" t="s">
        <v>42</v>
      </c>
      <c r="F212" s="11" t="s">
        <v>3355</v>
      </c>
      <c r="G212" s="12">
        <v>15</v>
      </c>
      <c r="H212" s="13">
        <v>180</v>
      </c>
      <c r="I212" s="14">
        <f>vendas2026[[#This Row],[Qtde]]*vendas2026[[#This Row],[VlrUnitário]]</f>
        <v>2700</v>
      </c>
      <c r="J212" s="385">
        <f>(vendas2026[[#This Row],[VlrTotal]]*0.2)+vendas2026[[#This Row],[VlrTotal]]</f>
        <v>3240</v>
      </c>
      <c r="K212" s="16">
        <v>7.0000000000000007E-2</v>
      </c>
      <c r="L212" s="16">
        <f>vendas2026[[#This Row],[%Comissão]]*0.25</f>
        <v>1.7500000000000002E-2</v>
      </c>
      <c r="M212" s="14" t="s">
        <v>43</v>
      </c>
      <c r="N212" s="24">
        <f>vendas2026[[#This Row],[VlrTotal]]*vendas2026[[#This Row],[%Comissão]]</f>
        <v>189.00000000000003</v>
      </c>
      <c r="O212" s="14">
        <f>vendas2026[[#This Row],[VlrTotal]]*vendas2026[[#This Row],[%ComissãoSupervisor]]</f>
        <v>47.250000000000007</v>
      </c>
      <c r="P212" s="11" t="s">
        <v>3361</v>
      </c>
      <c r="Q212" s="11" t="s">
        <v>3362</v>
      </c>
      <c r="R212" s="11"/>
      <c r="S212" s="11">
        <v>1</v>
      </c>
      <c r="T212" s="383"/>
      <c r="U212" s="11" t="s">
        <v>3363</v>
      </c>
      <c r="V212" s="17" t="s">
        <v>45</v>
      </c>
    </row>
    <row r="213" spans="1:22" x14ac:dyDescent="0.3">
      <c r="A213" s="10">
        <v>46188</v>
      </c>
      <c r="B213" s="11">
        <v>144460</v>
      </c>
      <c r="C213" s="11" t="s">
        <v>45</v>
      </c>
      <c r="D213" s="11" t="s">
        <v>134</v>
      </c>
      <c r="E213" s="11" t="s">
        <v>42</v>
      </c>
      <c r="F213" s="11" t="s">
        <v>3355</v>
      </c>
      <c r="G213" s="12">
        <v>8</v>
      </c>
      <c r="H213" s="13">
        <v>180</v>
      </c>
      <c r="I213" s="14">
        <f>vendas2026[[#This Row],[Qtde]]*vendas2026[[#This Row],[VlrUnitário]]</f>
        <v>1440</v>
      </c>
      <c r="J213" s="385">
        <f>(vendas2026[[#This Row],[VlrTotal]]*0.2)+vendas2026[[#This Row],[VlrTotal]]</f>
        <v>1728</v>
      </c>
      <c r="K213" s="16">
        <v>7.0000000000000007E-2</v>
      </c>
      <c r="L213" s="16">
        <f>vendas2026[[#This Row],[%Comissão]]*0.25</f>
        <v>1.7500000000000002E-2</v>
      </c>
      <c r="M213" s="14" t="s">
        <v>43</v>
      </c>
      <c r="N213" s="24">
        <f>vendas2026[[#This Row],[VlrTotal]]*vendas2026[[#This Row],[%Comissão]]</f>
        <v>100.80000000000001</v>
      </c>
      <c r="O213" s="14">
        <f>vendas2026[[#This Row],[VlrTotal]]*vendas2026[[#This Row],[%ComissãoSupervisor]]</f>
        <v>25.200000000000003</v>
      </c>
      <c r="P213" s="11" t="s">
        <v>3361</v>
      </c>
      <c r="Q213" s="11" t="s">
        <v>3362</v>
      </c>
      <c r="R213" s="11"/>
      <c r="S213" s="11">
        <v>3</v>
      </c>
      <c r="T213" s="383"/>
      <c r="U213" s="11" t="s">
        <v>3363</v>
      </c>
      <c r="V213" s="17" t="s">
        <v>45</v>
      </c>
    </row>
    <row r="214" spans="1:22" x14ac:dyDescent="0.3">
      <c r="A214" s="10">
        <v>46189</v>
      </c>
      <c r="B214" s="11">
        <v>142677</v>
      </c>
      <c r="C214" s="11" t="s">
        <v>45</v>
      </c>
      <c r="D214" s="11" t="s">
        <v>131</v>
      </c>
      <c r="E214" s="11" t="s">
        <v>96</v>
      </c>
      <c r="F214" s="11" t="s">
        <v>32</v>
      </c>
      <c r="G214" s="12">
        <v>1</v>
      </c>
      <c r="H214" s="13">
        <v>8100</v>
      </c>
      <c r="I214" s="14">
        <f>vendas2026[[#This Row],[Qtde]]*vendas2026[[#This Row],[VlrUnitário]]</f>
        <v>8100</v>
      </c>
      <c r="J214" s="385">
        <f>(vendas2026[[#This Row],[VlrTotal]]*0.2)+vendas2026[[#This Row],[VlrTotal]]</f>
        <v>9720</v>
      </c>
      <c r="K214" s="16">
        <v>7.0000000000000007E-2</v>
      </c>
      <c r="L214" s="16">
        <f>vendas2026[[#This Row],[%Comissão]]*0.25</f>
        <v>1.7500000000000002E-2</v>
      </c>
      <c r="M214" s="14" t="s">
        <v>43</v>
      </c>
      <c r="N214" s="24">
        <f>vendas2026[[#This Row],[VlrTotal]]*vendas2026[[#This Row],[%Comissão]]</f>
        <v>567</v>
      </c>
      <c r="O214" s="14">
        <f>vendas2026[[#This Row],[VlrTotal]]*vendas2026[[#This Row],[%ComissãoSupervisor]]</f>
        <v>141.75</v>
      </c>
      <c r="P214" s="11" t="s">
        <v>25</v>
      </c>
      <c r="Q214" s="11" t="s">
        <v>25</v>
      </c>
      <c r="R214" s="11"/>
      <c r="S214" s="11">
        <v>6</v>
      </c>
      <c r="T214" s="383">
        <v>46189</v>
      </c>
      <c r="U214" s="11" t="s">
        <v>204</v>
      </c>
      <c r="V214" s="17" t="s">
        <v>45</v>
      </c>
    </row>
    <row r="215" spans="1:22" x14ac:dyDescent="0.3">
      <c r="A215" s="10">
        <v>46189</v>
      </c>
      <c r="B215" s="11">
        <v>142677</v>
      </c>
      <c r="C215" s="11" t="s">
        <v>45</v>
      </c>
      <c r="D215" s="11" t="s">
        <v>131</v>
      </c>
      <c r="E215" s="11" t="s">
        <v>96</v>
      </c>
      <c r="F215" s="11" t="s">
        <v>23</v>
      </c>
      <c r="G215" s="12">
        <v>1</v>
      </c>
      <c r="H215" s="13">
        <v>1080</v>
      </c>
      <c r="I215" s="14">
        <f>vendas2026[[#This Row],[Qtde]]*vendas2026[[#This Row],[VlrUnitário]]</f>
        <v>1080</v>
      </c>
      <c r="J215" s="385">
        <f>(vendas2026[[#This Row],[VlrTotal]]*0.2)+vendas2026[[#This Row],[VlrTotal]]</f>
        <v>1296</v>
      </c>
      <c r="K215" s="16">
        <v>1</v>
      </c>
      <c r="L215" s="16">
        <f>vendas2026[[#This Row],[%Comissão]]*0.25</f>
        <v>0.25</v>
      </c>
      <c r="M215" s="14" t="s">
        <v>43</v>
      </c>
      <c r="N215" s="24">
        <f>vendas2026[[#This Row],[VlrTotal]]*vendas2026[[#This Row],[%Comissão]]</f>
        <v>1080</v>
      </c>
      <c r="O215" s="14">
        <f>vendas2026[[#This Row],[VlrTotal]]*vendas2026[[#This Row],[%ComissãoSupervisor]]</f>
        <v>270</v>
      </c>
      <c r="P215" s="11" t="s">
        <v>25</v>
      </c>
      <c r="Q215" s="11" t="s">
        <v>25</v>
      </c>
      <c r="R215" s="11"/>
      <c r="S215" s="11">
        <v>1</v>
      </c>
      <c r="T215" s="383">
        <v>46189</v>
      </c>
      <c r="U215" s="11" t="s">
        <v>204</v>
      </c>
      <c r="V215" s="17" t="s">
        <v>45</v>
      </c>
    </row>
    <row r="216" spans="1:22" x14ac:dyDescent="0.3">
      <c r="A216" s="10">
        <v>46192</v>
      </c>
      <c r="B216" s="11">
        <v>144800</v>
      </c>
      <c r="C216" s="11" t="s">
        <v>45</v>
      </c>
      <c r="D216" s="11" t="s">
        <v>46</v>
      </c>
      <c r="E216" s="11" t="s">
        <v>42</v>
      </c>
      <c r="F216" s="11" t="s">
        <v>3355</v>
      </c>
      <c r="G216" s="12">
        <v>10</v>
      </c>
      <c r="H216" s="13">
        <v>180</v>
      </c>
      <c r="I216" s="14">
        <f>vendas2026[[#This Row],[Qtde]]*vendas2026[[#This Row],[VlrUnitário]]</f>
        <v>1800</v>
      </c>
      <c r="J216" s="385">
        <f>(vendas2026[[#This Row],[VlrTotal]]*0.2)+vendas2026[[#This Row],[VlrTotal]]</f>
        <v>2160</v>
      </c>
      <c r="K216" s="16">
        <v>7.0000000000000007E-2</v>
      </c>
      <c r="L216" s="16">
        <f>vendas2026[[#This Row],[%Comissão]]*0.25</f>
        <v>1.7500000000000002E-2</v>
      </c>
      <c r="M216" s="14" t="s">
        <v>43</v>
      </c>
      <c r="N216" s="24">
        <f>vendas2026[[#This Row],[VlrTotal]]*vendas2026[[#This Row],[%Comissão]]</f>
        <v>126.00000000000001</v>
      </c>
      <c r="O216" s="14">
        <f>vendas2026[[#This Row],[VlrTotal]]*vendas2026[[#This Row],[%ComissãoSupervisor]]</f>
        <v>31.500000000000004</v>
      </c>
      <c r="P216" s="11" t="s">
        <v>25</v>
      </c>
      <c r="Q216" s="11" t="s">
        <v>25</v>
      </c>
      <c r="R216" s="11"/>
      <c r="S216" s="11">
        <v>4</v>
      </c>
      <c r="T216" s="383"/>
      <c r="U216" s="11" t="s">
        <v>3363</v>
      </c>
      <c r="V216" s="17" t="s">
        <v>45</v>
      </c>
    </row>
    <row r="217" spans="1:22" x14ac:dyDescent="0.3">
      <c r="A217" s="10">
        <v>46192</v>
      </c>
      <c r="B217" s="11">
        <v>72582</v>
      </c>
      <c r="C217" s="11" t="s">
        <v>20</v>
      </c>
      <c r="D217" s="11" t="s">
        <v>6559</v>
      </c>
      <c r="E217" s="11" t="s">
        <v>53</v>
      </c>
      <c r="F217" s="11" t="s">
        <v>32</v>
      </c>
      <c r="G217" s="12">
        <v>1</v>
      </c>
      <c r="H217" s="13">
        <v>3583.06</v>
      </c>
      <c r="I217" s="14">
        <f>vendas2026[[#This Row],[Qtde]]*vendas2026[[#This Row],[VlrUnitário]]</f>
        <v>3583.06</v>
      </c>
      <c r="J217" s="385">
        <f>vendas2026[[#This Row],[VlrTotal]]</f>
        <v>3583.06</v>
      </c>
      <c r="K217" s="16">
        <v>7.0000000000000007E-2</v>
      </c>
      <c r="L217" s="16">
        <f>vendas2026[[#This Row],[%Comissão]]*0.25</f>
        <v>1.7500000000000002E-2</v>
      </c>
      <c r="M217" s="14" t="s">
        <v>43</v>
      </c>
      <c r="N217" s="24">
        <f>vendas2026[[#This Row],[VlrTotal]]*vendas2026[[#This Row],[%Comissão]]</f>
        <v>250.81420000000003</v>
      </c>
      <c r="O217" s="14">
        <f>vendas2026[[#This Row],[VlrTotal]]*vendas2026[[#This Row],[%ComissãoSupervisor]]</f>
        <v>62.703550000000007</v>
      </c>
      <c r="P217" s="11" t="s">
        <v>25</v>
      </c>
      <c r="Q217" s="11" t="s">
        <v>25</v>
      </c>
      <c r="R217" s="11"/>
      <c r="S217" s="11">
        <v>3</v>
      </c>
      <c r="T217" s="383">
        <v>46192</v>
      </c>
      <c r="U217" s="11" t="s">
        <v>204</v>
      </c>
      <c r="V217" s="17" t="s">
        <v>20</v>
      </c>
    </row>
    <row r="218" spans="1:22" ht="13.95" customHeight="1" x14ac:dyDescent="0.3">
      <c r="A218" s="77" t="s">
        <v>3367</v>
      </c>
      <c r="B218" s="22"/>
      <c r="C218" s="22"/>
      <c r="D218" s="11"/>
      <c r="E218" s="22"/>
      <c r="F218" s="22"/>
      <c r="G218" s="23">
        <f>SUBTOTAL(109,vendas2026[Qtde])</f>
        <v>732</v>
      </c>
      <c r="H218" s="22"/>
      <c r="I218" s="24">
        <f>SUBTOTAL(109,vendas2026[VlrTotal])</f>
        <v>152514.26</v>
      </c>
      <c r="J218" s="24">
        <f>SUBTOTAL(109,vendas2026[Vlr Meta])</f>
        <v>156495.28399999999</v>
      </c>
      <c r="K218" s="22"/>
      <c r="L218" s="22"/>
      <c r="M218" s="22"/>
      <c r="N218" s="24">
        <f>SUBTOTAL(109,vendas2026[[ComissãoVendedor ]])</f>
        <v>5436.8985999999995</v>
      </c>
      <c r="O218" s="24">
        <f>SUBTOTAL(109,vendas2026[ComissãoSupervisor])</f>
        <v>4712.5646499999993</v>
      </c>
      <c r="P218" s="22"/>
      <c r="Q218" s="22"/>
      <c r="R218" s="22"/>
      <c r="S218" s="22"/>
      <c r="T218" s="384"/>
      <c r="U218" s="22"/>
      <c r="V218" s="76">
        <f>SUBTOTAL(103,vendas2026[SDR_RESPONSÁVEL])</f>
        <v>21</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topLeftCell="A7" workbookViewId="0">
      <selection activeCell="C30" sqref="C30"/>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35647.919999999998</v>
      </c>
      <c r="D4" s="84">
        <f>C4/B4</f>
        <v>0.396088</v>
      </c>
    </row>
    <row r="5" spans="1:6" ht="15.6" thickTop="1" thickBot="1" x14ac:dyDescent="0.35">
      <c r="A5" s="81" t="s">
        <v>3378</v>
      </c>
      <c r="B5" s="82">
        <v>10000</v>
      </c>
      <c r="C5" s="83">
        <v>0</v>
      </c>
      <c r="D5" s="84">
        <f>C5/B5</f>
        <v>0</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23644</v>
      </c>
      <c r="D8" s="84">
        <f>C8/B8</f>
        <v>0.26271111111111112</v>
      </c>
    </row>
    <row r="9" spans="1:6" ht="15.6" thickTop="1" thickBot="1" x14ac:dyDescent="0.35">
      <c r="A9" s="81" t="s">
        <v>3378</v>
      </c>
      <c r="B9" s="82">
        <v>8500</v>
      </c>
      <c r="C9" s="83">
        <v>2502.14</v>
      </c>
      <c r="D9" s="84">
        <f>C9/B9</f>
        <v>0.29436941176470588</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0</v>
      </c>
      <c r="D14" s="84">
        <f>C14/B14</f>
        <v>0</v>
      </c>
      <c r="F14" s="34"/>
    </row>
    <row r="15" spans="1:6" ht="15" thickTop="1" x14ac:dyDescent="0.3"/>
    <row r="16" spans="1:6" ht="15" thickBot="1" x14ac:dyDescent="0.35">
      <c r="A16" s="79" t="s">
        <v>6111</v>
      </c>
      <c r="B16" s="80" t="s">
        <v>233</v>
      </c>
      <c r="C16" s="80" t="s">
        <v>3376</v>
      </c>
      <c r="D16" s="80" t="s">
        <v>235</v>
      </c>
    </row>
    <row r="17" spans="1:6" ht="15.6" thickTop="1" thickBot="1" x14ac:dyDescent="0.35">
      <c r="A17" s="81" t="s">
        <v>3377</v>
      </c>
      <c r="B17" s="82">
        <v>54000</v>
      </c>
      <c r="C17" s="83">
        <v>82160</v>
      </c>
      <c r="D17" s="84">
        <f>C17/B17</f>
        <v>1.5214814814814814</v>
      </c>
    </row>
    <row r="18" spans="1:6" ht="15.6" thickTop="1" thickBot="1" x14ac:dyDescent="0.35">
      <c r="A18" s="81" t="s">
        <v>3378</v>
      </c>
      <c r="B18" s="82">
        <v>6500</v>
      </c>
      <c r="C18" s="83">
        <v>7662.16</v>
      </c>
      <c r="D18" s="84">
        <f>C18/B18</f>
        <v>1.1787938461538461</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90000*4</f>
        <v>360000</v>
      </c>
      <c r="C24" s="86">
        <f>C4+C8+C13+C21+C17</f>
        <v>141451.91999999998</v>
      </c>
      <c r="D24" s="87">
        <f>C24/B24</f>
        <v>0.39292199999999994</v>
      </c>
    </row>
    <row r="25" spans="1:6" ht="15.6" thickTop="1" thickBot="1" x14ac:dyDescent="0.35">
      <c r="A25" s="85" t="s">
        <v>3382</v>
      </c>
      <c r="B25" s="88">
        <f>B9+B14+B18+B22</f>
        <v>35000</v>
      </c>
      <c r="C25" s="88">
        <f>C5+C9+C14+C22+C18</f>
        <v>10164.299999999999</v>
      </c>
      <c r="D25" s="89">
        <f>C25/B25</f>
        <v>0.2904085714285714</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90000*4</f>
        <v>360000</v>
      </c>
      <c r="C28" s="90">
        <f>C4+C8+C21+C13+C17</f>
        <v>141451.91999999998</v>
      </c>
      <c r="D28" s="87">
        <f>C28/B28</f>
        <v>0.39292199999999994</v>
      </c>
    </row>
    <row r="29" spans="1:6" ht="15.6" thickTop="1" thickBot="1" x14ac:dyDescent="0.35">
      <c r="A29" s="81" t="s">
        <v>3378</v>
      </c>
      <c r="B29" s="86">
        <f>B25</f>
        <v>35000</v>
      </c>
      <c r="C29" s="90">
        <f>C9+C14+C18+C22</f>
        <v>10164.299999999999</v>
      </c>
      <c r="D29" s="87">
        <f>C29/B29</f>
        <v>0.2904085714285714</v>
      </c>
    </row>
    <row r="30" spans="1:6" ht="15"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abSelected="1" topLeftCell="M1" zoomScale="90" zoomScaleNormal="90" workbookViewId="0">
      <pane xSplit="3" ySplit="1" topLeftCell="P38" activePane="bottomRight" state="frozen"/>
      <selection activeCell="M1" sqref="M1"/>
      <selection pane="topRight" activeCell="P1" sqref="P1"/>
      <selection pane="bottomLeft" activeCell="M2" sqref="M2"/>
      <selection pane="bottomRight" activeCell="Q57" sqref="Q57"/>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53"/>
      <c r="Q50" s="33">
        <v>16</v>
      </c>
      <c r="R50" s="33">
        <v>15</v>
      </c>
      <c r="S50" s="54">
        <v>1254.53</v>
      </c>
      <c r="T50" s="54">
        <v>11164.25</v>
      </c>
      <c r="U50" s="54">
        <v>94263.71</v>
      </c>
      <c r="V50" s="379">
        <v>150</v>
      </c>
      <c r="W50">
        <v>15</v>
      </c>
      <c r="X50">
        <v>12</v>
      </c>
      <c r="Y50" s="238">
        <v>8</v>
      </c>
      <c r="Z50" s="238">
        <v>34</v>
      </c>
      <c r="AA50" s="55">
        <v>90000</v>
      </c>
      <c r="AB50" s="290">
        <f>metas[[#This Row],[Meta Individual]]/8000</f>
        <v>0.15681624999999999</v>
      </c>
      <c r="AC50" s="290">
        <f>metas[[#This Row],[Meta Equipe]]/34000/4</f>
        <v>8.2090073529411764E-2</v>
      </c>
    </row>
    <row r="51" spans="1:29" x14ac:dyDescent="0.3">
      <c r="A51" s="48" t="s">
        <v>242</v>
      </c>
      <c r="B51" s="48"/>
      <c r="C51" s="48"/>
      <c r="D51" s="48"/>
      <c r="E51" s="48"/>
      <c r="F51" s="48"/>
      <c r="G51" s="48"/>
      <c r="H51" s="48"/>
      <c r="I51" s="48"/>
      <c r="J51" s="48"/>
      <c r="K51" s="48"/>
      <c r="L51" s="48"/>
      <c r="M51" s="240">
        <v>2026</v>
      </c>
      <c r="N51" s="53">
        <v>46143</v>
      </c>
      <c r="O51" s="33" t="s">
        <v>20</v>
      </c>
      <c r="P51" s="33"/>
      <c r="Q51" s="33">
        <v>18</v>
      </c>
      <c r="R51" s="33">
        <v>19</v>
      </c>
      <c r="S51" s="54">
        <v>7194.36</v>
      </c>
      <c r="T51" s="54">
        <v>11164.25</v>
      </c>
      <c r="U51" s="54">
        <v>129305.78</v>
      </c>
      <c r="V51" s="379">
        <v>150</v>
      </c>
      <c r="W51">
        <v>15</v>
      </c>
      <c r="X51">
        <v>12</v>
      </c>
      <c r="Y51" s="238">
        <v>10</v>
      </c>
      <c r="Z51" s="238">
        <v>34</v>
      </c>
      <c r="AA51" s="55">
        <v>90000</v>
      </c>
      <c r="AB51" s="290">
        <f>metas[[#This Row],[Meta Individual]]/10000</f>
        <v>0.71943599999999996</v>
      </c>
      <c r="AC51" s="290">
        <f>metas[[#This Row],[Meta Equipe]]/34000/4</f>
        <v>8.2090073529411764E-2</v>
      </c>
    </row>
    <row r="52" spans="1:29" x14ac:dyDescent="0.3">
      <c r="A52" s="48" t="s">
        <v>229</v>
      </c>
      <c r="B52" s="48"/>
      <c r="C52" s="48"/>
      <c r="D52" s="48"/>
      <c r="E52" s="48"/>
      <c r="F52" s="48"/>
      <c r="G52" s="48"/>
      <c r="H52" s="48"/>
      <c r="I52" s="48"/>
      <c r="J52" s="48"/>
      <c r="K52" s="48"/>
      <c r="L52" s="48"/>
      <c r="M52" s="240">
        <v>2026</v>
      </c>
      <c r="N52" s="53">
        <v>46143</v>
      </c>
      <c r="O52" s="33" t="s">
        <v>40</v>
      </c>
      <c r="P52" s="33"/>
      <c r="Q52" s="33">
        <v>2</v>
      </c>
      <c r="R52" s="33">
        <v>1</v>
      </c>
      <c r="S52" s="54">
        <v>2715.36</v>
      </c>
      <c r="T52" s="54">
        <v>11164.25</v>
      </c>
      <c r="U52" s="54">
        <v>0</v>
      </c>
      <c r="V52" s="379">
        <v>150</v>
      </c>
      <c r="W52">
        <v>15</v>
      </c>
      <c r="X52">
        <v>12</v>
      </c>
      <c r="Y52" s="238">
        <v>10</v>
      </c>
      <c r="Z52" s="238">
        <v>34</v>
      </c>
      <c r="AA52" s="55">
        <v>90000</v>
      </c>
      <c r="AB52" s="290">
        <f>metas[[#This Row],[Meta Individual]]/10000</f>
        <v>0.271536</v>
      </c>
      <c r="AC52" s="290">
        <f>metas[[#This Row],[Meta Equipe]]/34000/4</f>
        <v>8.2090073529411764E-2</v>
      </c>
    </row>
    <row r="53" spans="1:29" x14ac:dyDescent="0.3">
      <c r="A53" s="48" t="s">
        <v>230</v>
      </c>
      <c r="B53" s="48"/>
      <c r="C53" s="48"/>
      <c r="D53" s="48"/>
      <c r="E53" s="48" t="s">
        <v>231</v>
      </c>
      <c r="F53" s="48"/>
      <c r="G53" s="48"/>
      <c r="H53" s="48"/>
      <c r="I53" s="48" t="s">
        <v>232</v>
      </c>
      <c r="J53" s="48"/>
      <c r="K53" s="48"/>
      <c r="L53" s="48"/>
      <c r="M53" s="240">
        <v>2026</v>
      </c>
      <c r="N53" s="53">
        <v>46143</v>
      </c>
      <c r="O53" t="s">
        <v>6111</v>
      </c>
      <c r="Q53" s="33">
        <v>2</v>
      </c>
      <c r="R53" s="33">
        <v>4</v>
      </c>
      <c r="S53" s="54">
        <v>0</v>
      </c>
      <c r="T53" s="54">
        <v>11164.25</v>
      </c>
      <c r="U53" s="54">
        <v>0</v>
      </c>
      <c r="V53" s="379">
        <v>150</v>
      </c>
      <c r="W53">
        <v>15</v>
      </c>
      <c r="X53">
        <v>12</v>
      </c>
      <c r="Y53" s="238">
        <v>6</v>
      </c>
      <c r="Z53" s="238">
        <v>34</v>
      </c>
      <c r="AA53" s="55">
        <v>54000</v>
      </c>
      <c r="AB53" s="290">
        <f>metas[[#This Row],[Meta Individual]]/6000</f>
        <v>0</v>
      </c>
      <c r="AC53" s="290">
        <f>metas[[#This Row],[Meta Equipe]]/34000/4</f>
        <v>8.2090073529411764E-2</v>
      </c>
    </row>
    <row r="54" spans="1:29" x14ac:dyDescent="0.3">
      <c r="A54" s="48"/>
      <c r="B54" s="48" t="s">
        <v>233</v>
      </c>
      <c r="C54" s="48" t="s">
        <v>234</v>
      </c>
      <c r="D54" s="48" t="s">
        <v>235</v>
      </c>
      <c r="E54" s="48"/>
      <c r="F54" s="48" t="s">
        <v>233</v>
      </c>
      <c r="G54" s="48" t="s">
        <v>234</v>
      </c>
      <c r="H54" s="48" t="s">
        <v>235</v>
      </c>
      <c r="I54" s="48"/>
      <c r="J54" s="48" t="s">
        <v>233</v>
      </c>
      <c r="K54" s="48" t="s">
        <v>234</v>
      </c>
      <c r="L54" s="48" t="s">
        <v>235</v>
      </c>
      <c r="M54" s="240">
        <v>2026</v>
      </c>
      <c r="N54" s="53">
        <v>46174</v>
      </c>
      <c r="O54" s="53" t="s">
        <v>45</v>
      </c>
      <c r="P54" s="33"/>
      <c r="Q54" s="380">
        <v>16</v>
      </c>
      <c r="R54" s="380">
        <v>12</v>
      </c>
      <c r="S54" s="54">
        <f>'Metas Quadro'!C9</f>
        <v>2502.14</v>
      </c>
      <c r="T54" s="54">
        <f>'Metas Quadro'!C25</f>
        <v>10164.299999999999</v>
      </c>
      <c r="U54" s="54">
        <f>'Metas Quadro'!C8</f>
        <v>23644</v>
      </c>
      <c r="V54" s="379">
        <v>150</v>
      </c>
      <c r="W54">
        <v>15</v>
      </c>
      <c r="X54">
        <v>12</v>
      </c>
      <c r="Y54" s="238">
        <v>8.5</v>
      </c>
      <c r="Z54" s="238">
        <v>35</v>
      </c>
      <c r="AA54" s="55">
        <v>90000</v>
      </c>
      <c r="AB54" s="36">
        <f>metas[[#This Row],[Meta Individual]]/8500</f>
        <v>0.29436941176470588</v>
      </c>
      <c r="AC54" s="290">
        <f>metas[[#This Row],[Meta Equipe]]/34000/4</f>
        <v>7.4737499999999998E-2</v>
      </c>
    </row>
    <row r="55" spans="1:29" x14ac:dyDescent="0.3">
      <c r="A55" t="s">
        <v>236</v>
      </c>
      <c r="B55">
        <v>15</v>
      </c>
      <c r="C55">
        <v>25</v>
      </c>
      <c r="D55">
        <v>1.6666666666666667</v>
      </c>
      <c r="E55" t="s">
        <v>236</v>
      </c>
      <c r="F55">
        <v>15</v>
      </c>
      <c r="G55">
        <v>18</v>
      </c>
      <c r="H55">
        <v>1.2</v>
      </c>
      <c r="I55" t="s">
        <v>236</v>
      </c>
      <c r="J55">
        <v>15</v>
      </c>
      <c r="K55">
        <v>3</v>
      </c>
      <c r="L55">
        <v>0.2</v>
      </c>
      <c r="M55" s="240">
        <v>2026</v>
      </c>
      <c r="N55" s="53">
        <v>46174</v>
      </c>
      <c r="O55" s="33" t="s">
        <v>20</v>
      </c>
      <c r="P55" s="33"/>
      <c r="Q55" s="380">
        <v>13</v>
      </c>
      <c r="R55" s="380">
        <v>13</v>
      </c>
      <c r="S55" s="54">
        <f>'Metas Quadro'!C5</f>
        <v>0</v>
      </c>
      <c r="T55" s="54">
        <f>'Metas Quadro'!C25</f>
        <v>10164.299999999999</v>
      </c>
      <c r="U55" s="54">
        <f>'Metas Quadro'!C4</f>
        <v>35647.919999999998</v>
      </c>
      <c r="V55" s="379">
        <v>150</v>
      </c>
      <c r="W55">
        <v>15</v>
      </c>
      <c r="X55">
        <v>12</v>
      </c>
      <c r="Y55" s="238">
        <v>10</v>
      </c>
      <c r="Z55" s="238">
        <v>35</v>
      </c>
      <c r="AA55" s="55">
        <v>90000</v>
      </c>
      <c r="AB55" s="36">
        <f>metas[[#This Row],[Meta Individual]]/10000</f>
        <v>0</v>
      </c>
      <c r="AC55" s="290">
        <f>metas[[#This Row],[Meta Equipe]]/34000/4</f>
        <v>7.4737499999999998E-2</v>
      </c>
    </row>
    <row r="56" spans="1:29" x14ac:dyDescent="0.3">
      <c r="A56" t="s">
        <v>237</v>
      </c>
      <c r="B56">
        <v>12</v>
      </c>
      <c r="C56">
        <v>19</v>
      </c>
      <c r="D56">
        <v>1.5833333333333333</v>
      </c>
      <c r="E56" t="s">
        <v>237</v>
      </c>
      <c r="F56">
        <v>12</v>
      </c>
      <c r="G56">
        <v>13</v>
      </c>
      <c r="H56">
        <v>1.0833333333333333</v>
      </c>
      <c r="I56" t="s">
        <v>237</v>
      </c>
      <c r="J56">
        <v>12</v>
      </c>
      <c r="K56">
        <v>1</v>
      </c>
      <c r="L56">
        <v>8.3333333333333329E-2</v>
      </c>
      <c r="M56" s="240">
        <v>2026</v>
      </c>
      <c r="N56" s="53">
        <v>46174</v>
      </c>
      <c r="O56" s="33" t="s">
        <v>40</v>
      </c>
      <c r="P56" s="33"/>
      <c r="Q56" s="380">
        <v>0</v>
      </c>
      <c r="R56" s="380">
        <v>0</v>
      </c>
      <c r="S56" s="54">
        <f>'Metas Quadro'!C14</f>
        <v>0</v>
      </c>
      <c r="T56" s="54">
        <f>'Metas Quadro'!C25</f>
        <v>10164.299999999999</v>
      </c>
      <c r="U56" s="54">
        <f>'Metas Quadro'!C13</f>
        <v>0</v>
      </c>
      <c r="V56" s="379">
        <v>150</v>
      </c>
      <c r="W56">
        <v>15</v>
      </c>
      <c r="X56">
        <v>12</v>
      </c>
      <c r="Y56" s="238">
        <v>10</v>
      </c>
      <c r="Z56" s="238">
        <v>35</v>
      </c>
      <c r="AA56" s="55">
        <v>90000</v>
      </c>
      <c r="AB56" s="36">
        <f>metas[[#This Row],[Meta Individual]]/10000</f>
        <v>0</v>
      </c>
      <c r="AC56" s="290">
        <f>metas[[#This Row],[Meta Equipe]]/34000/4</f>
        <v>7.4737499999999998E-2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c r="M57" s="240">
        <v>2026</v>
      </c>
      <c r="N57" s="53">
        <v>46174</v>
      </c>
      <c r="O57" t="s">
        <v>6111</v>
      </c>
      <c r="P57" s="33"/>
      <c r="Q57" s="380">
        <v>3</v>
      </c>
      <c r="R57" s="380">
        <v>9</v>
      </c>
      <c r="S57" s="54">
        <f>'Metas Quadro'!C18</f>
        <v>7662.16</v>
      </c>
      <c r="T57" s="54">
        <f>'Metas Quadro'!C25</f>
        <v>10164.299999999999</v>
      </c>
      <c r="U57" s="54">
        <f>'Metas Quadro'!C17</f>
        <v>82160</v>
      </c>
      <c r="V57" s="379">
        <v>150</v>
      </c>
      <c r="W57">
        <v>15</v>
      </c>
      <c r="X57">
        <v>12</v>
      </c>
      <c r="Y57" s="238">
        <v>6.5</v>
      </c>
      <c r="Z57" s="238">
        <v>35</v>
      </c>
      <c r="AA57" s="55">
        <v>58500</v>
      </c>
      <c r="AB57" s="36">
        <f>metas[[#This Row],[Meta Individual]]/6500</f>
        <v>1.1787938461538461</v>
      </c>
      <c r="AC57" s="290">
        <f>metas[[#This Row],[Meta Equipe]]/34000/4</f>
        <v>7.4737499999999998E-2</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0" spans="1:29" x14ac:dyDescent="0.3">
      <c r="U60" s="54"/>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49 AB51:AB53 AB50 AB54:AB57"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Q31" sqref="Q23:Q31"/>
      <pivotSelection pane="bottomRight" showHeader="1" axis="axisRow" activeRow="30" activeCol="16" previousRow="30" previousCol="16" click="1" r:id="rId10">
        <pivotArea dataOnly="0" labelOnly="1" fieldPosition="0">
          <references count="1">
            <reference field="6" count="0"/>
          </references>
        </pivotArea>
      </pivotSelection>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3452</v>
      </c>
    </row>
    <row r="18" spans="4:31" x14ac:dyDescent="0.3">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3">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3">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3">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3">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3">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3">
      <c r="D27" s="237" t="s">
        <v>252</v>
      </c>
      <c r="E27" s="242">
        <v>0.14790624999999999</v>
      </c>
      <c r="F27" s="239">
        <v>8</v>
      </c>
      <c r="H27" s="237" t="s">
        <v>252</v>
      </c>
      <c r="I27" s="242">
        <v>0.27155794117647064</v>
      </c>
      <c r="J27" s="244">
        <v>136</v>
      </c>
      <c r="Q27" s="38" t="s">
        <v>6421</v>
      </c>
      <c r="R27">
        <v>1</v>
      </c>
      <c r="AA27" s="38" t="s">
        <v>6378</v>
      </c>
      <c r="AB27">
        <v>1</v>
      </c>
    </row>
    <row r="28" spans="4:31" x14ac:dyDescent="0.3">
      <c r="D28" s="237" t="s">
        <v>208</v>
      </c>
      <c r="E28" s="243">
        <v>2.2456901108058607</v>
      </c>
      <c r="F28" s="239">
        <v>35</v>
      </c>
      <c r="H28" s="237" t="s">
        <v>208</v>
      </c>
      <c r="I28" s="242">
        <v>5.0699762883736481</v>
      </c>
      <c r="J28" s="244">
        <v>457</v>
      </c>
      <c r="Q28" s="38" t="s">
        <v>6428</v>
      </c>
      <c r="R28">
        <v>1</v>
      </c>
      <c r="AA28" s="38" t="s">
        <v>6414</v>
      </c>
      <c r="AB28">
        <v>1</v>
      </c>
    </row>
    <row r="29" spans="4:31" x14ac:dyDescent="0.3">
      <c r="Q29" s="38" t="s">
        <v>6509</v>
      </c>
      <c r="R29">
        <v>1</v>
      </c>
      <c r="AA29" s="38" t="s">
        <v>208</v>
      </c>
      <c r="AB29">
        <v>6</v>
      </c>
    </row>
    <row r="30" spans="4:31" x14ac:dyDescent="0.3">
      <c r="Q30" s="38" t="s">
        <v>6538</v>
      </c>
      <c r="R30">
        <v>1</v>
      </c>
    </row>
    <row r="31" spans="4:31" x14ac:dyDescent="0.3">
      <c r="Q31" s="38" t="s">
        <v>6540</v>
      </c>
      <c r="R31">
        <v>1</v>
      </c>
    </row>
    <row r="32" spans="4:31" x14ac:dyDescent="0.3">
      <c r="Q32" s="38" t="s">
        <v>208</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3">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3">
      <c r="N1335" s="38" t="s">
        <v>4800</v>
      </c>
      <c r="O1335">
        <v>1</v>
      </c>
      <c r="Q1335" s="38" t="s">
        <v>4621</v>
      </c>
      <c r="R1335">
        <v>1</v>
      </c>
      <c r="T1335" s="38" t="s">
        <v>5866</v>
      </c>
      <c r="U1335">
        <v>1</v>
      </c>
      <c r="W1335" s="38" t="s">
        <v>6215</v>
      </c>
      <c r="X1335">
        <v>1</v>
      </c>
      <c r="AA1335" s="38" t="s">
        <v>162</v>
      </c>
      <c r="AB1335">
        <v>1</v>
      </c>
      <c r="AD1335" s="38" t="s">
        <v>208</v>
      </c>
    </row>
    <row r="1336" spans="14:31" x14ac:dyDescent="0.3">
      <c r="N1336" s="38" t="s">
        <v>6263</v>
      </c>
      <c r="O1336">
        <v>1</v>
      </c>
      <c r="Q1336" s="38" t="s">
        <v>5655</v>
      </c>
      <c r="R1336">
        <v>1</v>
      </c>
      <c r="T1336" s="38" t="s">
        <v>208</v>
      </c>
      <c r="U1336">
        <v>1</v>
      </c>
      <c r="W1336" s="38" t="s">
        <v>208</v>
      </c>
      <c r="X1336">
        <v>1</v>
      </c>
      <c r="AA1336" s="38" t="s">
        <v>2281</v>
      </c>
      <c r="AB1336">
        <v>1</v>
      </c>
    </row>
    <row r="1337" spans="14:31" x14ac:dyDescent="0.3">
      <c r="N1337" s="38" t="s">
        <v>208</v>
      </c>
      <c r="O1337">
        <v>2</v>
      </c>
      <c r="Q1337" s="38" t="s">
        <v>6097</v>
      </c>
      <c r="R1337">
        <v>1</v>
      </c>
      <c r="AA1337" s="38" t="s">
        <v>2926</v>
      </c>
      <c r="AB1337">
        <v>1</v>
      </c>
    </row>
    <row r="1338" spans="14:31" x14ac:dyDescent="0.3">
      <c r="Q1338" s="38" t="s">
        <v>6421</v>
      </c>
      <c r="R1338">
        <v>1</v>
      </c>
      <c r="AA1338" s="38" t="s">
        <v>6299</v>
      </c>
      <c r="AB1338">
        <v>1</v>
      </c>
    </row>
    <row r="1339" spans="14:31" x14ac:dyDescent="0.3">
      <c r="Q1339" s="38" t="s">
        <v>6428</v>
      </c>
      <c r="R1339">
        <v>1</v>
      </c>
      <c r="AA1339" s="38" t="s">
        <v>6378</v>
      </c>
      <c r="AB1339">
        <v>1</v>
      </c>
    </row>
    <row r="1340" spans="14:31" x14ac:dyDescent="0.3">
      <c r="Q1340" s="38" t="s">
        <v>6453</v>
      </c>
      <c r="R1340">
        <v>1</v>
      </c>
      <c r="AA1340" s="38" t="s">
        <v>4497</v>
      </c>
      <c r="AB1340">
        <v>1</v>
      </c>
    </row>
    <row r="1341" spans="14:31" x14ac:dyDescent="0.3">
      <c r="Q1341" s="38" t="s">
        <v>6535</v>
      </c>
      <c r="R1341">
        <v>1</v>
      </c>
      <c r="AA1341" s="38" t="s">
        <v>6414</v>
      </c>
      <c r="AB1341">
        <v>1</v>
      </c>
    </row>
    <row r="1342" spans="14:31" x14ac:dyDescent="0.3">
      <c r="Q1342" s="38" t="s">
        <v>6538</v>
      </c>
      <c r="R1342">
        <v>1</v>
      </c>
      <c r="AA1342" s="38" t="s">
        <v>208</v>
      </c>
      <c r="AB1342">
        <v>7</v>
      </c>
    </row>
    <row r="1343" spans="14:31" x14ac:dyDescent="0.3">
      <c r="Q1343" s="38" t="s">
        <v>6540</v>
      </c>
      <c r="R1343">
        <v>1</v>
      </c>
    </row>
    <row r="1344" spans="14:31" x14ac:dyDescent="0.3">
      <c r="Q1344" s="38" t="s">
        <v>208</v>
      </c>
      <c r="R1344">
        <v>9</v>
      </c>
    </row>
  </sheetData>
  <mergeCells count="14">
    <mergeCell ref="D18:F18"/>
    <mergeCell ref="H18:J18"/>
    <mergeCell ref="N18:O18"/>
    <mergeCell ref="Q18:R18"/>
    <mergeCell ref="T18:U18"/>
    <mergeCell ref="AA18:AB18"/>
    <mergeCell ref="AD18:AE18"/>
    <mergeCell ref="N1330:O1330"/>
    <mergeCell ref="Q1330:R1330"/>
    <mergeCell ref="T1330:U1330"/>
    <mergeCell ref="AA1330:AB1330"/>
    <mergeCell ref="AD1330:AE1330"/>
    <mergeCell ref="W18:X18"/>
    <mergeCell ref="W1330:X1330"/>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Y12" sqref="CY12"/>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3">
      <c r="P4" s="73"/>
      <c r="V4" s="73"/>
      <c r="BN4" s="73"/>
      <c r="BT4" s="73"/>
      <c r="DR4" s="73"/>
    </row>
    <row r="5" spans="1:148" x14ac:dyDescent="0.3">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8" t="s">
        <v>230</v>
      </c>
      <c r="D67" s="408"/>
      <c r="E67" s="408"/>
      <c r="F67" s="408"/>
      <c r="G67" s="409" t="s">
        <v>231</v>
      </c>
      <c r="H67" s="409"/>
      <c r="I67" s="409"/>
      <c r="J67" s="409"/>
      <c r="K67" s="410" t="s">
        <v>232</v>
      </c>
      <c r="L67" s="410"/>
      <c r="M67" s="410"/>
      <c r="N67" s="410"/>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411" t="s">
        <v>3389</v>
      </c>
      <c r="D75" s="411"/>
      <c r="E75" s="411"/>
      <c r="F75" s="411"/>
      <c r="G75" s="411"/>
      <c r="H75" s="411"/>
      <c r="I75" s="411"/>
      <c r="J75" s="411"/>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412" t="s">
        <v>3396</v>
      </c>
      <c r="D84" s="412"/>
      <c r="E84" s="412"/>
      <c r="F84" s="412"/>
      <c r="G84" s="412"/>
      <c r="H84" s="412"/>
      <c r="I84" s="412"/>
      <c r="J84" s="412"/>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405" t="str">
        <f>IF(J71&lt;100%,"NÃO BATEU","CUMPRIU")</f>
        <v>CUMPRIU</v>
      </c>
      <c r="J87" s="405"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407"/>
      <c r="J88" s="407"/>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405" t="str">
        <f>IF(F71&lt;100%,"NÃO BATEU","CUMPRIU")</f>
        <v>NÃO BATEU</v>
      </c>
      <c r="J92" s="405"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406"/>
      <c r="J93" s="406"/>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407"/>
      <c r="J94" s="407"/>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405" t="str">
        <f>IF(N71&lt;100%,"NÃO BATEU","CUMPRIU")</f>
        <v>CUMPRIU</v>
      </c>
      <c r="J98" s="405"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406"/>
      <c r="J99" s="406"/>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406"/>
      <c r="J100" s="406"/>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407"/>
      <c r="J101" s="407"/>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396" t="s">
        <v>3413</v>
      </c>
      <c r="E109" s="397"/>
      <c r="F109" s="398"/>
    </row>
    <row r="110" spans="3:14" ht="15.6" x14ac:dyDescent="0.3">
      <c r="D110" s="169" t="s">
        <v>2</v>
      </c>
      <c r="E110" s="399" t="s">
        <v>3414</v>
      </c>
      <c r="F110" s="400"/>
    </row>
    <row r="111" spans="3:14" ht="15.6" x14ac:dyDescent="0.3">
      <c r="D111" s="170" t="s">
        <v>3415</v>
      </c>
      <c r="E111" s="401">
        <f>M89</f>
        <v>4404.8160753828961</v>
      </c>
      <c r="F111" s="402"/>
    </row>
    <row r="112" spans="3:14" ht="15.6" x14ac:dyDescent="0.3">
      <c r="D112" s="170" t="s">
        <v>3416</v>
      </c>
      <c r="E112" s="401">
        <f>M95</f>
        <v>252.24243775806644</v>
      </c>
      <c r="F112" s="402"/>
    </row>
    <row r="113" spans="4:10" ht="16.2" thickBot="1" x14ac:dyDescent="0.35">
      <c r="D113" s="171" t="s">
        <v>40</v>
      </c>
      <c r="E113" s="403">
        <f>N102</f>
        <v>27673.744486859039</v>
      </c>
      <c r="F113" s="404"/>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K67:N67"/>
    <mergeCell ref="C75:J75"/>
    <mergeCell ref="C84:J84"/>
    <mergeCell ref="I87:I88"/>
    <mergeCell ref="J87:J88"/>
    <mergeCell ref="I92:I94"/>
    <mergeCell ref="J92:J94"/>
    <mergeCell ref="I98:I101"/>
    <mergeCell ref="J98:J101"/>
    <mergeCell ref="C67:F67"/>
    <mergeCell ref="G67:J67"/>
    <mergeCell ref="D109:F109"/>
    <mergeCell ref="E110:F110"/>
    <mergeCell ref="E111:F111"/>
    <mergeCell ref="E112:F112"/>
    <mergeCell ref="E113:F113"/>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8" t="s">
        <v>230</v>
      </c>
      <c r="D44" s="408"/>
      <c r="E44" s="408"/>
      <c r="F44" s="408"/>
      <c r="G44" s="409" t="s">
        <v>231</v>
      </c>
      <c r="H44" s="409"/>
      <c r="I44" s="409"/>
      <c r="J44" s="409"/>
      <c r="K44" s="410" t="s">
        <v>232</v>
      </c>
      <c r="L44" s="410"/>
      <c r="M44" s="410"/>
      <c r="N44" s="410"/>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411" t="s">
        <v>3389</v>
      </c>
      <c r="D52" s="411"/>
      <c r="E52" s="411"/>
      <c r="F52" s="411"/>
      <c r="G52" s="411"/>
      <c r="H52" s="411"/>
      <c r="I52" s="411"/>
      <c r="J52" s="411"/>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412" t="s">
        <v>3396</v>
      </c>
      <c r="D61" s="412"/>
      <c r="E61" s="412"/>
      <c r="F61" s="412"/>
      <c r="G61" s="412"/>
      <c r="H61" s="412"/>
      <c r="I61" s="412"/>
      <c r="J61" s="412"/>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15" t="str">
        <f>IF(J48&lt;100%,"NÃO BATEU","CUMPRIU")</f>
        <v>NÃO BATEU</v>
      </c>
      <c r="J64" s="415"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15"/>
      <c r="J65" s="415"/>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15" t="str">
        <f>IF(F48&lt;100%,"NÃO BATEU","CUMPRIU")</f>
        <v>NÃO BATEU</v>
      </c>
      <c r="J69" s="415"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15"/>
      <c r="J70" s="415"/>
      <c r="K70" s="141">
        <f>E70/E84</f>
        <v>0.15412710508006758</v>
      </c>
      <c r="L70" s="142">
        <f>K70*G84</f>
        <v>0</v>
      </c>
    </row>
    <row r="71" spans="4:14" x14ac:dyDescent="0.3">
      <c r="D71" s="139" t="s">
        <v>50</v>
      </c>
      <c r="E71" s="150">
        <v>6054.41</v>
      </c>
      <c r="F71" s="151">
        <v>57.69</v>
      </c>
      <c r="G71" s="152">
        <v>0</v>
      </c>
      <c r="H71" s="140">
        <f>F71*0.1</f>
        <v>5.7690000000000001</v>
      </c>
      <c r="I71" s="415"/>
      <c r="J71" s="415"/>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15"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15"/>
      <c r="J76" s="416"/>
      <c r="K76" s="141">
        <f>E76/E84</f>
        <v>0.59256640120275605</v>
      </c>
      <c r="L76" s="156">
        <f>K76*G84</f>
        <v>0</v>
      </c>
      <c r="M76" s="157">
        <f>H72*0.25</f>
        <v>-147.44825</v>
      </c>
      <c r="N76" s="158">
        <v>1783.18</v>
      </c>
    </row>
    <row r="77" spans="4:14" x14ac:dyDescent="0.3">
      <c r="D77" s="139" t="s">
        <v>50</v>
      </c>
      <c r="E77" s="140">
        <v>0</v>
      </c>
      <c r="F77" s="140">
        <v>0</v>
      </c>
      <c r="G77" s="140">
        <f>F77*0.1</f>
        <v>0</v>
      </c>
      <c r="H77" s="142">
        <v>0</v>
      </c>
      <c r="I77" s="415"/>
      <c r="J77" s="416"/>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15"/>
      <c r="J78" s="415"/>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396" t="s">
        <v>3413</v>
      </c>
      <c r="E86" s="397"/>
      <c r="F86" s="398"/>
    </row>
    <row r="87" spans="4:7" ht="15.6" x14ac:dyDescent="0.3">
      <c r="D87" s="169" t="s">
        <v>2</v>
      </c>
      <c r="E87" s="399" t="s">
        <v>3414</v>
      </c>
      <c r="F87" s="400"/>
    </row>
    <row r="88" spans="4:7" ht="15.6" x14ac:dyDescent="0.3">
      <c r="D88" s="170" t="s">
        <v>3415</v>
      </c>
      <c r="E88" s="413">
        <f>M66</f>
        <v>-1052.5550000000001</v>
      </c>
      <c r="F88" s="414"/>
    </row>
    <row r="89" spans="4:7" ht="15.6" x14ac:dyDescent="0.3">
      <c r="D89" s="170" t="s">
        <v>3416</v>
      </c>
      <c r="E89" s="413">
        <f>M72</f>
        <v>-589.79300000000001</v>
      </c>
      <c r="F89" s="414"/>
    </row>
    <row r="90" spans="4:7" ht="16.2" thickBot="1" x14ac:dyDescent="0.35">
      <c r="D90" s="171" t="s">
        <v>40</v>
      </c>
      <c r="E90" s="403">
        <f>N79</f>
        <v>5417.1939999999995</v>
      </c>
      <c r="F90" s="404"/>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I64:I65"/>
    <mergeCell ref="J64:J65"/>
    <mergeCell ref="C44:F44"/>
    <mergeCell ref="G44:J44"/>
    <mergeCell ref="K44:N44"/>
    <mergeCell ref="C52:J52"/>
    <mergeCell ref="C61:J61"/>
    <mergeCell ref="E88:F88"/>
    <mergeCell ref="E89:F89"/>
    <mergeCell ref="E90:F90"/>
    <mergeCell ref="I69:I71"/>
    <mergeCell ref="J69:J71"/>
    <mergeCell ref="I75:I78"/>
    <mergeCell ref="J75:J78"/>
    <mergeCell ref="D86:F86"/>
    <mergeCell ref="E87:F87"/>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9" t="s">
        <v>264</v>
      </c>
      <c r="C2" s="59"/>
      <c r="F2" s="417" t="s">
        <v>265</v>
      </c>
      <c r="G2" s="417"/>
      <c r="I2" s="417" t="s">
        <v>268</v>
      </c>
      <c r="J2" s="417"/>
      <c r="K2" s="417"/>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7" t="s">
        <v>3353</v>
      </c>
      <c r="G192" s="417"/>
      <c r="H192" s="417"/>
    </row>
    <row r="193" spans="2:12" x14ac:dyDescent="0.3">
      <c r="B193" s="417" t="s">
        <v>269</v>
      </c>
      <c r="C193" s="417"/>
      <c r="D193" s="417"/>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78">
        <v>1</v>
      </c>
      <c r="J197" s="66">
        <v>63200</v>
      </c>
      <c r="K197" s="66">
        <v>0</v>
      </c>
      <c r="L197" s="67">
        <v>316</v>
      </c>
    </row>
    <row r="198" spans="2:12" x14ac:dyDescent="0.3">
      <c r="C198" t="s">
        <v>50</v>
      </c>
      <c r="D198" s="39">
        <v>71280</v>
      </c>
      <c r="F198" t="s">
        <v>2199</v>
      </c>
      <c r="G198" t="s">
        <v>20</v>
      </c>
      <c r="H198" t="s">
        <v>28</v>
      </c>
      <c r="I198" s="78">
        <v>1</v>
      </c>
      <c r="J198" s="66">
        <v>51300</v>
      </c>
      <c r="K198" s="66">
        <v>1734</v>
      </c>
      <c r="L198" s="67">
        <v>270</v>
      </c>
    </row>
    <row r="199" spans="2:12" x14ac:dyDescent="0.3">
      <c r="C199" t="s">
        <v>42</v>
      </c>
      <c r="D199" s="39">
        <v>53238.25</v>
      </c>
      <c r="F199" t="s">
        <v>3344</v>
      </c>
      <c r="G199" t="s">
        <v>45</v>
      </c>
      <c r="H199" t="s">
        <v>30</v>
      </c>
      <c r="I199" s="78">
        <v>1</v>
      </c>
      <c r="J199" s="66">
        <v>3360</v>
      </c>
      <c r="K199" s="66">
        <v>196.42</v>
      </c>
      <c r="L199" s="67">
        <v>16</v>
      </c>
    </row>
    <row r="200" spans="2:12" x14ac:dyDescent="0.3">
      <c r="C200" t="s">
        <v>35</v>
      </c>
      <c r="D200" s="39">
        <v>30091.679999999997</v>
      </c>
      <c r="F200" t="s">
        <v>2213</v>
      </c>
      <c r="G200" t="s">
        <v>20</v>
      </c>
      <c r="H200" t="s">
        <v>30</v>
      </c>
      <c r="I200" s="78">
        <v>1</v>
      </c>
      <c r="J200" s="66">
        <v>7200</v>
      </c>
      <c r="K200" s="66">
        <v>1964.2</v>
      </c>
      <c r="L200" s="67">
        <v>8</v>
      </c>
    </row>
    <row r="201" spans="2:12" x14ac:dyDescent="0.3">
      <c r="B201" t="s">
        <v>258</v>
      </c>
      <c r="C201" t="s">
        <v>53</v>
      </c>
      <c r="D201" s="39">
        <v>17948.359999999997</v>
      </c>
      <c r="F201" t="s">
        <v>2214</v>
      </c>
      <c r="G201" t="s">
        <v>20</v>
      </c>
      <c r="H201" t="s">
        <v>2223</v>
      </c>
      <c r="I201" s="78">
        <v>1</v>
      </c>
      <c r="J201" s="66">
        <v>1600</v>
      </c>
      <c r="K201" s="66">
        <v>5242</v>
      </c>
      <c r="L201" s="67">
        <v>16</v>
      </c>
    </row>
    <row r="202" spans="2:12" x14ac:dyDescent="0.3">
      <c r="C202" t="s">
        <v>86</v>
      </c>
      <c r="D202" s="39">
        <v>356.4</v>
      </c>
      <c r="F202" t="s">
        <v>2212</v>
      </c>
      <c r="G202" t="s">
        <v>20</v>
      </c>
      <c r="H202" t="s">
        <v>28</v>
      </c>
      <c r="I202" s="78">
        <v>1</v>
      </c>
      <c r="J202" s="66">
        <v>72000</v>
      </c>
      <c r="K202" s="66">
        <v>4215</v>
      </c>
      <c r="L202" s="67">
        <v>360</v>
      </c>
    </row>
    <row r="203" spans="2:12" x14ac:dyDescent="0.3">
      <c r="C203" t="s">
        <v>50</v>
      </c>
      <c r="D203" s="39">
        <v>38347.5</v>
      </c>
      <c r="F203" t="s">
        <v>2216</v>
      </c>
      <c r="G203" t="s">
        <v>20</v>
      </c>
      <c r="H203" t="s">
        <v>2225</v>
      </c>
      <c r="I203" s="78">
        <v>1</v>
      </c>
      <c r="J203" s="66">
        <v>3392</v>
      </c>
      <c r="K203" s="66">
        <v>356.4</v>
      </c>
      <c r="L203" s="67">
        <v>16</v>
      </c>
    </row>
    <row r="204" spans="2:12" x14ac:dyDescent="0.3">
      <c r="C204" t="s">
        <v>42</v>
      </c>
      <c r="D204" s="39">
        <v>3258</v>
      </c>
      <c r="F204" t="s">
        <v>3335</v>
      </c>
      <c r="G204" t="s">
        <v>45</v>
      </c>
      <c r="H204" t="s">
        <v>3330</v>
      </c>
      <c r="I204" s="78">
        <v>1</v>
      </c>
      <c r="J204" s="66">
        <v>46200</v>
      </c>
      <c r="K204" s="66">
        <v>1460.47</v>
      </c>
      <c r="L204" s="67">
        <v>220</v>
      </c>
    </row>
    <row r="205" spans="2:12" x14ac:dyDescent="0.3">
      <c r="C205" t="s">
        <v>35</v>
      </c>
      <c r="D205" s="39">
        <v>285.12</v>
      </c>
      <c r="F205" t="s">
        <v>2208</v>
      </c>
      <c r="G205" t="s">
        <v>20</v>
      </c>
      <c r="H205" t="s">
        <v>35</v>
      </c>
      <c r="I205" s="78">
        <v>1</v>
      </c>
      <c r="J205" s="66">
        <v>23584</v>
      </c>
      <c r="K205" s="66">
        <v>142.56</v>
      </c>
      <c r="L205" s="67">
        <v>124</v>
      </c>
    </row>
    <row r="206" spans="2:12" x14ac:dyDescent="0.3">
      <c r="B206" t="s">
        <v>260</v>
      </c>
      <c r="C206" t="s">
        <v>138</v>
      </c>
      <c r="D206" s="39">
        <v>24800</v>
      </c>
      <c r="F206" t="s">
        <v>3338</v>
      </c>
      <c r="G206" t="s">
        <v>45</v>
      </c>
      <c r="H206" t="s">
        <v>3326</v>
      </c>
      <c r="I206" s="78">
        <v>1</v>
      </c>
      <c r="J206" s="66">
        <v>16200</v>
      </c>
      <c r="K206" s="66">
        <v>712.8</v>
      </c>
      <c r="L206" s="67">
        <v>80</v>
      </c>
    </row>
    <row r="207" spans="2:12" x14ac:dyDescent="0.3">
      <c r="C207" t="s">
        <v>53</v>
      </c>
      <c r="D207" s="39">
        <v>18000</v>
      </c>
      <c r="F207" t="s">
        <v>2233</v>
      </c>
      <c r="G207" t="s">
        <v>40</v>
      </c>
      <c r="H207" t="s">
        <v>30</v>
      </c>
      <c r="I207" s="78">
        <v>1</v>
      </c>
      <c r="J207" s="66">
        <v>16000</v>
      </c>
      <c r="K207" s="66">
        <v>5880</v>
      </c>
      <c r="L207" s="67">
        <v>80</v>
      </c>
    </row>
    <row r="208" spans="2:12" x14ac:dyDescent="0.3">
      <c r="C208" t="s">
        <v>135</v>
      </c>
      <c r="D208" s="39">
        <v>689.04</v>
      </c>
      <c r="F208" t="s">
        <v>2229</v>
      </c>
      <c r="G208" t="s">
        <v>40</v>
      </c>
      <c r="H208" t="s">
        <v>30</v>
      </c>
      <c r="I208" s="78">
        <v>1</v>
      </c>
      <c r="J208" s="66">
        <v>16000</v>
      </c>
      <c r="K208" s="66">
        <v>1558</v>
      </c>
      <c r="L208" s="67">
        <v>80</v>
      </c>
    </row>
    <row r="209" spans="2:12" x14ac:dyDescent="0.3">
      <c r="C209" t="s">
        <v>28</v>
      </c>
      <c r="D209" s="39">
        <v>48054.400000000001</v>
      </c>
      <c r="F209" t="s">
        <v>3334</v>
      </c>
      <c r="G209" t="s">
        <v>40</v>
      </c>
      <c r="H209" t="s">
        <v>2255</v>
      </c>
      <c r="I209" s="78">
        <v>1</v>
      </c>
      <c r="J209" s="66">
        <v>0</v>
      </c>
      <c r="K209" s="66">
        <v>66</v>
      </c>
      <c r="L209" s="67">
        <v>0</v>
      </c>
    </row>
    <row r="210" spans="2:12" x14ac:dyDescent="0.3">
      <c r="C210" t="s">
        <v>130</v>
      </c>
      <c r="D210" s="39">
        <v>3461.88</v>
      </c>
      <c r="F210" t="s">
        <v>2205</v>
      </c>
      <c r="G210" t="s">
        <v>20</v>
      </c>
      <c r="H210" t="s">
        <v>2223</v>
      </c>
      <c r="I210" s="78">
        <v>1</v>
      </c>
      <c r="J210" s="66">
        <v>1600</v>
      </c>
      <c r="K210" s="66">
        <v>6846</v>
      </c>
      <c r="L210" s="67">
        <v>16</v>
      </c>
    </row>
    <row r="211" spans="2:12" x14ac:dyDescent="0.3">
      <c r="C211" t="s">
        <v>50</v>
      </c>
      <c r="D211" s="39">
        <v>4576</v>
      </c>
      <c r="F211" t="s">
        <v>2204</v>
      </c>
      <c r="G211" t="s">
        <v>20</v>
      </c>
      <c r="H211" t="s">
        <v>28</v>
      </c>
      <c r="I211" s="78">
        <v>1</v>
      </c>
      <c r="J211" s="66">
        <v>118908</v>
      </c>
      <c r="K211" s="66">
        <v>13048</v>
      </c>
      <c r="L211" s="67">
        <v>540</v>
      </c>
    </row>
    <row r="212" spans="2:12" x14ac:dyDescent="0.3">
      <c r="C212" t="s">
        <v>42</v>
      </c>
      <c r="D212" s="39">
        <v>8754</v>
      </c>
      <c r="F212" t="s">
        <v>2200</v>
      </c>
      <c r="G212" t="s">
        <v>20</v>
      </c>
      <c r="H212" t="s">
        <v>2223</v>
      </c>
      <c r="I212" s="78">
        <v>1</v>
      </c>
      <c r="J212" s="66">
        <v>1600</v>
      </c>
      <c r="K212" s="66">
        <v>2568</v>
      </c>
      <c r="L212" s="67">
        <v>16</v>
      </c>
    </row>
    <row r="213" spans="2:12" x14ac:dyDescent="0.3">
      <c r="C213" t="s">
        <v>35</v>
      </c>
      <c r="D213" s="39">
        <v>1710.72</v>
      </c>
      <c r="F213" t="s">
        <v>2246</v>
      </c>
      <c r="G213" t="s">
        <v>40</v>
      </c>
      <c r="H213" t="s">
        <v>30</v>
      </c>
      <c r="I213" s="78">
        <v>1</v>
      </c>
      <c r="J213" s="66">
        <v>16000</v>
      </c>
      <c r="K213" s="66">
        <v>18330</v>
      </c>
      <c r="L213" s="67">
        <v>80</v>
      </c>
    </row>
    <row r="214" spans="2:12" x14ac:dyDescent="0.3">
      <c r="B214" s="41" t="s">
        <v>208</v>
      </c>
      <c r="C214" s="41"/>
      <c r="D214" s="60">
        <v>327224.45999999996</v>
      </c>
      <c r="F214" t="s">
        <v>3345</v>
      </c>
      <c r="G214" t="s">
        <v>45</v>
      </c>
      <c r="H214" t="s">
        <v>3327</v>
      </c>
      <c r="I214" s="78">
        <v>1</v>
      </c>
      <c r="J214" s="66">
        <v>5040</v>
      </c>
      <c r="K214" s="66">
        <v>1140.48</v>
      </c>
      <c r="L214" s="67">
        <v>24</v>
      </c>
    </row>
    <row r="215" spans="2:12" x14ac:dyDescent="0.3">
      <c r="F215" t="s">
        <v>2202</v>
      </c>
      <c r="G215" t="s">
        <v>20</v>
      </c>
      <c r="H215" t="s">
        <v>2223</v>
      </c>
      <c r="I215" s="78">
        <v>1</v>
      </c>
      <c r="J215" s="66">
        <v>1600</v>
      </c>
      <c r="K215" s="66">
        <v>3356</v>
      </c>
      <c r="L215" s="67">
        <v>16</v>
      </c>
    </row>
    <row r="216" spans="2:12" x14ac:dyDescent="0.3">
      <c r="F216" t="s">
        <v>2201</v>
      </c>
      <c r="G216" t="s">
        <v>20</v>
      </c>
      <c r="H216" t="s">
        <v>28</v>
      </c>
      <c r="I216" s="78">
        <v>1</v>
      </c>
      <c r="J216" s="66">
        <v>81786</v>
      </c>
      <c r="K216" s="66">
        <v>7965</v>
      </c>
      <c r="L216" s="67">
        <v>430</v>
      </c>
    </row>
    <row r="217" spans="2:12" x14ac:dyDescent="0.3">
      <c r="F217" t="s">
        <v>2196</v>
      </c>
      <c r="G217" t="s">
        <v>20</v>
      </c>
      <c r="H217" t="s">
        <v>30</v>
      </c>
      <c r="I217" s="78">
        <v>1</v>
      </c>
      <c r="J217" s="66">
        <v>33920</v>
      </c>
      <c r="K217" s="66">
        <v>3768</v>
      </c>
      <c r="L217" s="67">
        <v>160</v>
      </c>
    </row>
    <row r="218" spans="2:12" x14ac:dyDescent="0.3">
      <c r="F218" t="s">
        <v>2203</v>
      </c>
      <c r="G218" t="s">
        <v>20</v>
      </c>
      <c r="H218" t="s">
        <v>2224</v>
      </c>
      <c r="I218" s="78">
        <v>1</v>
      </c>
      <c r="J218" s="66">
        <v>0</v>
      </c>
      <c r="K218" s="66">
        <v>356.4</v>
      </c>
      <c r="L218" s="67">
        <v>0</v>
      </c>
    </row>
    <row r="219" spans="2:12" x14ac:dyDescent="0.3">
      <c r="F219" t="s">
        <v>2228</v>
      </c>
      <c r="G219" t="s">
        <v>40</v>
      </c>
      <c r="H219" t="s">
        <v>28</v>
      </c>
      <c r="I219" s="78">
        <v>1</v>
      </c>
      <c r="J219" s="66">
        <v>0</v>
      </c>
      <c r="K219" s="66">
        <v>0</v>
      </c>
      <c r="L219" s="67">
        <v>0</v>
      </c>
    </row>
    <row r="220" spans="2:12" x14ac:dyDescent="0.3">
      <c r="F220" t="s">
        <v>2198</v>
      </c>
      <c r="G220" t="s">
        <v>20</v>
      </c>
      <c r="H220" t="s">
        <v>138</v>
      </c>
      <c r="I220" s="78">
        <v>1</v>
      </c>
      <c r="J220" s="66">
        <v>26200</v>
      </c>
      <c r="K220" s="66">
        <v>3000</v>
      </c>
      <c r="L220" s="67">
        <v>80</v>
      </c>
    </row>
    <row r="221" spans="2:12" x14ac:dyDescent="0.3">
      <c r="F221" t="s">
        <v>3339</v>
      </c>
      <c r="G221" t="s">
        <v>45</v>
      </c>
      <c r="H221" t="s">
        <v>2223</v>
      </c>
      <c r="I221" s="78">
        <v>1</v>
      </c>
      <c r="J221" s="66">
        <v>1600</v>
      </c>
      <c r="K221" s="66">
        <v>4718.3</v>
      </c>
      <c r="L221" s="67">
        <v>8</v>
      </c>
    </row>
    <row r="222" spans="2:12" x14ac:dyDescent="0.3">
      <c r="F222" t="s">
        <v>2210</v>
      </c>
      <c r="G222" t="s">
        <v>20</v>
      </c>
      <c r="H222" t="s">
        <v>30</v>
      </c>
      <c r="I222" s="78">
        <v>1</v>
      </c>
      <c r="J222" s="66">
        <v>8000</v>
      </c>
      <c r="K222" s="66">
        <v>1964</v>
      </c>
      <c r="L222" s="67">
        <v>40</v>
      </c>
    </row>
    <row r="223" spans="2:12" x14ac:dyDescent="0.3">
      <c r="F223" t="s">
        <v>2211</v>
      </c>
      <c r="G223" t="s">
        <v>20</v>
      </c>
      <c r="H223" t="s">
        <v>2223</v>
      </c>
      <c r="I223" s="78">
        <v>1</v>
      </c>
      <c r="J223" s="66">
        <v>1600</v>
      </c>
      <c r="K223" s="66">
        <v>3442</v>
      </c>
      <c r="L223" s="67">
        <v>16</v>
      </c>
    </row>
    <row r="224" spans="2:12" x14ac:dyDescent="0.3">
      <c r="F224" t="s">
        <v>2209</v>
      </c>
      <c r="G224" t="s">
        <v>20</v>
      </c>
      <c r="H224" t="s">
        <v>28</v>
      </c>
      <c r="I224" s="78">
        <v>1</v>
      </c>
      <c r="J224" s="66">
        <v>44000</v>
      </c>
      <c r="K224" s="66">
        <v>1378</v>
      </c>
      <c r="L224" s="67">
        <v>220</v>
      </c>
    </row>
    <row r="225" spans="6:12" x14ac:dyDescent="0.3">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8" t="s">
        <v>206</v>
      </c>
      <c r="C3" s="418"/>
      <c r="D3" s="418"/>
      <c r="G3" s="418" t="s">
        <v>215</v>
      </c>
      <c r="H3" s="418"/>
      <c r="I3" s="418"/>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0.14790624999999999</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2.2456901108058607</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0.27155794117647064</v>
      </c>
      <c r="I542" s="238">
        <v>136</v>
      </c>
    </row>
    <row r="543" spans="2:9" x14ac:dyDescent="0.3">
      <c r="B543" s="361" t="s">
        <v>69</v>
      </c>
      <c r="C543" s="363">
        <v>1</v>
      </c>
      <c r="D543" s="45"/>
      <c r="G543" s="38" t="s">
        <v>208</v>
      </c>
      <c r="H543" s="241">
        <v>5.0699762883736481</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20"/>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20"/>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21"/>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3">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3">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3">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3">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3">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3">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3">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3">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3">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3">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3">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3">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3">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3">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3">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3">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3">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3">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3">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3">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3">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3">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3">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3">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3">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3">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3">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3">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3">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3">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3">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3">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3">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3">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3">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3">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3">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3">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3">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3">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3">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3">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3">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3">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3">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3">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3">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3">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3">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3">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3">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3">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3">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3">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3">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3">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3">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3">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3">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3">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3">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3">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3">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3">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3">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3">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3">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3">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3">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3">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3">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3">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3">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3">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3">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3">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3">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3">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3">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3">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3">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3">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3">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3">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3">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3">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3">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3">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3">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3">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3">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3">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3">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3">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3">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3">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3">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3">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3">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3">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3">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3">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3">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3">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3">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3">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3">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3">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3">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3">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3">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3">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3">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3">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3">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3">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3">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3">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3">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3">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3">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3">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3">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3">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3">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3">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3">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3">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3">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3">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3">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3">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3">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3">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3">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3">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3">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3">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3">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3">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3">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3">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3">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3">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3">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3">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3">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3">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3">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3">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3">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3">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3">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3">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3">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3">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3">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3">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3">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3">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3">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3">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3">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3">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3">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3">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3">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3">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3">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3">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3">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3">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3">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3">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3">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3">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3">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3">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3">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3">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3">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3">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3">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3">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3">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3">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3">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3">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3">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3">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3">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3">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3">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3">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3">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3">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3">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3">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3">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3">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3">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3">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3">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3">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3">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3">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3">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3">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3">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3">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3">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3">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3">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3">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3">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3">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3">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3">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3">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3">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3">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3">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3">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3">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3">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3">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3">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3">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3">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3">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3">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3">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3">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3">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3">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3">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3">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3">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3">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3">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3">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3">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3">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3">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3">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3">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3">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3">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3">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3">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3">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3">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3">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3">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3">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3">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3">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3">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3">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3">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3">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3">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3">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3">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3">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3">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3">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3">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3">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3">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3">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3">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3">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3">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3">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3">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3">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3">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3">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3">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3">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3">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3">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3">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3">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3">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3">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3">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3">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3">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3">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3">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3">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3">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3">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3">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3">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3">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3">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3">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3">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3">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3">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3">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3">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3">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3">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3">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3">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3">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3">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3">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3">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3">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3">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3">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3">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3">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3">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3">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3">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3">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3">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3">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3">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3">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3">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3">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3">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3">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3">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3">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3">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3">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3">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3">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3">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3">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3">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3">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3">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3">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3">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3">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3">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3">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3">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3">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3">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3">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3">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3">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3">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3">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3">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3">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3">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3">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3">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3">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3">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3">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3">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3">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3">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3">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3">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3">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3">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3">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3">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3">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3">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3">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3">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3">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3">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3">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3">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3">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3">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3">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3">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3">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3">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3">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3">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3">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3">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3">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3">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3">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3">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3">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3">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3">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3">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3">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3">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3">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3">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3">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3">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3">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3">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3">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3">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3">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3">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3">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3">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3">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3">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3">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3">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3">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3">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3">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3">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3">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3">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3">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3">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3">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3">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3">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3">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3">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3">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3">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3">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3">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3">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3">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3">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3">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3">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3">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3">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3">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3">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3">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3">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3">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3">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3">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3">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3">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3">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3">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3">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3">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3">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3">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3">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3">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3">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3">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3">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3">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3">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3">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3">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3">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3">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3">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3">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3">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3">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3">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3">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3">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3">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3">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3">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3">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3">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3">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3">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3">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3">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3">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3">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3">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3">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3">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3">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3">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3">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3">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3">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3">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3">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3">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3">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3">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3">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3">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3">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3">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3">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3">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3">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3">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3">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3">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3">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3">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3">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3">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3">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3">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3">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3">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3">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3">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3">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3">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3">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3">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3">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3">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3">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3">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3">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3">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3">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3">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3">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3">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3">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3">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3">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3">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3">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3">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3">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3">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3">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3">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3">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3">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3">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3">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3">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3">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3">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3">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3">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3">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3">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3">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3">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3">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3">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3">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3">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3">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3">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3">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3">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3">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3">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3">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3">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3">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2026-06-24T11:47:09Z</dcterms:modified>
</cp:coreProperties>
</file>