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Meu Drive\GUARANI\COMERCIAL\VENDAS\"/>
    </mc:Choice>
  </mc:AlternateContent>
  <xr:revisionPtr revIDLastSave="0" documentId="13_ncr:1_{24D0BFB5-16C6-4C1B-8B22-3DA0FCCA9842}" xr6:coauthVersionLast="47" xr6:coauthVersionMax="47" xr10:uidLastSave="{00000000-0000-0000-0000-000000000000}"/>
  <bookViews>
    <workbookView xWindow="-38520" yWindow="-1005" windowWidth="38640" windowHeight="15840" tabRatio="1000" activeTab="3" xr2:uid="{00000000-000D-0000-FFFF-FFFF00000000}"/>
  </bookViews>
  <sheets>
    <sheet name="Pendentes" sheetId="1" r:id="rId1"/>
    <sheet name="2026" sheetId="2" r:id="rId2"/>
    <sheet name="2025" sheetId="13" r:id="rId3"/>
    <sheet name="Metas Quadro" sheetId="3" r:id="rId4"/>
    <sheet name="QtdeMetas" sheetId="4" r:id="rId5"/>
    <sheet name="KPI" sheetId="5" r:id="rId6"/>
    <sheet name="Forecast" sheetId="6" r:id="rId7"/>
    <sheet name="||" sheetId="7" r:id="rId8"/>
    <sheet name="KPI-Metas" sheetId="8" state="hidden" r:id="rId9"/>
    <sheet name="FU - Vendas2026-fev" sheetId="9" state="hidden" r:id="rId10"/>
    <sheet name="FU - Vendas2026-jan" sheetId="10" state="hidden" r:id="rId11"/>
    <sheet name="AnaliseT1" sheetId="11" r:id="rId12"/>
    <sheet name="Resumo de Vendas" sheetId="12" r:id="rId13"/>
    <sheet name="Comissao Pagas" sheetId="14" r:id="rId14"/>
    <sheet name="opportunity_12_01_2026_22_48_52" sheetId="15" state="hidden" r:id="rId15"/>
    <sheet name="after_sale_12_01_2026_23_39_32" sheetId="16" state="hidden" r:id="rId16"/>
    <sheet name="posvenda" sheetId="17" state="hidden" r:id="rId17"/>
    <sheet name="oportunidade" sheetId="18" state="hidden" r:id="rId18"/>
    <sheet name="325-oportunidade" sheetId="19" state="hidden" r:id="rId19"/>
    <sheet name="pos" sheetId="20" state="hidden" r:id="rId20"/>
  </sheets>
  <externalReferences>
    <externalReference r:id="rId21"/>
  </externalReferences>
  <definedNames>
    <definedName name="_xlnm.Print_Area" localSheetId="9">'FU - Vendas2026-fev'!$A$1:$U$121</definedName>
    <definedName name="_xlnm.Print_Area" localSheetId="10">'FU - Vendas2026-jan'!$A$1:$T$99</definedName>
    <definedName name="_xlnm.Print_Area" localSheetId="5">KPI!$A$1:$N$32</definedName>
    <definedName name="_xlnm.Print_Area" localSheetId="8">'KPI-Metas'!$CW$1:$DK$30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1" l="1"/>
  <c r="L279" i="2"/>
  <c r="I279" i="2"/>
  <c r="G280" i="2"/>
  <c r="V280" i="2"/>
  <c r="AB69" i="4"/>
  <c r="AB68" i="4"/>
  <c r="AB67" i="4"/>
  <c r="AB66" i="4"/>
  <c r="AB63" i="4"/>
  <c r="T69" i="4"/>
  <c r="T68" i="4"/>
  <c r="T67" i="4"/>
  <c r="I278" i="2"/>
  <c r="I274" i="2"/>
  <c r="I275" i="2"/>
  <c r="I276" i="2"/>
  <c r="I277" i="2"/>
  <c r="O270" i="2"/>
  <c r="O271" i="2"/>
  <c r="N270" i="2"/>
  <c r="N271" i="2"/>
  <c r="J270" i="2"/>
  <c r="J271" i="2"/>
  <c r="I273" i="2"/>
  <c r="I268" i="2"/>
  <c r="I267" i="2"/>
  <c r="I269" i="2"/>
  <c r="I272" i="2"/>
  <c r="L266" i="2"/>
  <c r="I266" i="2"/>
  <c r="L265" i="2"/>
  <c r="I265" i="2"/>
  <c r="L264" i="2"/>
  <c r="I264" i="2"/>
  <c r="L263" i="2"/>
  <c r="I263" i="2"/>
  <c r="I262" i="2"/>
  <c r="S69" i="4"/>
  <c r="S68" i="4"/>
  <c r="S67" i="4"/>
  <c r="S66" i="4"/>
  <c r="U69" i="4"/>
  <c r="U68" i="4"/>
  <c r="U67" i="4"/>
  <c r="U66" i="4"/>
  <c r="AC67" i="4"/>
  <c r="AC68" i="4"/>
  <c r="AC69" i="4"/>
  <c r="AC65" i="4"/>
  <c r="AC64" i="4"/>
  <c r="AC63" i="4"/>
  <c r="AC62" i="4"/>
  <c r="L261" i="2"/>
  <c r="I261" i="2"/>
  <c r="L260" i="2"/>
  <c r="I260" i="2"/>
  <c r="L259" i="2"/>
  <c r="I259" i="2"/>
  <c r="L258" i="2"/>
  <c r="I258" i="2"/>
  <c r="L256" i="2"/>
  <c r="L257" i="2"/>
  <c r="I256" i="2"/>
  <c r="I257" i="2"/>
  <c r="AB60" i="4"/>
  <c r="AB61" i="4"/>
  <c r="AB62" i="4"/>
  <c r="T59" i="4"/>
  <c r="AB65" i="4"/>
  <c r="AB64" i="4"/>
  <c r="L255" i="2"/>
  <c r="I255" i="2"/>
  <c r="L254" i="2"/>
  <c r="I254" i="2"/>
  <c r="L253" i="2"/>
  <c r="I253" i="2"/>
  <c r="L252" i="2"/>
  <c r="I252" i="2"/>
  <c r="L251" i="2"/>
  <c r="I251" i="2"/>
  <c r="L250" i="2"/>
  <c r="I250" i="2"/>
  <c r="L249" i="2"/>
  <c r="I249" i="2"/>
  <c r="L248" i="2"/>
  <c r="I248" i="2"/>
  <c r="L247" i="2"/>
  <c r="I247" i="2"/>
  <c r="B25" i="3"/>
  <c r="B29" i="3" s="1"/>
  <c r="I246" i="2"/>
  <c r="O246" i="2" s="1"/>
  <c r="I245" i="2"/>
  <c r="I244" i="2"/>
  <c r="L243" i="2"/>
  <c r="I243" i="2"/>
  <c r="L242" i="2"/>
  <c r="I242" i="2"/>
  <c r="L241" i="2"/>
  <c r="I241" i="2"/>
  <c r="L240" i="2"/>
  <c r="I240" i="2"/>
  <c r="L239" i="2"/>
  <c r="I239" i="2"/>
  <c r="L238" i="2"/>
  <c r="I238" i="2"/>
  <c r="L237" i="2"/>
  <c r="I237" i="2"/>
  <c r="L236" i="2"/>
  <c r="I236" i="2"/>
  <c r="L235" i="2"/>
  <c r="I235" i="2"/>
  <c r="L234" i="2"/>
  <c r="I234" i="2"/>
  <c r="L233" i="2"/>
  <c r="I233" i="2"/>
  <c r="L232" i="2"/>
  <c r="I232" i="2"/>
  <c r="L231" i="2"/>
  <c r="I231" i="2"/>
  <c r="L230" i="2"/>
  <c r="I230" i="2"/>
  <c r="I229" i="2"/>
  <c r="L228" i="2"/>
  <c r="I228" i="2"/>
  <c r="L227" i="2"/>
  <c r="I227" i="2"/>
  <c r="I226" i="2"/>
  <c r="L225" i="2"/>
  <c r="I225" i="2"/>
  <c r="L224" i="2"/>
  <c r="I224" i="2"/>
  <c r="U61" i="4"/>
  <c r="S61" i="4"/>
  <c r="AB59" i="4"/>
  <c r="AB58" i="4"/>
  <c r="C25" i="3"/>
  <c r="C29" i="3"/>
  <c r="T66" i="4" s="1"/>
  <c r="AC66" i="4" s="1"/>
  <c r="B24" i="3"/>
  <c r="B28" i="3"/>
  <c r="C28" i="3"/>
  <c r="D28" i="3" s="1"/>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I295" i="13"/>
  <c r="I294" i="13"/>
  <c r="M293" i="13"/>
  <c r="I293" i="13"/>
  <c r="N293" i="13" s="1"/>
  <c r="K292" i="13"/>
  <c r="I292" i="13"/>
  <c r="I291" i="13"/>
  <c r="K290" i="13"/>
  <c r="I290" i="13"/>
  <c r="K289" i="13"/>
  <c r="I289" i="13"/>
  <c r="K288" i="13"/>
  <c r="I288" i="13"/>
  <c r="I287" i="13"/>
  <c r="I286" i="13"/>
  <c r="I285" i="13"/>
  <c r="K284" i="13"/>
  <c r="I284" i="13"/>
  <c r="I283" i="13"/>
  <c r="I282" i="13"/>
  <c r="K281" i="13"/>
  <c r="I281"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N7" i="1" l="1"/>
  <c r="O7" i="1" s="1"/>
  <c r="J7" i="1"/>
  <c r="O279" i="2"/>
  <c r="N279" i="2"/>
  <c r="I280" i="2"/>
  <c r="J279" i="2"/>
  <c r="O278" i="2"/>
  <c r="N278" i="2"/>
  <c r="J278" i="2"/>
  <c r="O274" i="2"/>
  <c r="N274" i="2"/>
  <c r="J274" i="2"/>
  <c r="O275" i="2"/>
  <c r="N275" i="2"/>
  <c r="J275" i="2"/>
  <c r="O276" i="2"/>
  <c r="N276" i="2"/>
  <c r="J276" i="2"/>
  <c r="O277" i="2"/>
  <c r="N277" i="2"/>
  <c r="J277" i="2"/>
  <c r="O273" i="2"/>
  <c r="N273" i="2"/>
  <c r="J273" i="2"/>
  <c r="O268" i="2"/>
  <c r="N268" i="2"/>
  <c r="J268" i="2"/>
  <c r="O267" i="2"/>
  <c r="N267" i="2"/>
  <c r="J267" i="2"/>
  <c r="O269" i="2"/>
  <c r="N269" i="2"/>
  <c r="J269" i="2"/>
  <c r="O272" i="2"/>
  <c r="N272" i="2"/>
  <c r="J272" i="2"/>
  <c r="O266" i="2"/>
  <c r="N266" i="2"/>
  <c r="J266" i="2"/>
  <c r="O265" i="2"/>
  <c r="N265" i="2"/>
  <c r="J265" i="2"/>
  <c r="O264" i="2"/>
  <c r="N264" i="2"/>
  <c r="J264" i="2"/>
  <c r="N263" i="2"/>
  <c r="J263" i="2"/>
  <c r="O263" i="2"/>
  <c r="J262" i="2"/>
  <c r="O262" i="2"/>
  <c r="N262" i="2"/>
  <c r="O261" i="2"/>
  <c r="N261" i="2"/>
  <c r="J261" i="2"/>
  <c r="O260" i="2"/>
  <c r="N260" i="2"/>
  <c r="J260" i="2"/>
  <c r="O259" i="2"/>
  <c r="N259" i="2"/>
  <c r="J259" i="2"/>
  <c r="N295" i="13"/>
  <c r="M295" i="13"/>
  <c r="N280" i="13"/>
  <c r="M280" i="13"/>
  <c r="N44" i="13"/>
  <c r="M44" i="13"/>
  <c r="O258" i="2"/>
  <c r="N258" i="2"/>
  <c r="J258" i="2"/>
  <c r="O256" i="2"/>
  <c r="N256" i="2"/>
  <c r="J256" i="2"/>
  <c r="O257" i="2"/>
  <c r="N257" i="2"/>
  <c r="J257" i="2"/>
  <c r="D25" i="3"/>
  <c r="O255" i="2"/>
  <c r="N255" i="2"/>
  <c r="J255" i="2"/>
  <c r="O254" i="2"/>
  <c r="N254" i="2"/>
  <c r="J254" i="2"/>
  <c r="J253" i="2"/>
  <c r="O253" i="2"/>
  <c r="N253" i="2"/>
  <c r="J252" i="2"/>
  <c r="O252" i="2"/>
  <c r="N252" i="2"/>
  <c r="O251" i="2"/>
  <c r="N251" i="2"/>
  <c r="J251" i="2"/>
  <c r="J250" i="2"/>
  <c r="O250" i="2"/>
  <c r="N250" i="2"/>
  <c r="O249" i="2"/>
  <c r="N249" i="2"/>
  <c r="J249" i="2"/>
  <c r="O248" i="2"/>
  <c r="N248" i="2"/>
  <c r="J248" i="2"/>
  <c r="O247" i="2"/>
  <c r="N247" i="2"/>
  <c r="J247" i="2"/>
  <c r="J246" i="2"/>
  <c r="N246" i="2"/>
  <c r="O245" i="2"/>
  <c r="N245" i="2"/>
  <c r="J245" i="2"/>
  <c r="O244" i="2"/>
  <c r="N244" i="2"/>
  <c r="J244" i="2"/>
  <c r="O243" i="2"/>
  <c r="N243" i="2"/>
  <c r="J243" i="2"/>
  <c r="O242" i="2"/>
  <c r="N242" i="2"/>
  <c r="J242" i="2"/>
  <c r="O241" i="2"/>
  <c r="N241" i="2"/>
  <c r="J241" i="2"/>
  <c r="O240" i="2"/>
  <c r="N240" i="2"/>
  <c r="J240" i="2"/>
  <c r="O239" i="2"/>
  <c r="N239" i="2"/>
  <c r="J239" i="2"/>
  <c r="O238" i="2"/>
  <c r="N238" i="2"/>
  <c r="J238" i="2"/>
  <c r="O237" i="2"/>
  <c r="N237" i="2"/>
  <c r="J237" i="2"/>
  <c r="O236" i="2"/>
  <c r="N236" i="2"/>
  <c r="J236" i="2"/>
  <c r="O235" i="2"/>
  <c r="N235" i="2"/>
  <c r="J235" i="2"/>
  <c r="J234" i="2"/>
  <c r="O234" i="2"/>
  <c r="N234" i="2"/>
  <c r="O233" i="2"/>
  <c r="N233" i="2"/>
  <c r="J233" i="2"/>
  <c r="O232" i="2"/>
  <c r="N232" i="2"/>
  <c r="J232" i="2"/>
  <c r="O231" i="2"/>
  <c r="N231" i="2"/>
  <c r="J231" i="2"/>
  <c r="O230" i="2"/>
  <c r="N230" i="2"/>
  <c r="J230" i="2"/>
  <c r="AC58" i="4"/>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J280" i="2" l="1"/>
  <c r="O280" i="2"/>
  <c r="N280" i="2"/>
  <c r="T60" i="4"/>
  <c r="AC59" i="4"/>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EE23" i="8" l="1"/>
  <c r="DN28" i="8"/>
  <c r="CX3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sharedStrings.xml><?xml version="1.0" encoding="utf-8"?>
<sst xmlns="http://schemas.openxmlformats.org/spreadsheetml/2006/main" count="58992" uniqueCount="6571">
  <si>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</si>
  <si>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</si>
  <si>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</si>
  <si>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</si>
  <si>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</si>
  <si>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</si>
  <si>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</si>
  <si>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</si>
  <si>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</si>
  <si>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</si>
  <si>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</si>
  <si>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</si>
  <si>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</si>
  <si>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</si>
  <si>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</si>
  <si>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</si>
  <si>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</si>
  <si>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</si>
  <si>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</si>
  <si>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</si>
  <si>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</si>
  <si>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</si>
  <si>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</si>
  <si>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</si>
  <si>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</si>
  <si>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</si>
  <si>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</si>
  <si>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</si>
  <si>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</si>
  <si>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</si>
  <si>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</si>
  <si>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</si>
  <si>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</si>
  <si>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</si>
  <si>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</si>
  <si>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</si>
  <si>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</si>
  <si>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</si>
  <si>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</si>
  <si>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</si>
  <si>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</si>
  <si>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</si>
  <si>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</si>
  <si>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</si>
  <si>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</si>
  <si>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</si>
  <si>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</si>
  <si>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</si>
  <si>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</si>
  <si>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</si>
  <si>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</si>
  <si>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</si>
  <si>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</si>
  <si>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</si>
  <si>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</si>
  <si>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</si>
  <si>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</si>
  <si>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</si>
  <si>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</si>
  <si>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</si>
  <si>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</si>
  <si>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</si>
  <si>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</si>
  <si>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</si>
  <si>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</si>
  <si>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</si>
  <si>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</si>
  <si>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</si>
  <si>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</si>
  <si>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</si>
  <si>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</si>
  <si>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</si>
  <si>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</si>
  <si>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</si>
  <si>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</si>
  <si>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</si>
  <si>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</si>
  <si>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</si>
  <si>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</si>
  <si>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</si>
  <si>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</si>
  <si>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</si>
  <si>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</si>
  <si>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</si>
  <si>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</si>
  <si>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</si>
  <si>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</si>
  <si>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</si>
  <si>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</si>
  <si>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</si>
  <si>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</si>
  <si>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</si>
  <si>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</si>
  <si>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</si>
  <si>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</si>
  <si>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</si>
  <si>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</si>
  <si>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</si>
  <si>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</si>
  <si>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</si>
  <si>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</si>
  <si>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</si>
  <si>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</si>
  <si>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</si>
  <si>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</si>
  <si>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</si>
  <si>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</si>
  <si>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</si>
  <si>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</si>
  <si>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</si>
  <si>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</si>
  <si>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</si>
  <si>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</si>
  <si>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</si>
  <si>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</si>
  <si>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</si>
  <si>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</si>
  <si>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</si>
  <si>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</si>
  <si>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</si>
  <si>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</si>
  <si>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</si>
  <si>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</si>
  <si>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</si>
  <si>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</si>
  <si>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</si>
  <si>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</si>
  <si>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</si>
  <si>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</si>
  <si>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</si>
  <si>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</si>
  <si>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</si>
  <si>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</si>
  <si>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</si>
  <si>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</si>
  <si>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</si>
  <si>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</si>
  <si>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</si>
  <si>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</si>
  <si>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</si>
  <si>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</si>
  <si>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</si>
  <si>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</si>
  <si>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</si>
  <si>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</si>
  <si>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</si>
  <si>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</si>
  <si>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</si>
  <si>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</si>
  <si>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</si>
  <si>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</si>
  <si>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</si>
  <si>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</si>
  <si>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</si>
  <si>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</si>
  <si>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</si>
  <si>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</si>
  <si>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</si>
  <si>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</si>
  <si>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</si>
  <si>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</si>
  <si>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</si>
  <si>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</si>
  <si>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</si>
  <si>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</si>
  <si>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</si>
  <si>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</si>
  <si>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</si>
  <si>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</si>
  <si>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</si>
  <si>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</si>
  <si>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</si>
  <si>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</si>
  <si>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</si>
  <si>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</si>
  <si>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</si>
  <si>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</si>
  <si>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</si>
  <si>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</si>
  <si>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</si>
  <si>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</si>
  <si>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</si>
  <si>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</si>
  <si>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</si>
  <si>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</si>
  <si>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</si>
  <si>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</si>
  <si>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</si>
  <si>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</si>
  <si>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</si>
  <si>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</si>
  <si>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</si>
  <si>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</si>
  <si>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</si>
  <si>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</si>
  <si>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</si>
  <si>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</si>
  <si>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</si>
  <si>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</si>
  <si>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</si>
  <si>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</si>
  <si>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</si>
  <si>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</si>
  <si>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</si>
  <si>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</si>
  <si>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</si>
  <si>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</si>
  <si>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</si>
  <si>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</si>
  <si>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</si>
  <si>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</si>
  <si>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</si>
  <si>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</si>
  <si>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</si>
  <si>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</si>
  <si>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</si>
  <si>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</si>
  <si>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</si>
  <si>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</si>
  <si>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</si>
  <si>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</si>
  <si>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</si>
  <si>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</si>
  <si>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</si>
  <si>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</si>
  <si>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</si>
  <si>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</si>
  <si>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</si>
  <si>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</si>
  <si>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</si>
  <si>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</si>
  <si>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</si>
  <si>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</si>
  <si>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</si>
  <si>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</si>
  <si>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</si>
  <si>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</si>
  <si>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</si>
  <si>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</si>
  <si>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</si>
  <si>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</si>
  <si>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</si>
  <si>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</si>
  <si>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</si>
  <si>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</si>
  <si>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</si>
  <si>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</si>
  <si>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</si>
  <si>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</si>
  <si>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</si>
  <si>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</si>
  <si>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</si>
  <si>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</si>
  <si>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</si>
  <si>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</si>
  <si>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</si>
  <si>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</si>
  <si>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</si>
  <si>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</si>
  <si>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</si>
  <si>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</si>
  <si>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</si>
  <si>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</si>
  <si>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</si>
  <si>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</si>
  <si>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</si>
  <si>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</si>
  <si>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</si>
  <si>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</si>
  <si>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</si>
  <si>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</si>
  <si>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</si>
  <si>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</si>
  <si>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</si>
  <si>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</si>
  <si>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</si>
  <si>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</si>
  <si>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</si>
  <si>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</si>
  <si>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</si>
  <si>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</si>
  <si>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</si>
  <si>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</si>
  <si>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</si>
  <si>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</si>
  <si>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</si>
  <si>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</si>
  <si>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</si>
  <si>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</si>
  <si>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</si>
  <si>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</si>
  <si>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</si>
  <si>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</si>
  <si>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</si>
  <si>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</si>
  <si>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</si>
  <si>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</si>
  <si>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</si>
  <si>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</si>
  <si>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</si>
  <si>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</si>
  <si>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</si>
  <si>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</si>
  <si>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</si>
  <si>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</si>
  <si>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</si>
  <si>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</si>
  <si>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</si>
  <si>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</si>
  <si>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</si>
  <si>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</si>
  <si>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</si>
  <si>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</si>
  <si>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</si>
  <si>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</si>
  <si>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</si>
  <si>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</si>
  <si>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</si>
  <si>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</si>
  <si>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</si>
  <si>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</si>
  <si>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</si>
  <si>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</si>
  <si>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</si>
  <si>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</si>
  <si>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</si>
  <si>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</si>
  <si>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</si>
  <si>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</si>
  <si>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</si>
  <si>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</si>
  <si>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</si>
  <si>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</si>
  <si>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</si>
  <si>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</si>
  <si>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</si>
  <si>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</si>
  <si>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</si>
  <si>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</si>
  <si>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</si>
  <si>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</si>
  <si>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</si>
  <si>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</si>
  <si>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</si>
  <si>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</si>
  <si>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</si>
  <si>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</si>
  <si>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</si>
  <si>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</si>
  <si>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</si>
  <si>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</si>
  <si>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</si>
  <si>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</si>
  <si>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</si>
  <si>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</si>
  <si>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</si>
  <si>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</si>
  <si>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</si>
  <si>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</si>
  <si>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</si>
  <si>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</si>
  <si>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</si>
  <si>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</si>
  <si>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</si>
  <si>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</si>
  <si>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</si>
  <si>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</si>
  <si>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</si>
  <si>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</si>
  <si>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</si>
  <si>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</si>
  <si>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</si>
  <si>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</si>
  <si>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</si>
  <si>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</si>
  <si>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</si>
  <si>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</si>
  <si>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</si>
  <si>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</si>
  <si>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</si>
  <si>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</si>
  <si>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</si>
  <si>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</si>
  <si>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</si>
  <si>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</si>
  <si>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</si>
  <si>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</si>
  <si>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</si>
  <si>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</si>
  <si>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</si>
  <si>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</si>
  <si>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</si>
  <si>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</si>
  <si>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</si>
  <si>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</si>
  <si>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</si>
  <si>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</si>
  <si>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</si>
  <si>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</si>
  <si>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</si>
  <si>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</si>
  <si>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</si>
  <si>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</si>
  <si>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</si>
  <si>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</si>
  <si>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</si>
  <si>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</si>
  <si>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</si>
  <si>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</si>
  <si>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</si>
  <si>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</si>
  <si>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</si>
  <si>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</si>
  <si>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</si>
  <si>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</si>
  <si>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</si>
  <si>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</si>
  <si>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</si>
  <si>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</si>
  <si>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</si>
  <si>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</si>
  <si>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</si>
  <si>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</si>
  <si>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</si>
  <si>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</si>
  <si>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</si>
  <si>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</si>
  <si>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</si>
  <si>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</si>
  <si>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</si>
  <si>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</si>
  <si>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</si>
  <si>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</si>
  <si>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</si>
  <si>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</si>
  <si>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</si>
  <si>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</si>
  <si>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</si>
  <si>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</si>
  <si>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</si>
  <si>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</si>
  <si>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</si>
  <si>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</si>
  <si>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</si>
  <si>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</si>
  <si>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</si>
  <si>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</si>
  <si>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</si>
  <si>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</si>
  <si>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</si>
  <si>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</si>
  <si>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</si>
  <si>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</si>
  <si>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</si>
  <si>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</si>
  <si>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</si>
  <si>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</si>
  <si>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</si>
  <si>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</si>
  <si>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</si>
  <si>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</si>
  <si>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</si>
  <si>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</si>
  <si>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</si>
  <si>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</si>
  <si>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</si>
  <si>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</si>
  <si>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</si>
  <si>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</si>
  <si>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</si>
  <si>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</si>
  <si>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</si>
  <si>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</si>
  <si>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</si>
  <si>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</si>
  <si>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</si>
  <si>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</si>
  <si>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</si>
  <si>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</si>
  <si>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</si>
  <si>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</si>
  <si>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</si>
  <si>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</si>
  <si>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</si>
  <si>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</si>
  <si>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</si>
  <si>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</si>
  <si>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</si>
  <si>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</si>
  <si>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</si>
  <si>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</si>
  <si>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</si>
  <si>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</si>
  <si>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</si>
  <si>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</si>
  <si>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</si>
  <si>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</si>
  <si>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</si>
  <si>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</si>
  <si>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</si>
  <si>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</si>
  <si>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</si>
  <si>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</si>
  <si>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</si>
  <si>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</si>
  <si>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</si>
  <si>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</si>
  <si>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</si>
  <si>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</si>
  <si>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</si>
  <si>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</si>
  <si>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</si>
  <si>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</si>
  <si>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</si>
  <si>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</si>
  <si>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</si>
  <si>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</si>
  <si>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</si>
  <si>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</si>
  <si>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</si>
  <si>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</si>
  <si>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</si>
  <si>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</si>
  <si>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</si>
  <si>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</si>
  <si>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</si>
  <si>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</si>
  <si>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</si>
  <si>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</si>
  <si>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</si>
  <si>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</si>
  <si>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</si>
  <si>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</si>
  <si>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</si>
  <si>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</si>
  <si>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</si>
  <si>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</si>
  <si>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</si>
  <si>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</si>
  <si>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</si>
  <si>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</si>
  <si>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</si>
  <si>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</si>
  <si>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</si>
  <si>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</si>
  <si>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</si>
  <si>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</si>
  <si>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</si>
  <si>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</si>
  <si>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</si>
  <si>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</si>
  <si>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</si>
  <si>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</si>
  <si>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</si>
  <si>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</si>
  <si>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</si>
  <si>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</si>
  <si>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</si>
  <si>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</si>
  <si>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</si>
  <si>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</si>
  <si>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</si>
  <si>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</si>
  <si>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</si>
  <si>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</si>
  <si>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</si>
  <si>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</si>
  <si>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</si>
  <si>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</si>
  <si>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</si>
  <si>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</si>
  <si>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</si>
  <si>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</si>
  <si>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</si>
  <si>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</si>
  <si>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</si>
  <si>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</si>
  <si>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</si>
  <si>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</si>
  <si>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</si>
  <si>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</si>
  <si>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</si>
  <si>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</si>
  <si>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</si>
  <si>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</si>
  <si>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</si>
  <si>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</si>
  <si>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</si>
  <si>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</si>
  <si>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</si>
  <si>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</si>
  <si>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</si>
  <si>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</si>
  <si>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</si>
  <si>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</si>
  <si>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</si>
  <si>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</si>
  <si>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</si>
  <si>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</si>
  <si>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</si>
  <si>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</si>
  <si>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</si>
  <si>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</si>
  <si>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</si>
  <si>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</si>
  <si>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</si>
  <si>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</si>
  <si>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</si>
  <si>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</si>
  <si>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</si>
  <si>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</si>
  <si>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</si>
  <si>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</si>
  <si>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</si>
  <si>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</si>
  <si>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</si>
  <si>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</si>
  <si>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</si>
  <si>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</si>
  <si>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</si>
  <si>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</si>
  <si>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</si>
  <si>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</si>
  <si>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</si>
  <si>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</si>
  <si>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</si>
  <si>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</si>
  <si>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</si>
  <si>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</si>
  <si>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</si>
  <si>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</si>
  <si>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</si>
  <si>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</si>
  <si>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</si>
  <si>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</si>
  <si>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</si>
  <si>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</si>
  <si>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</si>
  <si>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</si>
  <si>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</si>
  <si>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</si>
  <si>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</si>
  <si>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</si>
  <si>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</si>
  <si>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</si>
  <si>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</si>
  <si>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</si>
  <si>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</si>
  <si>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</si>
  <si>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</si>
  <si>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</si>
  <si>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</si>
  <si>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</si>
  <si>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</si>
  <si>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</si>
  <si>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</si>
  <si>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</si>
  <si>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</si>
  <si>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</si>
  <si>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</si>
  <si>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</si>
  <si>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</si>
  <si>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</si>
  <si>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</si>
  <si>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</si>
  <si>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</si>
  <si>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</si>
  <si>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</si>
  <si>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</si>
  <si>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</si>
  <si>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</si>
  <si>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</si>
  <si>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</si>
  <si>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</si>
  <si>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</si>
  <si>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</si>
  <si>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</si>
  <si>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</si>
  <si>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</si>
  <si>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</si>
  <si>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</si>
  <si>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</si>
  <si>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</si>
  <si>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</si>
  <si>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</si>
  <si>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</si>
  <si>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</si>
  <si>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</si>
  <si>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</si>
  <si>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</si>
  <si>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</si>
  <si>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</si>
  <si>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</si>
  <si>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</si>
  <si>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</si>
  <si>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</si>
  <si>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</si>
  <si>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</si>
  <si>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</si>
  <si>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</si>
  <si>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</si>
  <si>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</si>
  <si>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</si>
  <si>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</si>
  <si>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</si>
  <si>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</si>
  <si>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</si>
  <si>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</si>
  <si>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</si>
  <si>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</si>
  <si>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</si>
  <si>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</si>
  <si>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</si>
  <si>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</si>
  <si>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</si>
  <si>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</si>
  <si>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</si>
  <si>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</si>
  <si>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</si>
  <si>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</si>
  <si>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</si>
  <si>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</si>
  <si>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</si>
  <si>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</si>
  <si>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</si>
  <si>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</si>
  <si>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</si>
  <si>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</si>
  <si>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</si>
  <si>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</si>
  <si>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</si>
  <si>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</si>
  <si>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</si>
  <si>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</si>
  <si>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</si>
  <si>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</si>
  <si>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</si>
  <si>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</si>
  <si>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</si>
  <si>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</si>
  <si>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</si>
  <si>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</si>
  <si>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</si>
  <si>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</si>
  <si>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</si>
  <si>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</si>
  <si>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</si>
  <si>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</si>
  <si>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</si>
  <si>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</si>
  <si>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</si>
  <si>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</si>
  <si>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</si>
  <si>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</si>
  <si>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</si>
  <si>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</si>
  <si>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</si>
  <si>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</si>
  <si>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</si>
  <si>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</si>
  <si>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</si>
  <si>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</si>
  <si>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</si>
  <si>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</si>
  <si>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</si>
  <si>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</si>
  <si>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</si>
  <si>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</si>
  <si>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</si>
  <si>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</si>
  <si>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</si>
  <si>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</si>
  <si>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</si>
  <si>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</si>
  <si>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</si>
  <si>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</si>
  <si>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</si>
  <si>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</si>
  <si>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</si>
  <si>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</si>
  <si>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</si>
  <si>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</si>
  <si>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</si>
  <si>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</si>
  <si>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</si>
  <si>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</si>
  <si>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</si>
  <si>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</si>
  <si>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</si>
  <si>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</si>
  <si>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</si>
  <si>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</si>
  <si>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</si>
  <si>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</si>
  <si>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</si>
  <si>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</si>
  <si>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</si>
  <si>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</si>
  <si>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</si>
  <si>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</si>
  <si>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</si>
  <si>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</si>
  <si>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</si>
  <si>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</si>
  <si>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</si>
  <si>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</si>
  <si>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</si>
  <si>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</si>
  <si>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</si>
  <si>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</si>
  <si>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</si>
  <si>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</si>
  <si>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</si>
  <si>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</si>
  <si>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</si>
  <si>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</si>
  <si>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</si>
  <si>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</si>
  <si>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</si>
  <si>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</si>
  <si>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</si>
  <si>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</si>
  <si>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</si>
  <si>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</si>
  <si>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</si>
  <si>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</si>
  <si>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</si>
  <si>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</si>
  <si>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</si>
  <si>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</si>
  <si>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</si>
  <si>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</si>
  <si>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</si>
  <si>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</si>
  <si>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</si>
  <si>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</si>
  <si>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</si>
  <si>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</si>
  <si>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</si>
  <si>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</si>
  <si>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</si>
  <si>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</si>
  <si>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</si>
  <si>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</si>
  <si>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</si>
  <si>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</si>
  <si>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</si>
  <si>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</si>
  <si>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</si>
  <si>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</si>
  <si>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</si>
  <si>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</si>
  <si>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</si>
  <si>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</si>
  <si>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</si>
  <si>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</si>
  <si>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</si>
  <si>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</si>
  <si>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</si>
  <si>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</si>
  <si>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</si>
  <si>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</si>
  <si>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</si>
  <si>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</si>
  <si>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</si>
  <si>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</si>
  <si>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</si>
  <si>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</si>
  <si>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</si>
  <si>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</si>
  <si>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</si>
  <si>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</si>
  <si>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</si>
  <si>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</si>
  <si>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</si>
  <si>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</si>
  <si>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</si>
  <si>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</si>
  <si>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</si>
  <si>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</si>
  <si>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</si>
  <si>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</si>
  <si>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</si>
  <si>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</si>
  <si>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</si>
  <si>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</si>
  <si>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</si>
  <si>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</si>
  <si>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</si>
  <si>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</si>
  <si>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</si>
  <si>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</si>
  <si>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</si>
  <si>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</si>
  <si>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</si>
  <si>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</si>
  <si>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</si>
  <si>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</si>
  <si>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</si>
  <si>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</si>
  <si>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</si>
  <si>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</si>
  <si>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</si>
  <si>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</si>
  <si>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</si>
  <si>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</si>
  <si>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</si>
  <si>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</si>
  <si>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</si>
  <si>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</si>
  <si>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</si>
  <si>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</si>
  <si>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</si>
  <si>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</si>
  <si>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</si>
  <si>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</si>
  <si>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</si>
  <si>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</si>
  <si>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</si>
  <si>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</si>
  <si>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</si>
  <si>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</si>
  <si>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</si>
  <si>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</si>
  <si>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</si>
  <si>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</si>
  <si>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</si>
  <si>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</si>
  <si>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</si>
  <si>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</si>
  <si>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</si>
  <si>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</si>
  <si>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</si>
  <si>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</si>
  <si>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</si>
  <si>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</si>
  <si>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</si>
  <si>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</si>
  <si>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</si>
  <si>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</si>
  <si>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</si>
  <si>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</si>
  <si>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</si>
  <si>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</si>
  <si>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</si>
  <si>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</si>
  <si>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</si>
  <si>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</si>
  <si>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</si>
  <si>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</si>
  <si>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</si>
  <si>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</si>
  <si>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</si>
  <si>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</si>
  <si>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</si>
  <si>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</si>
  <si>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</si>
  <si>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</si>
  <si>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</si>
  <si>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</si>
  <si>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</si>
  <si>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</si>
  <si>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</si>
  <si>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</si>
  <si>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</si>
  <si>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</si>
  <si>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</si>
  <si>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</si>
  <si>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</si>
  <si>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</si>
  <si>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</si>
  <si>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</si>
  <si>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</si>
  <si>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</si>
  <si>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</si>
  <si>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</si>
  <si>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</si>
  <si>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</si>
  <si>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</si>
  <si>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</si>
  <si>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</si>
  <si>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</si>
  <si>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</si>
  <si>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</si>
  <si>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</si>
  <si>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</si>
  <si>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</si>
  <si>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</si>
  <si>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</si>
  <si>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</si>
  <si>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</si>
  <si>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</si>
  <si>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</si>
  <si>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</si>
  <si>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</si>
  <si>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</si>
  <si>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</si>
  <si>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</si>
  <si>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</si>
  <si>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</si>
  <si>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</si>
  <si>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</si>
  <si>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</si>
  <si>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</si>
  <si>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</si>
  <si>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</si>
  <si>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</si>
  <si>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</si>
  <si>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</si>
  <si>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</si>
  <si>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</si>
  <si>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</si>
  <si>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</si>
  <si>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</si>
  <si>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</si>
  <si>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</si>
  <si>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</si>
  <si>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</si>
  <si>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</si>
  <si>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</si>
  <si>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</si>
  <si>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</si>
  <si>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</si>
  <si>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</si>
  <si>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</si>
  <si>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</si>
  <si>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</si>
  <si>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</si>
  <si>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</si>
  <si>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</si>
  <si>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</si>
  <si>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</si>
  <si>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</si>
  <si>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</si>
  <si>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</si>
  <si>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</si>
  <si>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</si>
  <si>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</si>
  <si>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</si>
  <si>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</si>
  <si>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</si>
  <si>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</si>
  <si>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</si>
  <si>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</si>
  <si>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</si>
  <si>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</si>
  <si>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</si>
  <si>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</si>
  <si>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</si>
  <si>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</si>
  <si>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</si>
  <si>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</si>
  <si>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</si>
  <si>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</si>
  <si>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</si>
  <si>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</si>
  <si>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</si>
  <si>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</si>
  <si>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</si>
  <si>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</si>
  <si>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</si>
  <si>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</si>
  <si>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</si>
  <si>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</si>
  <si>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</si>
  <si>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</si>
  <si>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</si>
  <si>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</si>
  <si>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</si>
  <si>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</si>
  <si>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</si>
  <si>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</si>
  <si>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</si>
  <si>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</si>
  <si>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</si>
  <si>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</si>
  <si>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</si>
  <si>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</si>
  <si>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</si>
  <si>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</si>
  <si>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</si>
  <si>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</si>
  <si>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</si>
  <si>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</si>
  <si>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</si>
  <si>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</si>
  <si>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</si>
  <si>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</si>
  <si>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</si>
  <si>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</si>
  <si>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</si>
  <si>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</si>
  <si>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</si>
  <si>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</si>
  <si>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</si>
  <si>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</si>
  <si>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</si>
  <si>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</si>
  <si>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</si>
  <si>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</si>
  <si>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</si>
  <si>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</si>
  <si>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</si>
  <si>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</si>
  <si>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</si>
  <si>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</si>
  <si>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</si>
  <si>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</si>
  <si>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</si>
  <si>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</si>
  <si>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</si>
  <si>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</si>
  <si>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</si>
  <si>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</si>
  <si>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</si>
  <si>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</si>
  <si>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</si>
  <si>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</si>
  <si>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</si>
  <si>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</si>
  <si>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</si>
  <si>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</si>
  <si>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</si>
  <si>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</si>
  <si>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</si>
  <si>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</si>
  <si>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</si>
  <si>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</si>
  <si>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</si>
  <si>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</si>
  <si>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</si>
  <si>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</si>
  <si>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</si>
  <si>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</si>
  <si>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</si>
  <si>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</si>
  <si>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</si>
  <si>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</si>
  <si>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</si>
  <si>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</si>
  <si>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</si>
  <si>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</si>
  <si>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</si>
  <si>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</si>
  <si>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</si>
  <si>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</si>
  <si>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</si>
  <si>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</si>
  <si>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</si>
  <si>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</si>
  <si>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</si>
  <si>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</si>
  <si>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</si>
  <si>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</si>
  <si>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</si>
  <si>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</si>
  <si>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</si>
  <si>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</si>
  <si>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</si>
  <si>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</si>
  <si>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</si>
  <si>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</si>
  <si>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</si>
  <si>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</si>
  <si>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</si>
  <si>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</si>
  <si>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</si>
  <si>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</si>
  <si>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</si>
  <si>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</si>
  <si>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</si>
  <si>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</si>
  <si>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</si>
  <si>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</si>
  <si>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</si>
  <si>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</si>
  <si>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</si>
  <si>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</si>
  <si>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</si>
  <si>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</si>
  <si>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</si>
  <si>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</si>
  <si>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</si>
  <si>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</si>
  <si>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</si>
  <si>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</si>
  <si>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</si>
  <si>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</si>
  <si>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</si>
  <si>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</si>
  <si>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</si>
  <si>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</si>
  <si>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</si>
  <si>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</si>
  <si>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</si>
  <si>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</si>
  <si>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</si>
  <si>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</si>
  <si>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</si>
  <si>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</si>
  <si>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</si>
  <si>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</si>
  <si>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</si>
  <si>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</si>
  <si>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</si>
  <si>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</si>
  <si>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</si>
  <si>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</si>
  <si>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</si>
  <si>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</si>
  <si>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</si>
  <si>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</si>
  <si>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</si>
  <si>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</si>
  <si>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</si>
  <si>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</si>
  <si>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</si>
  <si>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</si>
  <si>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</si>
  <si>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</si>
  <si>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</si>
  <si>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</si>
  <si>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</si>
  <si>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</si>
  <si>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</si>
  <si>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</si>
  <si>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</si>
  <si>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</si>
  <si>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</si>
  <si>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</si>
  <si>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</si>
  <si>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</si>
  <si>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</si>
  <si>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</si>
  <si>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</si>
  <si>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</si>
  <si>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</si>
  <si>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</si>
  <si>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</si>
  <si>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</si>
  <si>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</si>
  <si>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</si>
  <si>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</si>
  <si>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</si>
  <si>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</si>
  <si>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</si>
  <si>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</si>
  <si>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</si>
  <si>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</si>
  <si>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</si>
  <si>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</si>
  <si>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</si>
  <si>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</si>
  <si>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</si>
  <si>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</si>
  <si>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</si>
  <si>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</si>
  <si>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</si>
  <si>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</si>
  <si>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</si>
  <si>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</si>
  <si>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</si>
  <si>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</si>
  <si>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</si>
  <si>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</si>
  <si>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</si>
  <si>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</si>
  <si>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</si>
  <si>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</si>
  <si>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</si>
  <si>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</si>
  <si>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</si>
  <si>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</si>
  <si>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</si>
  <si>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</si>
  <si>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</si>
  <si>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</si>
  <si>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</si>
  <si>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</si>
  <si>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</si>
  <si>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</si>
  <si>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</si>
  <si>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</si>
  <si>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</si>
  <si>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</si>
  <si>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</si>
  <si>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</si>
  <si>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</si>
  <si>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</si>
  <si>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</si>
  <si>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</si>
  <si>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</si>
  <si>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</si>
  <si>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</si>
  <si>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</si>
  <si>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</si>
  <si>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</si>
  <si>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</si>
  <si>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</si>
  <si>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</si>
  <si>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</si>
  <si>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</si>
  <si>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</si>
  <si>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</si>
  <si>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</si>
  <si>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</si>
  <si>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</si>
  <si>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</si>
  <si>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</si>
  <si>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</si>
  <si>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</si>
  <si>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</si>
  <si>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</si>
  <si>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</si>
  <si>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</si>
  <si>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</si>
  <si>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</si>
  <si>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</si>
  <si>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</si>
  <si>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</si>
  <si>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</si>
  <si>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</si>
  <si>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</si>
  <si>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</si>
  <si>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</si>
  <si>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</si>
  <si>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</si>
  <si>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</si>
  <si>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</si>
  <si>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</si>
  <si>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</si>
  <si>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</si>
  <si>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</si>
  <si>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</si>
  <si>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</si>
  <si>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</si>
  <si>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</si>
  <si>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</si>
  <si>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</si>
  <si>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</si>
  <si>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</si>
  <si>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</si>
  <si>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</si>
  <si>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</si>
  <si>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</si>
  <si>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</si>
  <si>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</si>
  <si>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</si>
  <si>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</si>
  <si>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</si>
  <si>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</si>
  <si>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</si>
  <si>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</si>
  <si>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</si>
  <si>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</si>
  <si>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</si>
  <si>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</si>
  <si>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</si>
  <si>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</si>
  <si>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</si>
  <si>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</si>
  <si>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</si>
  <si>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</si>
  <si>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</si>
  <si>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</si>
  <si>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</si>
  <si>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</si>
  <si>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</si>
  <si>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</si>
  <si>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</si>
  <si>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</si>
  <si>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</si>
  <si>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</si>
  <si>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</si>
  <si>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</si>
  <si>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</si>
  <si>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</si>
  <si>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</si>
  <si>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</si>
  <si>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</si>
  <si>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</si>
  <si>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</si>
  <si>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</si>
  <si>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</si>
  <si>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</si>
  <si>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</si>
  <si>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</si>
  <si>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</si>
  <si>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</si>
  <si>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</si>
  <si>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</si>
  <si>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</si>
  <si>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</si>
  <si>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</si>
  <si>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</si>
  <si>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</si>
  <si>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</si>
  <si>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</si>
  <si>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</si>
  <si>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</si>
  <si>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</si>
  <si>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</si>
  <si>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</si>
  <si>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</si>
  <si>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</si>
  <si>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</si>
  <si>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</si>
  <si>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</si>
  <si>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</si>
  <si>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</si>
  <si>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</si>
  <si>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</si>
  <si>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</si>
  <si>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</si>
  <si>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</si>
  <si>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</si>
  <si>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</si>
  <si>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</si>
  <si>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</si>
  <si>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</si>
  <si>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</si>
  <si>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</si>
  <si>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</si>
  <si>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</si>
  <si>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</si>
  <si>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</si>
  <si>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</si>
  <si>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</si>
  <si>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</si>
  <si>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</si>
  <si>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</si>
  <si>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</si>
  <si>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</si>
  <si>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</si>
  <si>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</si>
  <si>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</si>
  <si>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</si>
  <si>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</si>
  <si>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</si>
  <si>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</si>
  <si>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</si>
  <si>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</si>
  <si>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</si>
  <si>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</si>
  <si>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</si>
  <si>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</si>
  <si>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</si>
  <si>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</si>
  <si>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</si>
  <si>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</si>
  <si>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</si>
  <si>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</si>
  <si>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</si>
  <si>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</si>
  <si>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</si>
  <si>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</si>
  <si>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</si>
  <si>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</si>
  <si>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</si>
  <si>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</si>
  <si>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</si>
  <si>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</si>
  <si>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</si>
  <si>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</si>
  <si>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</si>
  <si>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</si>
  <si>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</si>
  <si>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</si>
  <si>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</si>
  <si>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</si>
  <si>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</si>
  <si>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</si>
  <si>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</si>
  <si>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</si>
  <si>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</si>
  <si>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</si>
  <si>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</si>
  <si>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</si>
  <si>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</si>
  <si>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</si>
  <si>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</si>
  <si>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</si>
  <si>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</si>
  <si>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</si>
  <si>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</si>
  <si>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</si>
  <si>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</si>
  <si>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</si>
  <si>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</si>
  <si>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</si>
  <si>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</si>
  <si>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</si>
  <si>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</si>
  <si>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</si>
  <si>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</si>
  <si>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</si>
  <si>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</si>
  <si>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</si>
  <si>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</si>
  <si>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</si>
  <si>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</si>
  <si>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</si>
  <si>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</si>
  <si>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</si>
  <si>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</si>
  <si>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</si>
  <si>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</si>
  <si>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</si>
  <si>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</si>
  <si>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</si>
  <si>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</si>
  <si>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</si>
  <si>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</si>
  <si>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</si>
  <si>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</si>
  <si>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</si>
  <si>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</si>
  <si>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</si>
  <si>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</si>
  <si>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</si>
  <si>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</si>
  <si>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</si>
  <si>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</si>
  <si>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</si>
  <si>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</si>
  <si>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</si>
  <si>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</si>
  <si>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</si>
  <si>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</si>
  <si>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</si>
  <si>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</si>
  <si>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</si>
  <si>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</si>
  <si>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</si>
  <si>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</si>
  <si>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</si>
  <si>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</si>
  <si>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</si>
  <si>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</si>
  <si>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</si>
  <si>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</si>
  <si>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</si>
  <si>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</si>
  <si>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</si>
  <si>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</si>
  <si>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</si>
  <si>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</si>
  <si>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</si>
  <si>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</si>
  <si>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</si>
  <si>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</si>
  <si>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</si>
  <si>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</si>
  <si>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</si>
  <si>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</si>
  <si>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</si>
  <si>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</si>
  <si>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</si>
  <si>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</si>
  <si>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</si>
  <si>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</si>
  <si>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</si>
  <si>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</si>
  <si>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</si>
  <si>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</si>
  <si>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</si>
  <si>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</si>
  <si>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</si>
  <si>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</si>
  <si>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</si>
  <si>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</si>
  <si>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</si>
  <si>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</si>
  <si>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</si>
  <si>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</si>
  <si>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</si>
  <si>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</si>
  <si>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</si>
  <si>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</si>
  <si>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</si>
  <si>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</si>
  <si>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</si>
  <si>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</si>
  <si>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</si>
  <si>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</si>
  <si>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</si>
  <si>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</si>
  <si>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</si>
  <si>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</si>
  <si>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</si>
  <si>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</si>
  <si>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</si>
  <si>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</si>
  <si>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</si>
  <si>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</si>
  <si>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</si>
  <si>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</si>
  <si>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</si>
  <si>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</si>
  <si>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</si>
  <si>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</si>
  <si>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</si>
  <si>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</si>
  <si>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</si>
  <si>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</si>
  <si>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</si>
  <si>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</si>
  <si>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</si>
  <si>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</si>
  <si>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</si>
  <si>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</si>
  <si>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</si>
  <si>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</si>
  <si>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</si>
  <si>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</si>
  <si>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</si>
  <si>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</si>
  <si>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</si>
  <si>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</si>
  <si>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</si>
  <si>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</si>
  <si>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</si>
  <si>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</si>
  <si>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</si>
  <si>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</si>
  <si>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</si>
  <si>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</si>
  <si>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</si>
  <si>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</si>
  <si>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</si>
  <si>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</si>
  <si>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</si>
  <si>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</si>
  <si>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</si>
  <si>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</si>
  <si>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</si>
  <si>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</si>
  <si>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</si>
  <si>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</si>
  <si>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</si>
  <si>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</si>
  <si>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</si>
  <si>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</si>
  <si>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</si>
  <si>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</si>
  <si>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</si>
  <si>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</si>
  <si>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</si>
  <si>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</si>
  <si>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</si>
  <si>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</si>
  <si>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</si>
  <si>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</si>
  <si>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</si>
  <si>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</si>
  <si>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</si>
  <si>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</si>
  <si>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</si>
  <si>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</si>
  <si>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</si>
  <si>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</si>
  <si>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</si>
  <si>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</si>
  <si>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</si>
  <si>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</si>
  <si>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</si>
  <si>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</si>
  <si>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</si>
  <si>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</si>
  <si>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</si>
  <si>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</si>
  <si>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</si>
  <si>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</si>
  <si>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</si>
  <si>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</si>
  <si>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</si>
  <si>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</si>
  <si>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</si>
  <si>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</si>
  <si>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</si>
  <si>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</si>
  <si>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</si>
  <si>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</si>
  <si>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</si>
  <si>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</si>
  <si>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</si>
  <si>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</si>
  <si>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</si>
  <si>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</si>
  <si>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</si>
  <si>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</si>
  <si>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</si>
  <si>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</si>
  <si>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</si>
  <si>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</si>
  <si>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</si>
  <si>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</si>
  <si>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</si>
  <si>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</si>
  <si>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</si>
  <si>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</si>
  <si>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</si>
  <si>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</si>
  <si>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</si>
  <si>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</si>
  <si>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</si>
  <si>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</si>
  <si>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</si>
  <si>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</si>
  <si>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</si>
  <si>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</si>
  <si>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</si>
  <si>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</si>
  <si>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</si>
  <si>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</si>
  <si>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</si>
  <si>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</si>
  <si>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</si>
  <si>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</si>
  <si>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</si>
  <si>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</si>
  <si>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</si>
  <si>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</si>
  <si>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</si>
  <si>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</si>
  <si>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</si>
  <si>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</si>
  <si>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</si>
  <si>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</si>
  <si>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</si>
  <si>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</si>
  <si>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</si>
  <si>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</si>
  <si>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</si>
  <si>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</si>
  <si>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</si>
  <si>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</si>
  <si>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</si>
  <si>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</si>
  <si>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</si>
  <si>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</si>
  <si>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</si>
  <si>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</si>
  <si>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</si>
  <si>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</si>
  <si>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</si>
  <si>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</si>
  <si>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</si>
  <si>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</si>
  <si>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</si>
  <si>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</si>
  <si>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</si>
  <si>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</si>
  <si>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</si>
  <si>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</si>
  <si>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</si>
  <si>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</si>
  <si>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</si>
  <si>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</si>
  <si>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</si>
  <si>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</si>
  <si>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</si>
  <si>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</si>
  <si>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</si>
  <si>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</si>
  <si>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</si>
  <si>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</si>
  <si>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</si>
  <si>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</si>
  <si>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</si>
  <si>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</si>
  <si>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</si>
  <si>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</si>
  <si>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</si>
  <si>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</si>
  <si>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</si>
  <si>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</si>
  <si>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</si>
  <si>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</si>
  <si>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</si>
  <si>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</si>
  <si>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</si>
  <si>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</si>
  <si>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</si>
  <si>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</si>
  <si>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</si>
  <si>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</si>
  <si>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</si>
  <si>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</si>
  <si>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</si>
  <si>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</si>
  <si>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</si>
  <si>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</si>
  <si>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</si>
  <si>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</si>
  <si>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</si>
  <si>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</si>
  <si>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</si>
  <si>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</si>
  <si>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</si>
  <si>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</si>
  <si>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</si>
  <si>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</si>
  <si>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</si>
  <si>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</si>
  <si>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</si>
  <si>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</si>
  <si>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</si>
  <si>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</si>
  <si>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</si>
  <si>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</si>
  <si>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</si>
  <si>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</si>
  <si>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</si>
  <si>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</si>
  <si>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</si>
  <si>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</si>
  <si>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</si>
  <si>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</si>
  <si>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</si>
  <si>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</si>
  <si>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</si>
  <si>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</si>
  <si>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</si>
  <si>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</si>
  <si>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</si>
  <si>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</si>
  <si>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</si>
  <si>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</si>
  <si>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</si>
  <si>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</si>
  <si>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</si>
  <si>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</si>
  <si>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</si>
  <si>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</si>
  <si>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</si>
  <si>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</si>
  <si>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</si>
  <si>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</si>
  <si>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</si>
  <si>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</si>
  <si>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</si>
  <si>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</si>
  <si>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</si>
  <si>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</si>
  <si>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</si>
  <si>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</si>
  <si>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</si>
  <si>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</si>
  <si>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</si>
  <si>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</si>
  <si>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</si>
  <si>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</si>
  <si>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</si>
  <si>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</si>
  <si>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</si>
  <si>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</si>
  <si>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</si>
  <si>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</si>
  <si>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</si>
  <si>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</si>
  <si>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</si>
  <si>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</si>
  <si>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</si>
  <si>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</si>
  <si>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</si>
  <si>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</si>
  <si>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</si>
  <si>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</si>
  <si>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</si>
  <si>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</si>
  <si>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</si>
  <si>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</si>
  <si>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</si>
  <si>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</si>
  <si>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</si>
  <si>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</si>
  <si>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</si>
  <si>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</si>
  <si>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</si>
  <si>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</si>
  <si>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</si>
  <si>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</si>
  <si>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</si>
  <si>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</si>
  <si>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</si>
  <si>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</si>
  <si>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</si>
  <si>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</si>
  <si>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</si>
  <si>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</si>
  <si>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</si>
  <si>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</si>
  <si>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</si>
  <si>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</si>
  <si>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</si>
  <si>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</si>
  <si>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</si>
  <si>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</si>
  <si>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</si>
  <si>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</si>
  <si>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</si>
  <si>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</si>
  <si>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</si>
  <si>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</si>
  <si>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</si>
  <si>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</si>
  <si>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</si>
  <si>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</si>
  <si>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</si>
  <si>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</si>
  <si>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</si>
  <si>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</si>
  <si>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</si>
  <si>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</si>
  <si>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</si>
  <si>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</si>
  <si>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</si>
  <si>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</si>
  <si>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</si>
  <si>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</si>
  <si>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</si>
  <si>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</si>
  <si>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</si>
  <si>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</si>
  <si>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</si>
  <si>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</si>
  <si>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</si>
  <si>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</si>
  <si>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</si>
  <si>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</si>
  <si>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</si>
  <si>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</si>
  <si>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</si>
  <si>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</si>
  <si>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</si>
  <si>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</si>
  <si>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</si>
  <si>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</si>
  <si>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</si>
  <si>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</si>
  <si>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</si>
  <si>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</si>
  <si>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</si>
  <si>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</si>
  <si>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</si>
  <si>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</si>
  <si>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</si>
  <si>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</si>
  <si>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</si>
  <si>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</si>
  <si>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</si>
  <si>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</si>
  <si>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</si>
  <si>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</si>
  <si>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</si>
  <si>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</si>
  <si>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</si>
  <si>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</si>
  <si>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</si>
  <si>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</si>
  <si>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</si>
  <si>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</si>
  <si>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</si>
  <si>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</si>
  <si>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</si>
  <si>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</si>
  <si>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</si>
  <si>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</si>
  <si>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</si>
  <si>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</si>
  <si>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</si>
  <si>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</si>
  <si>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</si>
  <si>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</si>
  <si>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</si>
  <si>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</si>
  <si>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</si>
  <si>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</si>
  <si>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</si>
  <si>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</si>
  <si>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</si>
  <si>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</si>
  <si>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</si>
  <si>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</si>
  <si>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</si>
  <si>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</si>
  <si>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</si>
  <si>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</si>
  <si>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</si>
  <si>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</si>
  <si>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</si>
  <si>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</si>
  <si>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</si>
  <si>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</si>
  <si>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</si>
  <si>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</si>
  <si>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</si>
  <si>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</si>
  <si>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</si>
  <si>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</si>
  <si>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</si>
  <si>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</si>
  <si>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</si>
  <si>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</si>
  <si>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</si>
  <si>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</si>
  <si>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</si>
  <si>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</si>
  <si>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</si>
  <si>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</si>
  <si>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</si>
  <si>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</si>
  <si>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</si>
  <si>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</si>
  <si>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</si>
  <si>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</si>
  <si>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</si>
  <si>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</si>
  <si>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</si>
  <si>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</si>
  <si>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</si>
  <si>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</si>
  <si>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</si>
  <si>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</si>
  <si>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</si>
  <si>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</si>
  <si>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</si>
  <si>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</si>
  <si>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</si>
  <si>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</si>
  <si>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</si>
  <si>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</si>
  <si>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</si>
  <si>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</si>
  <si>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</si>
  <si>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</si>
  <si>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</si>
  <si>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</si>
  <si>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</si>
  <si>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</si>
  <si>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</si>
  <si>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</si>
  <si>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</si>
  <si>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</si>
  <si>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</si>
  <si>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</si>
  <si>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</si>
  <si>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</si>
  <si>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</si>
  <si>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</si>
  <si>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</si>
  <si>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</si>
  <si>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</si>
  <si>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</si>
  <si>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</si>
  <si>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</si>
  <si>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</si>
  <si>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</si>
  <si>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</si>
  <si>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</si>
  <si>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</si>
  <si>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</si>
  <si>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</si>
  <si>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</si>
  <si>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</si>
  <si>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</si>
  <si>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</si>
  <si>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</si>
  <si>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</si>
  <si>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</si>
  <si>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</si>
  <si>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</si>
  <si>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</si>
  <si>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</si>
  <si>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</si>
  <si>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</si>
  <si>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</si>
  <si>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</si>
  <si>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</si>
  <si>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</si>
  <si>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</si>
  <si>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</si>
  <si>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</si>
  <si>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</si>
  <si>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</si>
  <si>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</si>
  <si>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</si>
  <si>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</si>
  <si>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</si>
  <si>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</si>
  <si>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</si>
  <si>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</si>
  <si>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</si>
  <si>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</si>
  <si>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</si>
  <si>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</si>
  <si>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</si>
  <si>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</si>
  <si>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</si>
  <si>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</si>
  <si>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</si>
  <si>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</si>
  <si>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</si>
  <si>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</si>
  <si>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</si>
  <si>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</si>
  <si>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</si>
  <si>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</si>
  <si>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</si>
  <si>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</si>
  <si>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</si>
  <si>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</si>
  <si>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</si>
  <si>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</si>
  <si>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</si>
  <si>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</si>
  <si>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</si>
  <si>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</si>
  <si>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</si>
  <si>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</si>
  <si>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</si>
  <si>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</si>
  <si>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</si>
  <si>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</si>
  <si>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</si>
  <si>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</si>
  <si>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</si>
  <si>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</si>
  <si>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</si>
  <si>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</si>
  <si>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</si>
  <si>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</si>
  <si>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</si>
  <si>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</si>
  <si>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</si>
  <si>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</si>
  <si>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</si>
  <si>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</si>
  <si>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</si>
  <si>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</si>
  <si>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</si>
  <si>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</si>
  <si>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</si>
  <si>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</si>
  <si>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</si>
  <si>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</si>
  <si>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</si>
  <si>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</si>
  <si>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</si>
  <si>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</si>
  <si>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</si>
  <si>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</si>
  <si>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</si>
  <si>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</si>
  <si>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</si>
  <si>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</si>
  <si>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</si>
  <si>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</si>
  <si>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</si>
  <si>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</si>
  <si>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</si>
  <si>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</si>
  <si>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</si>
  <si>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</si>
  <si>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</si>
  <si>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</si>
  <si>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</si>
  <si>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</si>
  <si>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</si>
  <si>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</si>
  <si>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</si>
  <si>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</si>
  <si>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</si>
  <si>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</si>
  <si>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</si>
  <si>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</si>
  <si>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</si>
  <si>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</si>
  <si>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</si>
  <si>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</si>
  <si>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</si>
  <si>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</si>
  <si>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</si>
  <si>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</si>
  <si>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</si>
  <si>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</si>
  <si>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</si>
  <si>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</si>
  <si>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</si>
  <si>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</si>
  <si>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</si>
  <si>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</si>
  <si>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</si>
  <si>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</si>
  <si>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</si>
  <si>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</si>
  <si>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</si>
  <si>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</si>
  <si>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</si>
  <si>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</si>
  <si>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</si>
  <si>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</si>
  <si>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</si>
  <si>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</si>
  <si>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</si>
  <si>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</si>
  <si>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</si>
  <si>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</si>
  <si>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</si>
  <si>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</si>
  <si>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</si>
  <si>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</si>
  <si>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</si>
  <si>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</si>
  <si>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</si>
  <si>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</si>
  <si>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</si>
  <si>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</si>
  <si>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</si>
  <si>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</si>
  <si>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</si>
  <si>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</si>
  <si>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</si>
  <si>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</si>
  <si>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</si>
  <si>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</si>
  <si>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</si>
  <si>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</si>
  <si>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</si>
  <si>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</si>
  <si>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</si>
  <si>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</si>
  <si>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</si>
  <si>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</si>
  <si>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</si>
  <si>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</si>
  <si>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</si>
  <si>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</si>
  <si>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</si>
  <si>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</si>
  <si>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</si>
  <si>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</si>
  <si>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</si>
  <si>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</si>
  <si>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</si>
  <si>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</si>
  <si>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</si>
  <si>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</si>
  <si>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</si>
  <si>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</si>
  <si>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</si>
  <si>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</si>
  <si>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</si>
  <si>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</si>
  <si>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</si>
  <si>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</si>
  <si>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</si>
  <si>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</si>
  <si>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</si>
  <si>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</si>
  <si>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</si>
  <si>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</si>
  <si>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</si>
  <si>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</si>
  <si>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</si>
  <si>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</si>
  <si>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</si>
  <si>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</si>
  <si>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</si>
  <si>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</si>
  <si>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</si>
  <si>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</si>
  <si>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</si>
  <si>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</si>
  <si>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</si>
  <si>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</si>
  <si>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</si>
  <si>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</si>
  <si>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</si>
  <si>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</si>
  <si>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</si>
  <si>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</si>
  <si>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</si>
  <si>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</si>
  <si>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</si>
  <si>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</si>
  <si>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</si>
  <si>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</si>
  <si>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</si>
  <si>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</si>
  <si>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</si>
  <si>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</si>
  <si>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</si>
  <si>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</si>
  <si>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</si>
  <si>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</si>
  <si>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</si>
  <si>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</si>
  <si>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</si>
  <si>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</si>
  <si>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</si>
  <si>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</si>
  <si>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</si>
  <si>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</si>
  <si>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</si>
  <si>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</si>
  <si>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</si>
  <si>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</si>
  <si>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</si>
  <si>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</si>
  <si>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</si>
  <si>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</si>
  <si>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</si>
  <si>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</si>
  <si>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</si>
  <si>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</si>
  <si>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</si>
  <si>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</si>
  <si>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</si>
  <si>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</si>
  <si>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</si>
  <si>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</si>
  <si>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</si>
  <si>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</si>
  <si>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</si>
  <si>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</si>
  <si>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</si>
  <si>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</si>
  <si>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</si>
  <si>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</si>
  <si>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</si>
  <si>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</si>
  <si>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</si>
  <si>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</si>
  <si>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</si>
  <si>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</si>
  <si>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</si>
  <si>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</si>
  <si>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</si>
  <si>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</si>
  <si>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</si>
  <si>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</si>
  <si>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</si>
  <si>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</si>
  <si>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</si>
  <si>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</si>
  <si>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</si>
  <si>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</si>
  <si>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</si>
  <si>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</si>
  <si>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</si>
  <si>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</si>
  <si>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</si>
  <si>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</si>
  <si>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</si>
  <si>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</si>
  <si>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</si>
  <si>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</si>
  <si>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</si>
  <si>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</si>
  <si>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</si>
  <si>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</si>
  <si>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</si>
  <si>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</si>
  <si>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</si>
  <si>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</si>
  <si>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</si>
  <si>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</si>
  <si>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</si>
  <si>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</si>
  <si>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</si>
  <si>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</si>
  <si>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</si>
  <si>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</si>
  <si>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</si>
  <si>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</si>
  <si>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</si>
  <si>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</si>
  <si>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</si>
  <si>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</si>
  <si>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</si>
  <si>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</si>
  <si>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</si>
  <si>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</si>
  <si>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</si>
  <si>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</si>
  <si>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</si>
  <si>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</si>
  <si>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</si>
  <si>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</si>
  <si>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</si>
  <si>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</si>
  <si>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</si>
  <si>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</si>
  <si>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</si>
  <si>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</si>
  <si>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</si>
  <si>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</si>
  <si>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</si>
  <si>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</si>
  <si>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</si>
  <si>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</si>
  <si>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</si>
  <si>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</si>
  <si>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</si>
  <si>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</si>
  <si>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</si>
  <si>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</si>
  <si>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</si>
  <si>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</si>
  <si>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</si>
  <si>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</si>
  <si>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</si>
  <si>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</si>
  <si>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</si>
  <si>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</si>
  <si>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</si>
  <si>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</si>
  <si>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</si>
  <si>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</si>
  <si>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</si>
  <si>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</si>
  <si>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</si>
  <si>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</si>
  <si>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</si>
  <si>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</si>
  <si>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</si>
  <si>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</si>
  <si>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</si>
  <si>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</si>
  <si>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</si>
  <si>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</si>
  <si>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</si>
  <si>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</si>
  <si>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</si>
  <si>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</si>
  <si>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</si>
  <si>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</si>
  <si>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</si>
  <si>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</si>
  <si>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</si>
  <si>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</si>
  <si>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</si>
  <si>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</si>
  <si>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</si>
  <si>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</si>
  <si>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</si>
  <si>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</si>
  <si>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</si>
  <si>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</si>
  <si>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</si>
  <si>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</si>
  <si>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</si>
  <si>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</si>
  <si>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</si>
  <si>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</si>
  <si>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</si>
  <si>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</si>
  <si>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</si>
  <si>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</si>
  <si>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</si>
  <si>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</si>
  <si>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</si>
  <si>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</si>
  <si>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</si>
  <si>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</si>
  <si>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</si>
  <si>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</si>
  <si>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</si>
  <si>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</si>
  <si>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</si>
  <si>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</si>
  <si>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</si>
  <si>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</si>
  <si>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</si>
  <si>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</si>
  <si>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</si>
  <si>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</si>
  <si>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</si>
  <si>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</si>
  <si>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</si>
  <si>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</si>
  <si>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</si>
  <si>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</si>
  <si>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</si>
  <si>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</si>
  <si>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</si>
  <si>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</si>
  <si>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</si>
  <si>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</si>
  <si>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</si>
  <si>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</si>
  <si>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</si>
  <si>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</si>
  <si>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</si>
  <si>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</si>
  <si>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</si>
  <si>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</si>
  <si>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</si>
  <si>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</si>
  <si>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</si>
  <si>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</si>
  <si>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</si>
  <si>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</si>
  <si>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</si>
  <si>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</si>
  <si>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</si>
  <si>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</si>
  <si>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</si>
  <si>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</si>
  <si>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</si>
  <si>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</si>
  <si>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</si>
  <si>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</si>
  <si>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</si>
  <si>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</si>
  <si>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</si>
  <si>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</si>
  <si>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</si>
  <si>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</si>
  <si>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</si>
  <si>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</si>
  <si>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</si>
  <si>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</si>
  <si>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</si>
  <si>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</si>
  <si>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</si>
  <si>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</si>
  <si>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</si>
  <si>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</si>
  <si>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</si>
  <si>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</si>
  <si>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</si>
  <si>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</si>
  <si>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</si>
  <si>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</si>
  <si>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</si>
  <si>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</si>
  <si>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</si>
  <si>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</si>
  <si>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</si>
  <si>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</si>
  <si>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</si>
  <si>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</si>
  <si>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</si>
  <si>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</si>
  <si>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</si>
  <si>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</si>
  <si>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</si>
  <si>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</si>
  <si>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</si>
  <si>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</si>
  <si>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</si>
  <si>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</si>
  <si>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</si>
  <si>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</si>
  <si>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</si>
  <si>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</si>
  <si>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</si>
  <si>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</si>
  <si>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</si>
  <si>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</si>
  <si>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</si>
  <si>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</si>
  <si>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</si>
  <si>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</si>
  <si>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</si>
  <si>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</si>
  <si>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</si>
  <si>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</si>
  <si>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</si>
  <si>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</si>
  <si>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</si>
  <si>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</si>
  <si>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</si>
  <si>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</si>
  <si>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</si>
  <si>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</si>
  <si>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</si>
  <si>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</si>
  <si>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</si>
  <si>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</si>
  <si>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</si>
  <si>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</si>
  <si>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</si>
  <si>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</si>
  <si>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</si>
  <si>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</si>
  <si>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</si>
  <si>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</si>
  <si>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</si>
  <si>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</si>
  <si>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</si>
  <si>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</si>
  <si>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</si>
  <si>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</si>
  <si>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</si>
  <si>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</si>
  <si>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</si>
  <si>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</si>
  <si>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</si>
  <si>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</si>
  <si>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</si>
  <si>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</si>
  <si>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</si>
  <si>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</si>
  <si>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</si>
  <si>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</si>
  <si>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</si>
  <si>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</si>
  <si>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</si>
  <si>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</si>
  <si>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</si>
  <si>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</si>
  <si>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</si>
  <si>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</si>
  <si>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</si>
  <si>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</si>
  <si>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</si>
  <si>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</si>
  <si>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</si>
  <si>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</si>
  <si>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</si>
  <si>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</si>
  <si>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</si>
  <si>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</si>
  <si>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</si>
  <si>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</si>
  <si>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</si>
  <si>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</si>
  <si>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</si>
  <si>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</si>
  <si>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</si>
  <si>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</si>
  <si>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</si>
  <si>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</si>
  <si>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</si>
  <si>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</si>
  <si>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</si>
  <si>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</si>
  <si>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</si>
  <si>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</si>
  <si>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</si>
  <si>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</si>
  <si>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</si>
  <si>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</si>
  <si>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</si>
  <si>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</si>
  <si>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</si>
  <si>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</si>
  <si>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</si>
  <si>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</si>
  <si>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</si>
  <si>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</si>
  <si>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</si>
  <si>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</si>
  <si>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</si>
  <si>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</si>
  <si>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</si>
  <si>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</si>
  <si>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</si>
  <si>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</si>
  <si>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</si>
  <si>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</si>
  <si>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</si>
  <si>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</si>
  <si>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</si>
  <si>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</si>
  <si>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</si>
  <si>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</si>
  <si>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</si>
  <si>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</si>
  <si>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</si>
  <si>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</si>
  <si>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</si>
  <si>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</si>
  <si>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</si>
  <si>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</si>
  <si>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</si>
  <si>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</si>
  <si>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</si>
  <si>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</si>
  <si>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</si>
  <si>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</si>
  <si>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</si>
  <si>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</si>
  <si>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</si>
  <si>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</si>
  <si>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</si>
  <si>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</si>
  <si>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</si>
  <si>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</si>
  <si>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</si>
  <si>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</si>
  <si>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</si>
  <si>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</si>
  <si>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</si>
  <si>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</si>
  <si>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</si>
  <si>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</si>
  <si>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</si>
  <si>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</si>
  <si>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</si>
  <si>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</si>
  <si>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</si>
  <si>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</si>
  <si>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</si>
  <si>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</si>
  <si>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</si>
  <si>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</si>
  <si>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</si>
  <si>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</si>
  <si>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</si>
  <si>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</si>
  <si>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</si>
  <si>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</si>
  <si>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</si>
  <si>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</si>
  <si>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</si>
  <si>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</si>
  <si>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</si>
  <si>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</si>
  <si>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</si>
  <si>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</si>
  <si>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</si>
  <si>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</si>
  <si>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</si>
  <si>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</si>
  <si>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</si>
  <si>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</si>
  <si>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</si>
  <si>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</si>
  <si>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</si>
  <si>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</si>
  <si>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</si>
  <si>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</si>
  <si>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</si>
  <si>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</si>
  <si>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</si>
  <si>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</si>
  <si>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</si>
  <si>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</si>
  <si>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</si>
  <si>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</si>
  <si>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</si>
  <si>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</si>
  <si>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</si>
  <si>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</si>
  <si>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</si>
  <si>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</si>
  <si>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</si>
  <si>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</si>
  <si>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</si>
  <si>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</si>
  <si>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</si>
  <si>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</si>
  <si>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</si>
  <si>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</si>
  <si>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</si>
  <si>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</si>
  <si>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</si>
  <si>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</si>
  <si>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</si>
  <si>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</si>
  <si>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</si>
  <si>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</si>
  <si>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</si>
  <si>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</si>
  <si>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</si>
  <si>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</si>
  <si>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</si>
  <si>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</si>
  <si>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</si>
  <si>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</si>
  <si>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</si>
  <si>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</si>
  <si>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</si>
  <si>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</si>
  <si>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</si>
  <si>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</si>
  <si>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</si>
  <si>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</si>
  <si>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</si>
  <si>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</si>
  <si>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</si>
  <si>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</si>
  <si>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</si>
  <si>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</si>
  <si>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</si>
  <si>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</si>
  <si>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</si>
  <si>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</si>
  <si>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</si>
  <si>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</si>
  <si>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</si>
  <si>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</si>
  <si>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</si>
  <si>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</si>
  <si>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</si>
  <si>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</si>
  <si>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</si>
  <si>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</si>
  <si>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</si>
  <si>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</si>
  <si>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</si>
  <si>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</si>
  <si>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</si>
  <si>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</si>
  <si>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</si>
  <si>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</si>
  <si>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</si>
  <si>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</si>
  <si>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</si>
  <si>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</si>
  <si>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</si>
  <si>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</si>
  <si>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</si>
  <si>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</si>
  <si>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</si>
  <si>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</si>
  <si>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</si>
  <si>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</si>
  <si>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</si>
  <si>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</si>
  <si>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</si>
  <si>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</si>
  <si>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</si>
  <si>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</si>
  <si>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</si>
  <si>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</si>
  <si>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</si>
  <si>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</si>
  <si>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</si>
  <si>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</si>
  <si>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</si>
  <si>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</si>
  <si>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</si>
  <si>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</si>
  <si>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</si>
  <si>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</si>
  <si>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</si>
  <si>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</si>
  <si>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</si>
  <si>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</si>
  <si>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</si>
  <si>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</si>
  <si>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</si>
  <si>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</si>
  <si>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</si>
  <si>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</si>
  <si>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</si>
  <si>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</si>
  <si>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</si>
  <si>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</si>
  <si>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</si>
  <si>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</si>
  <si>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</si>
  <si>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</si>
  <si>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</si>
  <si>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</si>
  <si>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</si>
  <si>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</si>
  <si>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</si>
  <si>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</si>
  <si>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</si>
  <si>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</si>
  <si>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</si>
  <si>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</si>
  <si>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</si>
  <si>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</si>
  <si>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</si>
  <si>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</si>
  <si>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</si>
  <si>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</si>
  <si>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</si>
  <si>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</si>
  <si>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</si>
  <si>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</si>
  <si>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</si>
  <si>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</si>
  <si>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</si>
  <si>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</si>
  <si>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</si>
  <si>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</si>
  <si>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</si>
  <si>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</si>
  <si>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</si>
  <si>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</si>
  <si>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</si>
  <si>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</si>
  <si>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</si>
  <si>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</si>
  <si>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</si>
  <si>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</si>
  <si>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</si>
  <si>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</si>
  <si>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</si>
  <si>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</si>
  <si>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</si>
  <si>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</si>
  <si>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</si>
  <si>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</si>
  <si>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</si>
  <si>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</si>
  <si>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</si>
  <si>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</si>
  <si>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</si>
  <si>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</si>
  <si>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</si>
  <si>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</si>
  <si>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</si>
  <si>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</si>
  <si>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</si>
  <si>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</si>
  <si>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</si>
  <si>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</si>
  <si>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</si>
  <si>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</si>
  <si>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</si>
  <si>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</si>
  <si>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</si>
  <si>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</si>
  <si>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</si>
  <si>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</si>
  <si>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</si>
  <si>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</si>
  <si>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</si>
  <si>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</si>
  <si>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</si>
  <si>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</si>
  <si>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</si>
  <si>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</si>
  <si>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</si>
  <si>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</si>
  <si>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</si>
  <si>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</si>
  <si>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</si>
  <si>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</si>
  <si>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</si>
  <si>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</si>
  <si>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</si>
  <si>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</si>
  <si>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</si>
  <si>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</si>
  <si>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</si>
  <si>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</si>
  <si>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</si>
  <si>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</si>
  <si>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</si>
  <si>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</si>
  <si>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</si>
  <si>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</si>
  <si>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</si>
  <si>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</si>
  <si>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</si>
  <si>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</si>
  <si>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</si>
  <si>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</si>
  <si>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</si>
  <si>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</si>
  <si>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</si>
  <si>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</si>
  <si>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</si>
  <si>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</si>
  <si>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</si>
  <si>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</si>
  <si>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</si>
  <si>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</si>
  <si>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</si>
  <si>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</si>
  <si>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</si>
  <si>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</si>
  <si>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</si>
  <si>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</si>
  <si>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</si>
  <si>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</si>
  <si>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</si>
  <si>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</si>
  <si>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</si>
  <si>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</si>
  <si>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</si>
  <si>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</si>
  <si>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</si>
  <si>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</si>
  <si>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</si>
  <si>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</si>
  <si>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</si>
  <si>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</si>
  <si>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</si>
  <si>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</si>
  <si>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</si>
  <si>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</si>
  <si>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</si>
  <si>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</si>
  <si>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</si>
  <si>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</si>
  <si>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</si>
  <si>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</si>
  <si>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</si>
  <si>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</si>
  <si>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</si>
  <si>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</si>
  <si>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</si>
  <si>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</si>
  <si>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</si>
  <si>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</si>
  <si>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</si>
  <si>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</si>
  <si>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</si>
  <si>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</si>
  <si>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</si>
  <si>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</si>
  <si>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</si>
  <si>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</si>
  <si>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</si>
  <si>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</si>
  <si>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</si>
  <si>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</si>
  <si>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</si>
  <si>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</si>
  <si>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</si>
  <si>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</si>
  <si>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</si>
  <si>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</si>
  <si>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</si>
  <si>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</si>
  <si>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</si>
  <si>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</si>
  <si>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</si>
  <si>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</si>
  <si>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</si>
  <si>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</si>
  <si>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</si>
  <si>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</si>
  <si>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</si>
  <si>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</si>
  <si>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</si>
  <si>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</si>
  <si>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</si>
  <si>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</si>
  <si>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</si>
  <si>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</si>
  <si>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</si>
  <si>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</si>
  <si>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</si>
  <si>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</si>
  <si>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</si>
  <si>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</si>
  <si>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</si>
  <si>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</si>
  <si>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</si>
  <si>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</si>
  <si>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</si>
  <si>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</si>
  <si>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</si>
  <si>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</si>
  <si>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</si>
  <si>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</si>
  <si>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</si>
  <si>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</si>
  <si>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</si>
  <si>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</si>
  <si>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</si>
  <si>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</si>
  <si>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</si>
  <si>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</si>
  <si>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</si>
  <si>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</si>
  <si>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</si>
  <si>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</si>
  <si>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</si>
  <si>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</si>
  <si>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</si>
  <si>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</si>
  <si>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</si>
  <si>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</si>
  <si>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</si>
  <si>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</si>
  <si>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</si>
  <si>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</si>
  <si>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</si>
  <si>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</si>
  <si>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</si>
  <si>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</si>
  <si>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</si>
  <si>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</si>
  <si>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</si>
  <si>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</si>
  <si>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</si>
  <si>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</si>
  <si>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</si>
  <si>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</si>
  <si>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</si>
  <si>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</si>
  <si>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</si>
  <si>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</si>
  <si>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</si>
  <si>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</si>
  <si>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</si>
  <si>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</si>
  <si>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</si>
  <si>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</si>
  <si>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</si>
  <si>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</si>
  <si>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</si>
  <si>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</si>
  <si>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</si>
  <si>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</si>
  <si>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</si>
  <si>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</si>
  <si>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</si>
  <si>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</si>
  <si>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</si>
  <si>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</si>
  <si>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</si>
  <si>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</si>
  <si>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</si>
  <si>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</si>
  <si>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</si>
  <si>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</si>
  <si>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</si>
  <si>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</si>
  <si>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</si>
  <si>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</si>
  <si>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</si>
  <si>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</si>
  <si>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</si>
  <si>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</si>
  <si>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</si>
  <si>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</si>
  <si>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</si>
  <si>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</si>
  <si>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</si>
  <si>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</si>
  <si>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</si>
  <si>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</si>
  <si>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</si>
  <si>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</si>
  <si>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</si>
  <si>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</si>
  <si>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</si>
  <si>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</si>
  <si>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</si>
  <si>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</si>
  <si>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</si>
  <si>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</si>
  <si>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</si>
  <si>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</si>
  <si>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</si>
  <si>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</si>
  <si>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</si>
  <si>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</si>
  <si>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</si>
  <si>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</si>
  <si>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</si>
  <si>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</si>
  <si>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</si>
  <si>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</si>
  <si>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</si>
  <si>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</si>
  <si>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</si>
  <si>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</si>
  <si>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</si>
  <si>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</si>
  <si>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</si>
  <si>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</si>
  <si>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</si>
  <si>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</si>
  <si>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</si>
  <si>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</si>
  <si>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</si>
  <si>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</si>
  <si>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</si>
  <si>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</si>
  <si>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</si>
  <si>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</si>
  <si>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</si>
  <si>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</si>
  <si>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</si>
  <si>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</si>
  <si>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</si>
  <si>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</si>
  <si>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</si>
  <si>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</si>
  <si>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</si>
  <si>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</si>
  <si>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</si>
  <si>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</si>
  <si>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</si>
  <si>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</si>
  <si>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</si>
  <si>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</si>
  <si>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</si>
  <si>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</si>
  <si>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</si>
  <si>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</si>
  <si>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</si>
  <si>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</si>
  <si>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</si>
  <si>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</si>
  <si>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</si>
  <si>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</si>
  <si>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</si>
  <si>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</si>
  <si>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</si>
  <si>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</si>
  <si>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</si>
  <si>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</si>
  <si>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</si>
  <si>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</si>
  <si>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</si>
  <si>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</si>
  <si>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</si>
  <si>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</si>
  <si>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</si>
  <si>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</si>
  <si>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</si>
  <si>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</si>
  <si>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</si>
  <si>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</si>
  <si>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</si>
  <si>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</si>
  <si>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</si>
  <si>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</si>
  <si>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</si>
  <si>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</si>
  <si>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</si>
  <si>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</si>
  <si>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</si>
  <si>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</si>
  <si>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</si>
  <si>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</si>
  <si>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</si>
  <si>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</si>
  <si>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</si>
  <si>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</si>
  <si>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</si>
  <si>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</si>
  <si>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</si>
  <si>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</si>
  <si>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</si>
  <si>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</si>
  <si>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</si>
  <si>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</si>
  <si>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</si>
  <si>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</si>
  <si>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</si>
  <si>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</si>
  <si>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</si>
  <si>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</si>
  <si>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</si>
  <si>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</si>
  <si>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</si>
  <si>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</si>
  <si>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</si>
  <si>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</si>
  <si>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</si>
  <si>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</si>
  <si>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</si>
  <si>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</si>
  <si>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</si>
  <si>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</si>
  <si>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</si>
  <si>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</si>
  <si>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</si>
  <si>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</si>
  <si>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</si>
  <si>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</si>
  <si>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</si>
  <si>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</si>
  <si>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</si>
  <si>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</si>
  <si>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</si>
  <si>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</si>
  <si>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</si>
  <si>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</si>
  <si>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</si>
  <si>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</si>
  <si>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</si>
  <si>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</si>
  <si>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</si>
  <si>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</si>
  <si>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</si>
  <si>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</si>
  <si>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</si>
  <si>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</si>
  <si>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</si>
  <si>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</si>
  <si>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</si>
  <si>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</si>
  <si>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</si>
  <si>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</si>
  <si>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</si>
  <si>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</si>
  <si>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</si>
  <si>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</si>
  <si>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</si>
  <si>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</si>
  <si>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</si>
  <si>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</si>
  <si>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</si>
  <si>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</si>
  <si>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</si>
  <si>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</si>
  <si>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</si>
  <si>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</si>
  <si>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</si>
  <si>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</si>
  <si>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</si>
  <si>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</si>
  <si>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</si>
  <si>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</si>
  <si>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</si>
  <si>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</si>
  <si>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</si>
  <si>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</si>
  <si>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</si>
  <si>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</si>
  <si>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</si>
  <si>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</si>
  <si>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</si>
  <si>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</si>
  <si>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</si>
  <si>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</si>
  <si>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</si>
  <si>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</si>
  <si>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</si>
  <si>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</si>
  <si>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</si>
  <si>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</si>
  <si>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</si>
  <si>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</si>
  <si>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</si>
  <si>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</si>
  <si>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</si>
  <si>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</si>
  <si>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</si>
  <si>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</si>
  <si>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</si>
  <si>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</si>
  <si>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</si>
  <si>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</si>
  <si>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</si>
  <si>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</si>
  <si>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</si>
  <si>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</si>
  <si>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</si>
  <si>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</si>
  <si>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</si>
  <si>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</si>
  <si>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</si>
  <si>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</si>
  <si>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</si>
  <si>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</si>
  <si>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</si>
  <si>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</si>
  <si>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</si>
  <si>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</si>
  <si>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</si>
  <si>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</si>
  <si>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</si>
  <si>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</si>
  <si>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</si>
  <si>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</si>
  <si>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</si>
  <si>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</si>
  <si>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</si>
  <si>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</si>
  <si>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</si>
  <si>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</si>
  <si>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</si>
  <si>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</si>
  <si>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</si>
  <si>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</si>
  <si>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</si>
  <si>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</si>
  <si>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</si>
  <si>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</si>
  <si>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</si>
  <si>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</si>
  <si>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</si>
  <si>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</si>
  <si>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</si>
  <si>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</si>
  <si>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</si>
  <si>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</si>
  <si>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</si>
  <si>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</si>
  <si>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</si>
  <si>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</si>
  <si>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</si>
  <si>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</si>
  <si>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</si>
  <si>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</si>
  <si>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</si>
  <si>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</si>
  <si>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</si>
  <si>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</si>
  <si>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</si>
  <si>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</si>
  <si>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</si>
  <si>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</si>
  <si>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</si>
  <si>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</si>
  <si>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</si>
  <si>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</si>
  <si>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</si>
  <si>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</si>
  <si>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</si>
  <si>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</si>
  <si>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</si>
  <si>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</si>
  <si>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</si>
  <si>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</si>
  <si>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</si>
  <si>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</si>
  <si>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</si>
  <si>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</si>
  <si>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</si>
  <si>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</si>
  <si>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</si>
  <si>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</si>
  <si>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</si>
  <si>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</si>
  <si>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</si>
  <si>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</si>
  <si>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</si>
  <si>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</si>
  <si>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</si>
  <si>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</si>
  <si>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</si>
  <si>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</si>
  <si>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</si>
  <si>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</si>
  <si>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</si>
  <si>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</si>
  <si>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</si>
  <si>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</si>
  <si>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</si>
  <si>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</si>
  <si>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</si>
  <si>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</si>
  <si>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</si>
  <si>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</si>
  <si>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</si>
  <si>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</si>
  <si>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</si>
  <si>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</si>
  <si>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</si>
  <si>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</si>
  <si>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</si>
  <si>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</si>
  <si>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</si>
  <si>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</si>
  <si>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</si>
  <si>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</si>
  <si>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</si>
  <si>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</si>
  <si>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</si>
  <si>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</si>
  <si>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</si>
  <si>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</si>
  <si>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</si>
  <si>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</si>
  <si>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</si>
  <si>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</si>
  <si>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</si>
  <si>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</si>
  <si>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</si>
  <si>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</si>
  <si>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</si>
  <si>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</si>
  <si>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</si>
  <si>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</si>
  <si>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</si>
  <si>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</si>
  <si>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</si>
  <si>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</si>
  <si>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</si>
  <si>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</si>
  <si>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</si>
  <si>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</si>
  <si>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</si>
  <si>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</si>
  <si>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</si>
  <si>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</si>
  <si>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</si>
  <si>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</si>
  <si>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</si>
  <si>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</si>
  <si>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</si>
  <si>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</si>
  <si>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</si>
  <si>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</si>
  <si>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</si>
  <si>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</si>
  <si>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</si>
  <si>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</si>
  <si>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</si>
  <si>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</si>
  <si>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</si>
  <si>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</si>
  <si>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</si>
  <si>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</si>
  <si>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</si>
  <si>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</si>
  <si>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</si>
  <si>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</si>
  <si>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</si>
  <si>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</si>
  <si>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</si>
  <si>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</si>
  <si>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</si>
  <si>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</si>
  <si>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</si>
  <si>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</si>
  <si>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</si>
  <si>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</si>
  <si>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</si>
  <si>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</si>
  <si>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</si>
  <si>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</si>
  <si>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</si>
  <si>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</si>
  <si>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</si>
  <si>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</si>
  <si>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</si>
  <si>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</si>
  <si>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</si>
  <si>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</si>
  <si>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</si>
  <si>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</si>
  <si>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</si>
  <si>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</si>
  <si>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</si>
  <si>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</si>
  <si>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</si>
  <si>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</si>
  <si>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</si>
  <si>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</si>
  <si>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</si>
  <si>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</si>
  <si>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</si>
  <si>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</si>
  <si>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</si>
  <si>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</si>
  <si>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</si>
  <si>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</si>
  <si>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</si>
  <si>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</si>
  <si>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</si>
  <si>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</si>
  <si>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</si>
  <si>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</si>
  <si>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</si>
  <si>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</si>
  <si>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</si>
  <si>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</si>
  <si>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</si>
  <si>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</si>
  <si>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</si>
  <si>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</si>
  <si>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</si>
  <si>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</si>
  <si>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</si>
  <si>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</si>
  <si>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</si>
  <si>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</si>
  <si>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</si>
  <si>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</si>
  <si>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</si>
  <si>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</si>
  <si>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</si>
  <si>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</si>
  <si>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</si>
  <si>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</si>
  <si>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</si>
  <si>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</si>
  <si>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</si>
  <si>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</si>
  <si>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</si>
  <si>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</si>
  <si>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</si>
  <si>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</si>
  <si>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</si>
  <si>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</si>
  <si>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</si>
  <si>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</si>
  <si>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</si>
  <si>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</si>
  <si>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</si>
  <si>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</si>
  <si>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</si>
  <si>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</si>
  <si>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</si>
  <si>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</si>
  <si>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</si>
  <si>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</si>
  <si>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</si>
  <si>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</si>
  <si>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</si>
  <si>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</si>
  <si>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</si>
  <si>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</si>
  <si>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</si>
  <si>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</si>
  <si>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</si>
  <si>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</si>
  <si>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</si>
  <si>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</si>
  <si>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</si>
  <si>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</si>
  <si>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</si>
  <si>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</si>
  <si>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</si>
  <si>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</si>
  <si>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</si>
  <si>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</si>
  <si>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</si>
  <si>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</si>
  <si>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</si>
  <si>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</si>
  <si>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</si>
  <si>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</si>
  <si>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</si>
  <si>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</si>
  <si>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</si>
  <si>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</si>
  <si>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</si>
  <si>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</si>
  <si>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</si>
  <si>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</si>
  <si>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</si>
  <si>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</si>
  <si>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</si>
  <si>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</si>
  <si>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</si>
  <si>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</si>
  <si>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</si>
  <si>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</si>
  <si>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</si>
  <si>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</si>
  <si>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</si>
  <si>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</si>
  <si>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</si>
  <si>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</si>
  <si>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</si>
  <si>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</si>
  <si>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</si>
  <si>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</si>
  <si>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</si>
  <si>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</si>
  <si>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</si>
  <si>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</si>
  <si>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</si>
  <si>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</si>
  <si>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</si>
  <si>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</si>
  <si>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</si>
  <si>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</si>
  <si>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</si>
  <si>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</si>
  <si>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</si>
  <si>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</si>
  <si>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</si>
  <si>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</si>
  <si>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</si>
  <si>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</si>
  <si>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</si>
  <si>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</si>
  <si>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</si>
  <si>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</si>
  <si>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</si>
  <si>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</si>
  <si>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</si>
  <si>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</si>
  <si>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</si>
  <si>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</si>
  <si>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</si>
  <si>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</si>
  <si>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</si>
  <si>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</si>
  <si>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</si>
  <si>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</si>
  <si>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</si>
  <si>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</si>
  <si>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</si>
  <si>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</si>
  <si>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</si>
  <si>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</si>
  <si>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</si>
  <si>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</si>
  <si>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</si>
  <si>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</si>
  <si>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</si>
  <si>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</si>
  <si>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</si>
  <si>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</si>
  <si>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</si>
  <si>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</si>
  <si>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</si>
  <si>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</si>
  <si>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</si>
  <si>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</si>
  <si>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</si>
  <si>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</si>
  <si>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</si>
  <si>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</si>
  <si>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</si>
  <si>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</si>
  <si>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</si>
  <si>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</si>
  <si>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</si>
  <si>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</si>
  <si>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</si>
  <si>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</si>
  <si>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</si>
  <si>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</si>
  <si>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</si>
  <si>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</si>
  <si>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</si>
  <si>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</si>
  <si>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</si>
  <si>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</si>
  <si>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</si>
  <si>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</si>
  <si>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</si>
  <si>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</si>
  <si>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</si>
  <si>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</si>
  <si>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</si>
  <si>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</si>
  <si>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</si>
  <si>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</si>
  <si>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</si>
  <si>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</si>
  <si>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</si>
  <si>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</si>
  <si>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</si>
  <si>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</si>
  <si>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</si>
  <si>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</si>
  <si>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</si>
  <si>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</si>
  <si>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</si>
  <si>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</si>
  <si>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</si>
  <si>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</si>
  <si>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</si>
  <si>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</si>
  <si>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</si>
  <si>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</si>
  <si>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</si>
  <si>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</si>
  <si>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</si>
  <si>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</si>
  <si>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</si>
  <si>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</si>
  <si>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</si>
  <si>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</si>
  <si>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</si>
  <si>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</si>
  <si>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</si>
  <si>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</si>
  <si>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</si>
  <si>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</si>
  <si>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</si>
  <si>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</si>
  <si>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</si>
  <si>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</si>
  <si>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</si>
  <si>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</si>
  <si>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</si>
  <si>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</si>
  <si>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</si>
  <si>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</si>
  <si>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</si>
  <si>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</si>
  <si>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</si>
  <si>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</si>
  <si>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</si>
  <si>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</si>
  <si>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</si>
  <si>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</si>
  <si>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</si>
  <si>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</si>
  <si>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</si>
  <si>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</si>
  <si>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</si>
  <si>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</si>
  <si>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</si>
  <si>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</si>
  <si>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</si>
  <si>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</si>
  <si>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</si>
  <si>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</si>
  <si>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</si>
  <si>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</si>
  <si>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</si>
  <si>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</si>
  <si>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</si>
  <si>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</si>
  <si>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</si>
  <si>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</si>
  <si>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</si>
  <si>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</si>
  <si>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</si>
  <si>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</si>
  <si>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</si>
  <si>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</si>
  <si>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</si>
  <si>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</si>
  <si>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</si>
  <si>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</si>
  <si>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</si>
  <si>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</si>
  <si>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</si>
  <si>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</si>
  <si>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</si>
  <si>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</si>
  <si>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</si>
  <si>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</si>
  <si>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</si>
  <si>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</si>
  <si>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</si>
  <si>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</si>
  <si>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</si>
  <si>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</si>
  <si>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</si>
  <si>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</si>
  <si>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</si>
  <si>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</si>
  <si>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</si>
  <si>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</si>
  <si>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</si>
  <si>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</si>
  <si>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</si>
  <si>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</si>
  <si>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</si>
  <si>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</si>
  <si>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</si>
  <si>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</si>
  <si>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</si>
  <si>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</si>
  <si>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</si>
  <si>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</si>
  <si>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</si>
  <si>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</si>
  <si>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</si>
  <si>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</si>
  <si>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</si>
  <si>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</si>
  <si>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</si>
  <si>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</si>
  <si>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</si>
  <si>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</si>
  <si>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</si>
  <si>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</si>
  <si>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</si>
  <si>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</si>
  <si>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</si>
  <si>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</si>
  <si>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</si>
  <si>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</si>
  <si>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</si>
  <si>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</si>
  <si>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</si>
  <si>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</si>
  <si>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</si>
  <si>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</si>
  <si>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</si>
  <si>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</si>
  <si>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</si>
  <si>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</si>
  <si>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</si>
  <si>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</si>
  <si>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</si>
  <si>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</si>
  <si>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</si>
  <si>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</si>
  <si>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</si>
  <si>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</si>
  <si>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</si>
  <si>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</si>
  <si>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</si>
  <si>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</si>
  <si>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</si>
  <si>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</si>
  <si>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</si>
  <si>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</si>
  <si>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</si>
  <si>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</si>
  <si>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</si>
  <si>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</si>
  <si>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</si>
  <si>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</si>
  <si>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</si>
  <si>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</si>
  <si>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</si>
  <si>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</si>
  <si>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</si>
  <si>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</si>
  <si>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</si>
  <si>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</si>
  <si>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</si>
  <si>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</si>
  <si>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</si>
  <si>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</si>
  <si>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</si>
  <si>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</si>
  <si>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</si>
  <si>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</si>
  <si>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</si>
  <si>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</si>
  <si>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</si>
  <si>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</si>
  <si>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</si>
  <si>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</si>
  <si>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</si>
  <si>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</si>
  <si>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</si>
  <si>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</si>
  <si>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</si>
  <si>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</si>
  <si>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</si>
  <si>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</si>
  <si>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</si>
  <si>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</si>
  <si>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</si>
  <si>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</si>
  <si>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</si>
  <si>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</si>
  <si>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</si>
  <si>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</si>
  <si>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</si>
  <si>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</si>
  <si>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</si>
  <si>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</si>
  <si>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</si>
  <si>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</si>
  <si>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</si>
  <si>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</si>
  <si>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</si>
  <si>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</si>
  <si>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</si>
  <si>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</si>
  <si>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</si>
  <si>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</si>
  <si>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</si>
  <si>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</si>
  <si>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</si>
  <si>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</si>
  <si>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</si>
  <si>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</si>
  <si>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</si>
  <si>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</si>
  <si>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</si>
  <si>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</si>
  <si>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</si>
  <si>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</si>
  <si>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</si>
  <si>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</si>
  <si>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</si>
  <si>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</si>
  <si>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</si>
  <si>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</si>
  <si>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</si>
  <si>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</si>
  <si>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</si>
  <si>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</si>
  <si>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</si>
  <si>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</si>
  <si>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</si>
  <si>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</si>
  <si>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</si>
  <si>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</si>
  <si>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</si>
  <si>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</si>
  <si>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</si>
  <si>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</si>
  <si>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</si>
  <si>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</si>
  <si>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</si>
  <si>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</si>
  <si>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</si>
  <si>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</si>
  <si>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</si>
  <si>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</si>
  <si>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</si>
  <si>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</si>
  <si>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</si>
  <si>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</si>
  <si>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</si>
  <si>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</si>
  <si>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</si>
  <si>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</si>
  <si>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</si>
  <si>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</si>
  <si>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</si>
  <si>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</si>
  <si>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</si>
  <si>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</si>
  <si>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</si>
  <si>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</si>
  <si>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</si>
  <si>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</si>
  <si>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</si>
  <si>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</si>
  <si>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</si>
  <si>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</si>
  <si>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</si>
  <si>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</si>
  <si>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</si>
  <si>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</si>
  <si>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</si>
  <si>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</si>
  <si>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</si>
  <si>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</si>
  <si>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</si>
  <si>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</si>
  <si>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</si>
  <si>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</si>
  <si>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</si>
  <si>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</si>
  <si>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</si>
  <si>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</si>
  <si>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</si>
  <si>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</si>
  <si>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</si>
  <si>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</si>
  <si>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</si>
  <si>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</si>
  <si>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</si>
  <si>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</si>
  <si>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</si>
  <si>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</si>
  <si>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</si>
  <si>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</si>
  <si>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</si>
  <si>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</si>
  <si>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</si>
  <si>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</si>
  <si>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</si>
  <si>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</si>
  <si>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</si>
  <si>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</si>
  <si>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</si>
  <si>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</si>
  <si>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</si>
  <si>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</si>
  <si>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</si>
  <si>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</si>
  <si>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</si>
  <si>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</si>
  <si>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</si>
  <si>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</si>
  <si>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</si>
  <si>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</si>
  <si>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</si>
  <si>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</si>
  <si>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</si>
  <si>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</si>
  <si>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</si>
  <si>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</si>
  <si>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</si>
  <si>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</si>
  <si>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</si>
  <si>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</si>
  <si>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</si>
  <si>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</si>
  <si>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</si>
  <si>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</si>
  <si>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</si>
  <si>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</si>
  <si>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</si>
  <si>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</si>
  <si>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</si>
  <si>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</si>
  <si>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</si>
  <si>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</si>
  <si>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</si>
  <si>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</si>
  <si>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</si>
  <si>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</si>
  <si>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</si>
  <si>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</si>
  <si>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</si>
  <si>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</si>
  <si>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</si>
  <si>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</si>
  <si>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</si>
  <si>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</si>
  <si>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</si>
  <si>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</si>
  <si>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</si>
  <si>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</si>
  <si>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</si>
  <si>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</si>
  <si>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</si>
  <si>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</si>
  <si>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</si>
  <si>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</si>
  <si>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</si>
  <si>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</si>
  <si>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</si>
  <si>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</si>
  <si>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</si>
  <si>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</si>
  <si>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</si>
  <si>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</si>
  <si>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</si>
  <si>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</si>
  <si>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</si>
  <si>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</si>
  <si>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</si>
  <si>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</si>
  <si>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</si>
  <si>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</si>
  <si>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</si>
  <si>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</si>
  <si>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</si>
  <si>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</si>
  <si>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</si>
  <si>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</si>
  <si>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</si>
  <si>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</si>
  <si>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</si>
  <si>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</si>
  <si>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</si>
  <si>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</si>
  <si>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</si>
  <si>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</si>
  <si>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</si>
  <si>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</si>
  <si>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</si>
  <si>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</si>
  <si>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</si>
  <si>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</si>
  <si>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</si>
  <si>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</si>
  <si>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</si>
  <si>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</si>
  <si>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</si>
  <si>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</si>
  <si>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</si>
  <si>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</si>
  <si>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</si>
  <si>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</si>
  <si>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</si>
  <si>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</si>
  <si>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</si>
  <si>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</si>
  <si>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</si>
  <si>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</si>
  <si>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</si>
  <si>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</si>
  <si>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</si>
  <si>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</si>
  <si>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</si>
  <si>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</si>
  <si>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</si>
  <si>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</si>
  <si>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</si>
  <si>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</si>
  <si>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</si>
  <si>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</si>
  <si>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</si>
  <si>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</si>
  <si>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</si>
  <si>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</si>
  <si>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</si>
  <si>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</si>
  <si>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</si>
  <si>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</si>
  <si>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</si>
  <si>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</si>
  <si>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</si>
  <si>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</si>
  <si>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</si>
  <si>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</si>
  <si>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</si>
  <si>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</si>
  <si>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</si>
  <si>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</si>
  <si>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</si>
  <si>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</si>
  <si>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</si>
  <si>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</si>
  <si>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</si>
  <si>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</si>
  <si>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</si>
  <si>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</si>
  <si>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</si>
  <si>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</si>
  <si>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</si>
  <si>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</si>
  <si>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</si>
  <si>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</si>
  <si>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</si>
  <si>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</si>
  <si>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</si>
  <si>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</si>
  <si>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</si>
  <si>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</si>
  <si>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</si>
  <si>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</si>
  <si>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</si>
  <si>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</si>
  <si>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</si>
  <si>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</si>
  <si>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</si>
  <si>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</si>
  <si>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</si>
  <si>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</si>
  <si>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</si>
  <si>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</si>
  <si>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</si>
  <si>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</si>
  <si>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</si>
  <si>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</si>
  <si>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</si>
  <si>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</si>
  <si>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</si>
  <si>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</si>
  <si>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</si>
  <si>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</si>
  <si>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</si>
  <si>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</si>
  <si>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</si>
  <si>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</si>
  <si>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</si>
  <si>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</si>
  <si>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</si>
  <si>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</si>
  <si>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</si>
  <si>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</si>
  <si>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</si>
  <si>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</si>
  <si>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</si>
  <si>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</si>
  <si>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</si>
  <si>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</si>
  <si>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</si>
  <si>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</si>
  <si>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</si>
  <si>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</si>
  <si>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</si>
  <si>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</si>
  <si>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</si>
  <si>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</si>
  <si>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</si>
  <si>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</si>
  <si>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</si>
  <si>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</si>
  <si>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</si>
  <si>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</si>
  <si>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</si>
  <si>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</si>
  <si>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</si>
  <si>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</si>
  <si>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</si>
  <si>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</si>
  <si>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</si>
  <si>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</si>
  <si>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</si>
  <si>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</si>
  <si>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</si>
  <si>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</si>
  <si>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</si>
  <si>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</si>
  <si>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</si>
  <si>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</si>
  <si>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</si>
  <si>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</si>
  <si>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</si>
  <si>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</si>
  <si>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</si>
  <si>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</si>
  <si>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</si>
  <si>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</si>
  <si>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</si>
  <si>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</si>
  <si>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</si>
  <si>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</si>
  <si>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</si>
  <si>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</si>
  <si>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</si>
  <si>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</si>
  <si>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</si>
  <si>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</si>
  <si>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</si>
  <si>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</si>
  <si>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</si>
  <si>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</si>
  <si>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</si>
  <si>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</si>
  <si>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</si>
  <si>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</si>
  <si>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</si>
  <si>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</si>
  <si>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</si>
  <si>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</si>
  <si>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</si>
  <si>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</si>
  <si>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</si>
  <si>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</si>
  <si>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</si>
  <si>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</si>
  <si>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</si>
  <si>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</si>
  <si>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</si>
  <si>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</si>
  <si>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</si>
  <si>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</si>
  <si>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</si>
  <si>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</si>
  <si>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</si>
  <si>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</si>
  <si>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</si>
  <si>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</si>
  <si>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</si>
  <si>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</si>
  <si>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</si>
  <si>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</si>
  <si>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</si>
  <si>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</si>
  <si>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</si>
  <si>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</si>
  <si>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</si>
  <si>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</si>
  <si>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</si>
  <si>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</si>
  <si>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</si>
  <si>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</si>
  <si>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</si>
  <si>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</si>
  <si>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</si>
  <si>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</si>
  <si>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</si>
  <si>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</si>
  <si>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</si>
  <si>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</si>
  <si>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</si>
  <si>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</si>
  <si>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</si>
  <si>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</si>
  <si>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</si>
  <si>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</si>
  <si>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</si>
  <si>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</si>
  <si>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</si>
  <si>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</si>
  <si>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</si>
  <si>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</si>
  <si>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</si>
  <si>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</si>
  <si>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</si>
  <si>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</si>
  <si>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</si>
  <si>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</si>
  <si>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</si>
  <si>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</si>
  <si>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</si>
  <si>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</si>
  <si>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</si>
  <si>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</si>
  <si>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</si>
  <si>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</si>
  <si>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</si>
  <si>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</si>
  <si>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</si>
  <si>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</si>
  <si>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</si>
  <si>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</si>
  <si>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</si>
  <si>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</si>
  <si>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</si>
  <si>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</si>
  <si>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</si>
  <si>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</si>
  <si>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</si>
  <si>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</si>
  <si>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</si>
  <si>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</si>
  <si>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</si>
  <si>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</si>
  <si>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</si>
  <si>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</si>
  <si>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</si>
  <si>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</si>
  <si>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</si>
  <si>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</si>
  <si>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</si>
  <si>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</si>
  <si>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</si>
  <si>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</si>
  <si>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</si>
  <si>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</si>
  <si>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</si>
  <si>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</si>
  <si>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</si>
  <si>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</si>
  <si>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</si>
  <si>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</si>
  <si>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</si>
  <si>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</si>
  <si>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</si>
  <si>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</si>
  <si>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</si>
  <si>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</si>
  <si>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</si>
  <si>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</si>
  <si>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</si>
  <si>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</si>
  <si>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</si>
  <si>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</si>
  <si>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</si>
  <si>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</si>
  <si>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</si>
  <si>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</si>
  <si>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</si>
  <si>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</si>
  <si>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</si>
  <si>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</si>
  <si>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</si>
  <si>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</si>
  <si>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</si>
  <si>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</si>
  <si>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</si>
  <si>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</si>
  <si>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</si>
  <si>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</si>
  <si>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</si>
  <si>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</si>
  <si>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</si>
  <si>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</si>
  <si>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</si>
  <si>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</si>
  <si>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</si>
  <si>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</si>
  <si>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</si>
  <si>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</si>
  <si>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</si>
  <si>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</si>
  <si>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</si>
  <si>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</si>
  <si>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</si>
  <si>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</si>
  <si>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</si>
  <si>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</si>
  <si>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</si>
  <si>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</si>
  <si>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</si>
  <si>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</si>
  <si>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</si>
  <si>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</si>
  <si>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</si>
  <si>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</si>
  <si>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</si>
  <si>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</si>
  <si>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</si>
  <si>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</si>
  <si>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</si>
  <si>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</si>
  <si>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</si>
  <si>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</si>
  <si>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</si>
  <si>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</si>
  <si>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</si>
  <si>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</si>
  <si>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</si>
  <si>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</si>
  <si>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</si>
  <si>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</si>
  <si>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</si>
  <si>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</si>
  <si>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</si>
  <si>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</si>
  <si>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</si>
  <si>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</si>
  <si>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</si>
  <si>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</si>
  <si>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</si>
  <si>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</si>
  <si>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</si>
  <si>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</si>
  <si>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</si>
  <si>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</si>
  <si>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</si>
  <si>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</si>
  <si>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</si>
  <si>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</si>
  <si>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</si>
  <si>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</si>
  <si>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</si>
  <si>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</si>
  <si>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</si>
  <si>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</si>
  <si>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</si>
  <si>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</si>
  <si>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</si>
  <si>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</si>
  <si>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</si>
  <si>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</si>
  <si>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</si>
  <si>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</si>
  <si>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</si>
  <si>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</si>
  <si>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</si>
  <si>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</si>
  <si>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</si>
  <si>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</si>
  <si>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</si>
  <si>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</si>
  <si>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</si>
  <si>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</si>
  <si>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</si>
  <si>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</si>
  <si>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</si>
  <si>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</si>
  <si>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</si>
  <si>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</si>
  <si>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</si>
  <si>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</si>
  <si>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</si>
  <si>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</si>
  <si>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</si>
  <si>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</si>
  <si>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</si>
  <si>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</si>
  <si>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</si>
  <si>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</si>
  <si>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</si>
  <si>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</si>
  <si>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</si>
  <si>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</si>
  <si>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</si>
  <si>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</si>
  <si>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</si>
  <si>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</si>
  <si>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</si>
  <si>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</si>
  <si>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</si>
  <si>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</si>
  <si>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</si>
  <si>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</si>
  <si>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</si>
  <si>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</si>
  <si>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</si>
  <si>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</si>
  <si>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</si>
  <si>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</si>
  <si>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</si>
  <si>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</si>
  <si>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</si>
  <si>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</si>
  <si>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</si>
  <si>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</si>
  <si>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</si>
  <si>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</si>
  <si>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</si>
  <si>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</si>
  <si>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</si>
  <si>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</si>
  <si>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</si>
  <si>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</si>
  <si>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</si>
  <si>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</si>
  <si>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</si>
  <si>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</si>
  <si>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</si>
  <si>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</si>
  <si>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</si>
  <si>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</si>
  <si>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</si>
  <si>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</si>
  <si>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</si>
  <si>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</si>
  <si>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</si>
  <si>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</si>
  <si>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</si>
  <si>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</si>
  <si>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</si>
  <si>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</si>
  <si>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</si>
  <si>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</si>
  <si>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</si>
  <si>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</si>
  <si>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</si>
  <si>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</si>
  <si>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</si>
  <si>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</si>
  <si>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</si>
  <si>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</si>
  <si>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</si>
  <si>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</si>
  <si>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</si>
  <si>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</si>
  <si>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</si>
  <si>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</si>
  <si>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</si>
  <si>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</si>
  <si>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</si>
  <si>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</si>
  <si>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</si>
  <si>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</si>
  <si>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</si>
  <si>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</si>
  <si>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</si>
  <si>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</si>
  <si>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</si>
  <si>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</si>
  <si>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</si>
  <si>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</si>
  <si>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</si>
  <si>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</si>
  <si>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</si>
  <si>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</si>
  <si>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</si>
  <si>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</si>
  <si>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</si>
  <si>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</si>
  <si>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</si>
  <si>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</si>
  <si>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</si>
  <si>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</si>
  <si>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</si>
  <si>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</si>
  <si>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</si>
  <si>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</si>
  <si>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</si>
  <si>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</si>
  <si>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</si>
  <si>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</si>
  <si>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</si>
  <si>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</si>
  <si>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</si>
  <si>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</si>
  <si>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</si>
  <si>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</si>
  <si>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</si>
  <si>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</si>
  <si>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</si>
  <si>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</si>
  <si>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</si>
  <si>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</si>
  <si>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</si>
  <si>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</si>
  <si>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</si>
  <si>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</si>
  <si>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</si>
  <si>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</si>
  <si>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</si>
  <si>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</si>
  <si>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</si>
  <si>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</si>
  <si>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</si>
  <si>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</si>
  <si>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</si>
  <si>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</si>
  <si>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</si>
  <si>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</si>
  <si>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</si>
  <si>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</si>
  <si>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</si>
  <si>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</si>
  <si>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</si>
  <si>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</si>
  <si>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</si>
  <si>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</si>
  <si>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</si>
  <si>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</si>
  <si>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</si>
  <si>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</si>
  <si>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</si>
  <si>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</si>
  <si>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</si>
  <si>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</si>
  <si>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</si>
  <si>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</si>
  <si>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</si>
  <si>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</si>
  <si>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</si>
  <si>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</si>
  <si>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</si>
  <si>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</si>
  <si>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</si>
  <si>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</si>
  <si>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</si>
  <si>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</si>
  <si>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</si>
  <si>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</si>
  <si>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</si>
  <si>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</si>
  <si>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</si>
  <si>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</si>
  <si>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</si>
  <si>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</si>
  <si>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</si>
  <si>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</si>
  <si>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</si>
  <si>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</si>
  <si>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</si>
  <si>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</si>
  <si>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</si>
  <si>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</si>
  <si>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</si>
  <si>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</si>
  <si>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</si>
  <si>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</si>
  <si>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</si>
  <si>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</si>
  <si>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</si>
  <si>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</si>
  <si>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</si>
  <si>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</si>
  <si>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</si>
  <si>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</si>
  <si>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</si>
  <si>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</si>
  <si>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</si>
  <si>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</si>
  <si>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</si>
  <si>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</si>
  <si>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</si>
  <si>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</si>
  <si>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</si>
  <si>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</si>
  <si>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</si>
  <si>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</si>
  <si>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</si>
  <si>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</si>
  <si>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</si>
  <si>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</si>
  <si>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</si>
  <si>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</si>
  <si>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</si>
  <si>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</si>
  <si>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</si>
  <si>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</si>
  <si>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</si>
  <si>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</si>
  <si>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</si>
  <si>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</si>
  <si>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</si>
  <si>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</si>
  <si>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</si>
  <si>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</si>
  <si>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</si>
  <si>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</si>
  <si>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</si>
  <si>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</si>
  <si>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</si>
  <si>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</si>
  <si>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</si>
  <si>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</si>
  <si>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</si>
  <si>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</si>
  <si>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</si>
  <si>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</si>
  <si>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</si>
  <si>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</si>
  <si>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</si>
  <si>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</si>
  <si>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</si>
  <si>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</si>
  <si>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</si>
  <si>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</si>
  <si>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</si>
  <si>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</si>
  <si>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</si>
  <si>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</si>
  <si>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</si>
  <si>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</si>
  <si>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</si>
  <si>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</si>
  <si>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</si>
  <si>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</si>
  <si>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</si>
  <si>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</si>
  <si>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</si>
  <si>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</si>
  <si>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</si>
  <si>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</si>
  <si>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</si>
  <si>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</si>
  <si>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</si>
  <si>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</si>
  <si>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</si>
  <si>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</si>
  <si>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</si>
  <si>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</si>
  <si>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</si>
  <si>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</si>
  <si>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</si>
  <si>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</si>
  <si>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</si>
  <si>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</si>
  <si>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</si>
  <si>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</si>
  <si>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</si>
  <si>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</si>
  <si>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</si>
  <si>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</si>
  <si>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</si>
  <si>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</si>
  <si>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</si>
  <si>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</si>
  <si>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</si>
  <si>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</si>
  <si>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</si>
  <si>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</si>
  <si>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</si>
  <si>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</si>
  <si>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</si>
  <si>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</si>
  <si>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</si>
  <si>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</si>
  <si>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</si>
  <si>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</si>
  <si>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</si>
  <si>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</si>
  <si>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</si>
  <si>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</si>
  <si>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</si>
  <si>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</si>
  <si>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</si>
  <si>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</si>
  <si>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</si>
  <si>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</si>
  <si>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</si>
  <si>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</si>
  <si>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</si>
  <si>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</si>
  <si>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</si>
  <si>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</si>
  <si>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</si>
  <si>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</si>
  <si>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</si>
  <si>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</si>
  <si>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</si>
  <si>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</si>
  <si>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</si>
  <si>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</si>
  <si>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</si>
  <si>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</si>
  <si>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</si>
  <si>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</si>
  <si>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</si>
  <si>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</si>
  <si>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</si>
  <si>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</si>
  <si>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</si>
  <si>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</si>
  <si>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</si>
  <si>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</si>
  <si>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</si>
  <si>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</si>
  <si>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</si>
  <si>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</si>
  <si>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</si>
  <si>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</si>
  <si>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</si>
  <si>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</si>
  <si>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</si>
  <si>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</si>
  <si>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</si>
  <si>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</si>
  <si>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</si>
  <si>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</si>
  <si>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</si>
  <si>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</si>
  <si>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</si>
  <si>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</si>
  <si>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</si>
  <si>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</si>
  <si>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</si>
  <si>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</si>
  <si>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</si>
  <si>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</si>
  <si>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</si>
  <si>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</si>
  <si>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</si>
  <si>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</si>
  <si>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</si>
  <si>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</si>
  <si>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</si>
  <si>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</si>
  <si>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</si>
  <si>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</si>
  <si>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</si>
  <si>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</si>
  <si>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</si>
  <si>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</si>
  <si>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</si>
  <si>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</si>
  <si>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</si>
  <si>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</si>
  <si>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</si>
  <si>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</si>
  <si>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</si>
  <si>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</si>
  <si>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</si>
  <si>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</si>
  <si>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</si>
  <si>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</si>
  <si>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</si>
  <si>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</si>
  <si>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</si>
  <si>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</si>
  <si>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</si>
  <si>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</si>
  <si>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</si>
  <si>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</si>
  <si>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</si>
  <si>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</si>
  <si>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</si>
  <si>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</si>
  <si>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</si>
  <si>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</si>
  <si>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</si>
  <si>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</si>
  <si>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</si>
  <si>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</si>
  <si>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</si>
  <si>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</si>
  <si>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</si>
  <si>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</si>
  <si>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</si>
  <si>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</si>
  <si>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</si>
  <si>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</si>
  <si>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</si>
  <si>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</si>
  <si>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</si>
  <si>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</si>
  <si>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</si>
  <si>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</si>
  <si>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</si>
  <si>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</si>
  <si>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</si>
  <si>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</si>
  <si>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</si>
  <si>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</si>
  <si>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</si>
  <si>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</si>
  <si>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</si>
  <si>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</si>
  <si>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</si>
  <si>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</si>
  <si>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</si>
  <si>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</si>
  <si>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</si>
  <si>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</si>
  <si>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</si>
  <si>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</si>
  <si>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</si>
  <si>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</si>
  <si>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</si>
  <si>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</si>
  <si>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</si>
  <si>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</si>
  <si>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</si>
  <si>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</si>
  <si>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</si>
  <si>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</si>
  <si>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</si>
  <si>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</si>
  <si>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</si>
  <si>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</si>
  <si>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</si>
  <si>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</si>
  <si>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</si>
  <si>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</si>
  <si>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</si>
  <si>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</si>
  <si>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</si>
  <si>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</si>
  <si>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</si>
  <si>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</si>
  <si>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</si>
  <si>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</si>
  <si>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</si>
  <si>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</si>
  <si>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</si>
  <si>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</si>
  <si>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</si>
  <si>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</si>
  <si>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</si>
  <si>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</si>
  <si>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</si>
  <si>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</si>
  <si>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</si>
  <si>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</si>
  <si>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</si>
  <si>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</si>
  <si>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</si>
  <si>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</si>
  <si>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</si>
  <si>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</si>
  <si>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</si>
  <si>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</si>
  <si>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</si>
  <si>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</si>
  <si>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</si>
  <si>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</si>
  <si>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</si>
  <si>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</si>
  <si>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</si>
  <si>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</si>
  <si>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</si>
  <si>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</si>
  <si>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</si>
  <si>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</si>
  <si>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</si>
  <si>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</si>
  <si>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</si>
  <si>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</si>
  <si>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</si>
  <si>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</si>
  <si>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</si>
  <si>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</si>
  <si>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</si>
  <si>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</si>
  <si>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</si>
  <si>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</si>
  <si>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</si>
  <si>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</si>
  <si>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</si>
  <si>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</si>
  <si>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</si>
  <si>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</si>
  <si>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</si>
  <si>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</si>
  <si>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</si>
  <si>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</si>
  <si>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</si>
  <si>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</si>
  <si>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</si>
  <si>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</si>
  <si>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</si>
  <si>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</si>
  <si>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</si>
  <si>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</si>
  <si>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</si>
  <si>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</si>
  <si>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</si>
  <si>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</si>
  <si>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</si>
  <si>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</si>
  <si>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</si>
  <si>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</si>
  <si>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</si>
  <si>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</si>
  <si>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</si>
  <si>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</si>
  <si>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</si>
  <si>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</si>
  <si>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</si>
  <si>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</si>
  <si>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</si>
  <si>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</si>
  <si>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</si>
  <si>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</si>
  <si>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</si>
  <si>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</si>
  <si>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</si>
  <si>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</si>
  <si>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</si>
  <si>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</si>
  <si>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</si>
  <si>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</si>
  <si>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</si>
  <si>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</si>
  <si>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</si>
  <si>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</si>
  <si>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</si>
  <si>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</si>
  <si>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</si>
  <si>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</si>
  <si>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</si>
  <si>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</si>
  <si>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</si>
  <si>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</si>
  <si>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</si>
  <si>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</si>
  <si>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</si>
  <si>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</si>
  <si>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</si>
  <si>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</si>
  <si>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</si>
  <si>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</si>
  <si>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</si>
  <si>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</si>
  <si>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</si>
  <si>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</si>
  <si>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</si>
  <si>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</si>
  <si>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</si>
  <si>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</si>
  <si>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</si>
  <si>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</si>
  <si>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</si>
  <si>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</si>
  <si>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</si>
  <si>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</si>
  <si>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</si>
  <si>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</si>
  <si>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</si>
  <si>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</si>
  <si>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</si>
  <si>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</si>
  <si>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</si>
  <si>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</si>
  <si>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</si>
  <si>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</si>
  <si>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</si>
  <si>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</si>
  <si>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</si>
  <si>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</si>
  <si>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</si>
  <si>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</si>
  <si>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</si>
  <si>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</si>
  <si>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</si>
  <si>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</si>
  <si>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</si>
  <si>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</si>
  <si>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</si>
  <si>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</si>
  <si>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</si>
  <si>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</si>
  <si>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</si>
  <si>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</si>
  <si>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</si>
  <si>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</si>
  <si>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</si>
  <si>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</si>
  <si>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</si>
  <si>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</si>
  <si>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</si>
  <si>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</si>
  <si>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</si>
  <si>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</si>
  <si>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</si>
  <si>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</si>
  <si>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</si>
  <si>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</si>
  <si>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</si>
  <si>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</si>
  <si>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</si>
  <si>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</si>
  <si>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</si>
  <si>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</si>
  <si>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</si>
  <si>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</si>
  <si>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</si>
  <si>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</si>
  <si>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</si>
  <si>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</si>
  <si>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</si>
  <si>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</si>
  <si>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</si>
  <si>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</si>
  <si>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</si>
  <si>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</si>
  <si>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</si>
  <si>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</si>
  <si>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</si>
  <si>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</si>
  <si>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</si>
  <si>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</si>
  <si>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</si>
  <si>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</si>
  <si>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</si>
  <si>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</si>
  <si>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</si>
  <si>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</si>
  <si>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</si>
  <si>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</si>
  <si>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</si>
  <si>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</si>
  <si>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</si>
  <si>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</si>
  <si>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</si>
  <si>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</si>
  <si>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</si>
  <si>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</si>
  <si>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</si>
  <si>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</si>
  <si>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</si>
  <si>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</si>
  <si>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</si>
  <si>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</si>
  <si>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</si>
  <si>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</si>
  <si>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</si>
  <si>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</si>
  <si>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</si>
  <si>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</si>
  <si>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</si>
  <si>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</si>
  <si>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</si>
  <si>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</si>
  <si>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</si>
  <si>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</si>
  <si>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</si>
  <si>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</si>
  <si>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</si>
  <si>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</si>
  <si>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</si>
  <si>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</si>
  <si>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</si>
  <si>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</si>
  <si>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</si>
  <si>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</si>
  <si>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</si>
  <si>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</si>
  <si>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</si>
  <si>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</si>
  <si>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</si>
  <si>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</si>
  <si>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</si>
  <si>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</si>
  <si>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</si>
  <si>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</si>
  <si>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</si>
  <si>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</si>
  <si>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</si>
  <si>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</si>
  <si>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</si>
  <si>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</si>
  <si>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</si>
  <si>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</si>
  <si>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</si>
  <si>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</si>
  <si>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</si>
  <si>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</si>
  <si>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</si>
  <si>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</si>
  <si>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</si>
  <si>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</si>
  <si>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</si>
  <si>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</si>
  <si>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</si>
  <si>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</si>
  <si>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</si>
  <si>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</si>
  <si>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</si>
  <si>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</si>
  <si>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</si>
  <si>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</si>
  <si>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</si>
  <si>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</si>
  <si>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</si>
  <si>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</si>
  <si>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</si>
  <si>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</si>
  <si>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</si>
  <si>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</si>
  <si>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</si>
  <si>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</si>
  <si>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</si>
  <si>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</si>
  <si>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</si>
  <si>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</si>
  <si>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</si>
  <si>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</si>
  <si>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</si>
  <si>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</si>
  <si>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</si>
  <si>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</si>
  <si>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</si>
  <si>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</si>
  <si>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</si>
  <si>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</si>
  <si>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</si>
  <si>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</si>
  <si>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</si>
  <si>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</si>
  <si>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</si>
  <si>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</si>
  <si>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</si>
  <si>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</si>
  <si>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</si>
  <si>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</si>
  <si>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</si>
  <si>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</si>
  <si>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</si>
  <si>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</si>
  <si>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</si>
  <si>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</si>
  <si>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</si>
  <si>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</si>
  <si>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</si>
  <si>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</si>
  <si>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</si>
  <si>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</si>
  <si>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</si>
  <si>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</si>
  <si>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</si>
  <si>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</si>
  <si>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</si>
  <si>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</si>
  <si>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</si>
  <si>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</si>
  <si>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</si>
  <si>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</si>
  <si>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</si>
  <si>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</si>
  <si>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</si>
  <si>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</si>
  <si>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</si>
  <si>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</si>
  <si>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</si>
  <si>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</si>
  <si>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</si>
  <si>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</si>
  <si>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</si>
  <si>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</si>
  <si>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</si>
  <si>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</si>
  <si>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</si>
  <si>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</si>
  <si>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</si>
  <si>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</si>
  <si>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</si>
  <si>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</si>
  <si>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</si>
  <si>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</si>
  <si>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</si>
  <si>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</si>
  <si>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</si>
  <si>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</si>
  <si>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</si>
  <si>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</si>
  <si>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</si>
  <si>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</si>
  <si>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</si>
  <si>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</si>
  <si>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</si>
  <si>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</si>
  <si>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</si>
  <si>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</si>
  <si>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</si>
  <si>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</si>
  <si>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</si>
  <si>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</si>
  <si>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</si>
  <si>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</si>
  <si>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</si>
  <si>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</si>
  <si>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</si>
  <si>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</si>
  <si>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</si>
  <si>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</si>
  <si>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</si>
  <si>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</si>
  <si>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</si>
  <si>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</si>
  <si>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</si>
  <si>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</si>
  <si>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</si>
  <si>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</si>
  <si>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</si>
  <si>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</si>
  <si>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</si>
  <si>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</si>
  <si>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</si>
  <si>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</si>
  <si>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</si>
  <si>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</si>
  <si>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</si>
  <si>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</si>
  <si>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</si>
  <si>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</si>
  <si>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</si>
  <si>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</si>
  <si>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</si>
  <si>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</si>
  <si>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</si>
  <si>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</si>
  <si>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</si>
  <si>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</si>
  <si>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</si>
  <si>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</si>
  <si>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</si>
  <si>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</si>
  <si>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</si>
  <si>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</si>
  <si>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</si>
  <si>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</si>
  <si>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</si>
  <si>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</si>
  <si>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</si>
  <si>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</si>
  <si>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</si>
  <si>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</si>
  <si>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</si>
  <si>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</si>
  <si>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</si>
  <si>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</si>
  <si>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</si>
  <si>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</si>
  <si>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</si>
  <si>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</si>
  <si>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</si>
  <si>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</si>
  <si>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</si>
  <si>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</si>
  <si>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</si>
  <si>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</si>
  <si>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</si>
  <si>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</si>
  <si>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</si>
  <si>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</si>
  <si>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</si>
  <si>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</si>
  <si>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</si>
  <si>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</si>
  <si>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</si>
  <si>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</si>
  <si>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</si>
  <si>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</si>
  <si>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</si>
  <si>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</si>
  <si>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</si>
  <si>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</si>
  <si>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</si>
  <si>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</si>
  <si>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</si>
  <si>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</si>
  <si>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</si>
  <si>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</si>
  <si>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</si>
  <si>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</si>
  <si>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</si>
  <si>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</si>
  <si>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</si>
  <si>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</si>
  <si>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</si>
  <si>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</si>
  <si>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</si>
  <si>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</si>
  <si>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</si>
  <si>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</si>
  <si>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</si>
  <si>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</si>
  <si>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</si>
  <si>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</si>
  <si>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</si>
  <si>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</si>
  <si>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</si>
  <si>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</si>
  <si>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</si>
  <si>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</si>
  <si>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</si>
  <si>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</si>
  <si>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</si>
  <si>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</si>
  <si>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</si>
  <si>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</si>
  <si>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</si>
  <si>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</si>
  <si>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</si>
  <si>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</si>
  <si>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</si>
  <si>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</si>
  <si>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</si>
  <si>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</si>
  <si>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</si>
  <si>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</si>
  <si>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</si>
  <si>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</si>
  <si>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</si>
  <si>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</si>
  <si>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</si>
  <si>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</si>
  <si>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</si>
  <si>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</si>
  <si>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</si>
  <si>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</si>
  <si>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</si>
  <si>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</si>
  <si>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</si>
  <si>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</si>
  <si>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</si>
  <si>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</si>
  <si>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</si>
  <si>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</si>
  <si>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</si>
  <si>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</si>
  <si>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</si>
  <si>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</si>
  <si>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</si>
  <si>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</si>
  <si>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</si>
  <si>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</si>
  <si>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</si>
  <si>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</si>
  <si>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</si>
  <si>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</si>
  <si>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</si>
  <si>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</si>
  <si>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</si>
  <si>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</si>
  <si>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</si>
  <si>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</si>
  <si>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</si>
  <si>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</si>
  <si>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</si>
  <si>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</si>
  <si>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</si>
  <si>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</si>
  <si>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</si>
  <si>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</si>
  <si>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</si>
  <si>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</si>
  <si>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</si>
  <si>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</si>
  <si>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</si>
  <si>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</si>
  <si>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</si>
  <si>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</si>
  <si>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</si>
  <si>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</si>
  <si>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</si>
  <si>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</si>
  <si>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</si>
  <si>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</si>
  <si>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</si>
  <si>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</si>
  <si>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</si>
  <si>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</si>
  <si>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</si>
  <si>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</si>
  <si>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</si>
  <si>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</si>
  <si>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</si>
  <si>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</si>
  <si>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</si>
  <si>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</si>
  <si>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</si>
  <si>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</si>
  <si>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</si>
  <si>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</si>
  <si>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</si>
  <si>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</si>
  <si>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</si>
  <si>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</si>
  <si>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</si>
  <si>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</si>
  <si>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</si>
  <si>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</si>
  <si>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</si>
  <si>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</si>
  <si>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</si>
  <si>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</si>
  <si>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</si>
  <si>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</si>
  <si>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</si>
  <si>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</si>
  <si>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</si>
  <si>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</si>
  <si>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</si>
  <si>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</si>
  <si>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</si>
  <si>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</si>
  <si>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</si>
  <si>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</si>
  <si>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</si>
  <si>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</si>
  <si>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</si>
  <si>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</si>
  <si>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</si>
  <si>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</si>
  <si>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</si>
  <si>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</si>
  <si>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</si>
  <si>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</si>
  <si>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</si>
  <si>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</si>
  <si>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</si>
  <si>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</si>
  <si>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</si>
  <si>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</si>
  <si>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</si>
  <si>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</si>
  <si>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</si>
  <si>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</si>
  <si>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</si>
  <si>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</si>
  <si>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</si>
  <si>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</si>
  <si>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</si>
  <si>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</si>
  <si>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</si>
  <si>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</si>
  <si>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</si>
  <si>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</si>
  <si>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</si>
  <si>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</si>
  <si>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</si>
  <si>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</si>
  <si>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</si>
  <si>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</si>
  <si>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</si>
  <si>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</si>
  <si>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</si>
  <si>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</si>
  <si>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</si>
  <si>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</si>
  <si>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</si>
  <si>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</si>
  <si>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</si>
  <si>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</si>
  <si>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</si>
  <si>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</si>
  <si>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</si>
  <si>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</si>
  <si>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</si>
  <si>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</si>
  <si>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</si>
  <si>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</si>
  <si>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</si>
  <si>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</si>
  <si>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</si>
  <si>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</si>
  <si>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</si>
  <si>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</si>
  <si>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</si>
  <si>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</si>
  <si>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</si>
  <si>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</si>
  <si>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</si>
  <si>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</si>
  <si>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</si>
  <si>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</si>
  <si>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</si>
  <si>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</si>
  <si>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</si>
  <si>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</si>
  <si>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</si>
  <si>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</si>
  <si>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</si>
  <si>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</si>
  <si>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</si>
  <si>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</si>
  <si>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</si>
  <si>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</si>
  <si>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</si>
  <si>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</si>
  <si>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</si>
  <si>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</si>
  <si>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</si>
  <si>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</si>
  <si>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</si>
  <si>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</si>
  <si>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</si>
  <si>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</si>
  <si>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</si>
  <si>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</si>
  <si>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</si>
  <si>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</si>
  <si>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</si>
  <si>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</si>
  <si>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</si>
  <si>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</si>
  <si>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</si>
  <si>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</si>
  <si>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</si>
  <si>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</si>
  <si>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</si>
  <si>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</si>
  <si>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</si>
  <si>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</si>
  <si>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</si>
  <si>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</si>
  <si>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</si>
  <si>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</si>
  <si>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</si>
  <si>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</si>
  <si>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</si>
  <si>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</si>
  <si>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</si>
  <si>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</si>
  <si>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</si>
  <si>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</si>
  <si>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</si>
  <si>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</si>
  <si>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</si>
  <si>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</si>
  <si>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</si>
  <si>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</si>
  <si>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</si>
  <si>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</si>
  <si>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</si>
  <si>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</si>
  <si>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</si>
  <si>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</si>
  <si>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</si>
  <si>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</si>
  <si>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</si>
  <si>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</si>
  <si>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</si>
  <si>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</si>
  <si>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</si>
  <si>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</si>
  <si>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</si>
  <si>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</si>
  <si>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</si>
  <si>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</si>
  <si>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</si>
  <si>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</si>
  <si>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</si>
  <si>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</si>
  <si>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</si>
  <si>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</si>
  <si>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</si>
  <si>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</si>
  <si>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</si>
  <si>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</si>
  <si>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</si>
  <si>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</si>
  <si>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</si>
  <si>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</si>
  <si>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</si>
  <si>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</si>
  <si>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</si>
  <si>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</si>
  <si>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</si>
  <si>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</si>
  <si>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</si>
  <si>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</si>
  <si>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</si>
  <si>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</si>
  <si>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</si>
  <si>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</si>
  <si>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</si>
  <si>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</si>
  <si>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</si>
  <si>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</si>
  <si>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</si>
  <si>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</si>
  <si>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</si>
  <si>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</si>
  <si>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</si>
  <si>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</si>
  <si>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</si>
  <si>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</si>
  <si>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</si>
  <si>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</si>
  <si>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</si>
  <si>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</si>
  <si>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</si>
  <si>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</si>
  <si>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</si>
  <si>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</si>
  <si>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</si>
  <si>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</si>
  <si>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</si>
  <si>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</si>
  <si>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</si>
  <si>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</si>
  <si>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</si>
  <si>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</si>
  <si>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</si>
  <si>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</si>
  <si>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</si>
  <si>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</si>
  <si>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</si>
  <si>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</si>
  <si>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</si>
  <si>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</si>
  <si>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</si>
  <si>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</si>
  <si>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</si>
  <si>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</si>
  <si>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</si>
  <si>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</si>
  <si>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</si>
  <si>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</si>
  <si>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</si>
  <si>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</si>
  <si>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</si>
  <si>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</si>
  <si>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</si>
  <si>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</si>
  <si>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</si>
  <si>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</si>
  <si>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</si>
  <si>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</si>
  <si>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</si>
  <si>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</si>
  <si>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</si>
  <si>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</si>
  <si>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</si>
  <si>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</si>
  <si>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</si>
  <si>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</si>
  <si>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</si>
  <si>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</si>
  <si>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</si>
  <si>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</si>
  <si>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</si>
  <si>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</si>
  <si>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</si>
  <si>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</si>
  <si>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</si>
  <si>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</si>
  <si>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</si>
  <si>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</si>
  <si>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</si>
  <si>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</si>
  <si>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</si>
  <si>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</si>
  <si>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</si>
  <si>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</si>
  <si>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</si>
  <si>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</si>
  <si>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</si>
  <si>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</si>
  <si>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</si>
  <si>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</si>
  <si>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</si>
  <si>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</si>
  <si>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</si>
  <si>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</si>
  <si>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</si>
  <si>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</si>
  <si>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</si>
  <si>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</si>
  <si>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</si>
  <si>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</si>
  <si>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</si>
  <si>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</si>
  <si>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</si>
  <si>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</si>
  <si>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</si>
  <si>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</si>
  <si>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</si>
  <si>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</si>
  <si>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</si>
  <si>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</si>
  <si>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</si>
  <si>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</si>
  <si>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</si>
  <si>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</si>
  <si>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</si>
  <si>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</si>
  <si>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</si>
  <si>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</si>
  <si>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</si>
  <si>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</si>
  <si>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</si>
  <si>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</si>
  <si>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</si>
  <si>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</si>
  <si>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</si>
  <si>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</si>
  <si>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</si>
  <si>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</si>
  <si>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</si>
  <si>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</si>
  <si>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</si>
  <si>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</si>
  <si>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</si>
  <si>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</si>
  <si>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</si>
  <si>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</si>
  <si>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</si>
  <si>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</si>
  <si>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</si>
  <si>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</si>
  <si>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</si>
  <si>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</si>
  <si>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</si>
  <si>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</si>
  <si>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</si>
  <si>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</si>
  <si>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</si>
  <si>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</si>
  <si>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</si>
  <si>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</si>
  <si>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</si>
  <si>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</si>
  <si>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</si>
  <si>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</si>
  <si>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</si>
  <si>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</si>
  <si>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</si>
  <si>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</si>
  <si>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</si>
  <si>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</si>
  <si>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</si>
  <si>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</si>
  <si>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</si>
  <si>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</si>
  <si>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</si>
  <si>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</si>
  <si>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</si>
  <si>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</si>
  <si>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</si>
  <si>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</si>
  <si>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</si>
  <si>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</si>
  <si>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</si>
  <si>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</si>
  <si>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</si>
  <si>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</si>
  <si>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</si>
  <si>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</si>
  <si>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</si>
  <si>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</si>
  <si>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</si>
  <si>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</si>
  <si>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</si>
  <si>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</si>
  <si>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</si>
  <si>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</si>
  <si>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</si>
  <si>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</si>
  <si>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</si>
  <si>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</si>
  <si>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</si>
  <si>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</si>
  <si>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</si>
  <si>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</si>
  <si>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</si>
  <si>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</si>
  <si>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</si>
  <si>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</si>
  <si>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</si>
  <si>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</si>
  <si>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</si>
  <si>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</si>
  <si>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</si>
  <si>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</si>
  <si>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</si>
  <si>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</si>
  <si>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</si>
  <si>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</si>
  <si>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</si>
  <si>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</si>
  <si>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</si>
  <si>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</si>
  <si>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</si>
  <si>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</si>
  <si>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</si>
  <si>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</si>
  <si>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</si>
  <si>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</si>
  <si>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</si>
  <si>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</si>
  <si>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</si>
  <si>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</si>
  <si>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</si>
  <si>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</si>
  <si>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</si>
  <si>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</si>
  <si>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</si>
  <si>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</si>
  <si>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</si>
  <si>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</si>
  <si>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</si>
  <si>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</si>
  <si>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</si>
  <si>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</si>
  <si>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</si>
  <si>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</si>
  <si>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</si>
  <si>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</si>
  <si>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</si>
  <si>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</si>
  <si>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</si>
  <si>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</si>
  <si>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</si>
  <si>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</si>
  <si>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</si>
  <si>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</si>
  <si>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</si>
  <si>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</si>
  <si>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</si>
  <si>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</si>
  <si>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</si>
  <si>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</si>
  <si>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</si>
  <si>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</si>
  <si>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</si>
  <si>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</si>
  <si>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</si>
  <si>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</si>
  <si>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</si>
  <si>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</si>
  <si>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</si>
  <si>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</si>
  <si>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</si>
  <si>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</si>
  <si>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</si>
  <si>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</si>
  <si>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</si>
  <si>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</si>
  <si>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</si>
  <si>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</si>
  <si>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</si>
  <si>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</si>
  <si>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</si>
  <si>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</si>
  <si>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</si>
  <si>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</si>
  <si>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</si>
  <si>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</si>
  <si>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</si>
  <si>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</si>
  <si>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</si>
  <si>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</si>
  <si>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</si>
  <si>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</si>
  <si>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</si>
  <si>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</si>
  <si>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</si>
  <si>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</si>
  <si>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</si>
  <si>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</si>
  <si>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</si>
  <si>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</si>
  <si>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</si>
  <si>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</si>
  <si>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</si>
  <si>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</si>
  <si>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</si>
  <si>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</si>
  <si>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</si>
  <si>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</si>
  <si>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</si>
  <si>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</si>
  <si>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</si>
  <si>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</si>
  <si>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</si>
  <si>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</si>
  <si>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</si>
  <si>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</si>
  <si>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</si>
  <si>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</si>
  <si>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</si>
  <si>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</si>
  <si>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</si>
  <si>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</si>
  <si>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</si>
  <si>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</si>
  <si>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</si>
  <si>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</si>
  <si>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</si>
  <si>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</si>
  <si>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</si>
  <si>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</si>
  <si>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</si>
  <si>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</si>
  <si>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</si>
  <si>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</si>
  <si>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</si>
  <si>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</si>
  <si>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</si>
  <si>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</si>
  <si>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</si>
  <si>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</si>
  <si>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</si>
  <si>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</si>
  <si>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</si>
  <si>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</si>
  <si>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</si>
  <si>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</si>
  <si>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</si>
  <si>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</si>
  <si>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</si>
  <si>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</si>
  <si>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</si>
  <si>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</si>
  <si>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</si>
  <si>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</si>
  <si>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</si>
  <si>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</si>
  <si>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</si>
  <si>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</si>
  <si>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</si>
  <si>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</si>
  <si>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</si>
  <si>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</si>
  <si>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</si>
  <si>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</si>
  <si>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</si>
  <si>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</si>
  <si>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</si>
  <si>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</si>
  <si>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</si>
  <si>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</si>
  <si>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</si>
  <si>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</si>
  <si>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</si>
  <si>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</si>
  <si>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</si>
  <si>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</si>
  <si>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</si>
  <si>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</si>
  <si>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</si>
  <si>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</si>
  <si>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</si>
  <si>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</si>
  <si>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</si>
  <si>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</si>
  <si>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</si>
  <si>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</si>
  <si>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</si>
  <si>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</si>
  <si>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</si>
  <si>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</si>
  <si>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</si>
  <si>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</si>
  <si>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</si>
  <si>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</si>
  <si>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</si>
  <si>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</si>
  <si>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</si>
  <si>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</si>
  <si>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</si>
  <si>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</si>
  <si>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</si>
  <si>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</si>
  <si>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</si>
  <si>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</si>
  <si>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</si>
  <si>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</si>
  <si>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</si>
  <si>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</si>
  <si>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</si>
  <si>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</si>
  <si>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</si>
  <si>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</si>
  <si>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</si>
  <si>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</si>
  <si>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</si>
  <si>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</si>
  <si>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</si>
  <si>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</si>
  <si>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</si>
  <si>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</si>
  <si>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</si>
  <si>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</si>
  <si>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</si>
  <si>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</si>
  <si>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</si>
  <si>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</si>
  <si>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</si>
  <si>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</si>
  <si>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</si>
  <si>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</si>
  <si>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</si>
  <si>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</si>
  <si>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</si>
  <si>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</si>
  <si>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</si>
  <si>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</si>
  <si>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</si>
  <si>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</si>
  <si>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</si>
  <si>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</si>
  <si>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</si>
  <si>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</si>
  <si>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</si>
  <si>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</si>
  <si>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</si>
  <si>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</si>
  <si>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</si>
  <si>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</si>
  <si>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</si>
  <si>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</si>
  <si>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</si>
  <si>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</si>
  <si>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</si>
  <si>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</si>
  <si>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</si>
  <si>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</si>
  <si>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</si>
  <si>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</si>
  <si>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</si>
  <si>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</si>
  <si>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</si>
  <si>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</si>
  <si>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</si>
  <si>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</si>
  <si>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</si>
  <si>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</si>
  <si>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</si>
  <si>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</si>
  <si>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</si>
  <si>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</si>
  <si>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</si>
  <si>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</si>
  <si>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</si>
  <si>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</si>
  <si>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</si>
  <si>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</si>
  <si>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</si>
  <si>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</si>
  <si>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</si>
  <si>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</si>
  <si>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</si>
  <si>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</si>
  <si>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</si>
  <si>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</si>
  <si>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</si>
  <si>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</si>
  <si>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</si>
  <si>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</si>
  <si>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</si>
  <si>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</si>
  <si>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</si>
  <si>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</si>
  <si>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</si>
  <si>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</si>
  <si>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</si>
  <si>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</si>
  <si>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</si>
  <si>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</si>
  <si>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</si>
  <si>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</si>
  <si>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</si>
  <si>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</si>
  <si>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</si>
  <si>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</si>
  <si>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</si>
  <si>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</si>
  <si>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</si>
  <si>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</si>
  <si>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</si>
  <si>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</si>
  <si>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</si>
  <si>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</si>
  <si>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</si>
  <si>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</si>
  <si>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</si>
  <si>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</si>
  <si>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</si>
  <si>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</si>
  <si>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</si>
  <si>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</si>
  <si>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</si>
  <si>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</si>
  <si>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</si>
  <si>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</si>
  <si>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</si>
  <si>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</si>
  <si>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</si>
  <si>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</si>
  <si>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</si>
  <si>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</si>
  <si>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</si>
  <si>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</si>
  <si>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</si>
  <si>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</si>
  <si>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</si>
  <si>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</si>
  <si>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</si>
  <si>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</si>
  <si>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</si>
  <si>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</si>
  <si>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</si>
  <si>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</si>
  <si>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</si>
  <si>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</si>
  <si>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</si>
  <si>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</si>
  <si>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</si>
  <si>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</si>
  <si>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</si>
  <si>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</si>
  <si>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</si>
  <si>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</si>
  <si>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</si>
  <si>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</si>
  <si>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</si>
  <si>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</si>
  <si>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</si>
  <si>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</si>
  <si>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</si>
  <si>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</si>
  <si>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</si>
  <si>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</si>
  <si>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</si>
  <si>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</si>
  <si>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</si>
  <si>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</si>
  <si>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</si>
  <si>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</si>
  <si>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</si>
  <si>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</si>
  <si>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</si>
  <si>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</si>
  <si>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</si>
  <si>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</si>
  <si>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</si>
  <si>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</si>
  <si>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</si>
  <si>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</si>
  <si>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</si>
  <si>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</si>
  <si>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</si>
  <si>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</si>
  <si>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</si>
  <si>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</si>
  <si>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</si>
  <si>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</si>
  <si>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</si>
  <si>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</si>
  <si>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</si>
  <si>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</si>
  <si>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</si>
  <si>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</si>
  <si>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</si>
  <si>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</si>
  <si>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</si>
  <si>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</si>
  <si>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</si>
  <si>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</si>
  <si>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</si>
  <si>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</si>
  <si>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</si>
  <si>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</si>
  <si>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</si>
  <si>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</si>
  <si>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</si>
  <si>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</si>
  <si>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</si>
  <si>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</si>
  <si>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</si>
  <si>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</si>
  <si>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</si>
  <si>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</si>
  <si>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</si>
  <si>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</si>
  <si>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</si>
  <si>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</si>
  <si>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</si>
  <si>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</si>
  <si>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</si>
  <si>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</si>
  <si>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</si>
  <si>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</si>
  <si>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</si>
  <si>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</si>
  <si>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</si>
  <si>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</si>
  <si>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</si>
  <si>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</si>
  <si>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</si>
  <si>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</si>
  <si>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</si>
  <si>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</si>
  <si>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</si>
  <si>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</si>
  <si>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</si>
  <si>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</si>
  <si>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</si>
  <si>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</si>
  <si>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</si>
  <si>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</si>
  <si>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</si>
  <si>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</si>
  <si>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</si>
  <si>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</si>
  <si>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</si>
  <si>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</si>
  <si>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</si>
  <si>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</si>
  <si>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</si>
  <si>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</si>
  <si>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</si>
  <si>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</si>
  <si>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</si>
  <si>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</si>
  <si>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</si>
  <si>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</si>
  <si>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</si>
  <si>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</si>
  <si>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</si>
  <si>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</si>
  <si>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</si>
  <si>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</si>
  <si>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</si>
  <si>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</si>
  <si>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</si>
  <si>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</si>
  <si>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</si>
  <si>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</si>
  <si>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</si>
  <si>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</si>
  <si>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</si>
  <si>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</si>
  <si>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</si>
  <si>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</si>
  <si>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</si>
  <si>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</si>
  <si>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</si>
  <si>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</si>
  <si>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</si>
  <si>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</si>
  <si>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</si>
  <si>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</si>
  <si>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</si>
  <si>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</si>
  <si>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</si>
  <si>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</si>
  <si>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</si>
  <si>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</si>
  <si>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</si>
  <si>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</si>
  <si>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</si>
  <si>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</si>
  <si>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</si>
  <si>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</si>
  <si>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</si>
  <si>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</si>
  <si>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</si>
  <si>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</si>
  <si>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</si>
  <si>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</si>
  <si>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</si>
  <si>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</si>
  <si>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</si>
  <si>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</si>
  <si>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</si>
  <si>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</si>
  <si>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</si>
  <si>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</si>
  <si>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</si>
  <si>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</si>
  <si>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</si>
  <si>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</si>
  <si>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</si>
  <si>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</si>
  <si>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</si>
  <si>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</si>
  <si>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</si>
  <si>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</si>
  <si>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</si>
  <si>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</si>
  <si>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</si>
  <si>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</si>
  <si>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</si>
  <si>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</si>
  <si>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</si>
  <si>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</si>
  <si>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</si>
  <si>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</si>
  <si>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</si>
  <si>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</si>
  <si>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</si>
  <si>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</si>
  <si>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</si>
  <si>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</si>
  <si>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</si>
  <si>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</si>
  <si>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</si>
  <si>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</si>
  <si>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</si>
  <si>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</si>
  <si>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</si>
  <si>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</si>
  <si>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</si>
  <si>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</si>
  <si>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</si>
  <si>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</si>
  <si>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</si>
  <si>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</si>
  <si>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</si>
  <si>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</si>
  <si>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</si>
  <si>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</si>
  <si>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</si>
  <si>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</si>
  <si>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</si>
  <si>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</si>
  <si>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</si>
  <si>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</si>
  <si>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</si>
  <si>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</si>
  <si>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</si>
  <si>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</si>
  <si>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</si>
  <si>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</si>
  <si>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</si>
  <si>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</si>
  <si>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</si>
  <si>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</si>
  <si>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</si>
  <si>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</si>
  <si>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</si>
  <si>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</si>
  <si>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</si>
  <si>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</si>
  <si>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</si>
  <si>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</si>
  <si>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</si>
  <si>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</si>
  <si>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</si>
  <si>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</si>
  <si>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</si>
  <si>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</si>
  <si>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</si>
  <si>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</si>
  <si>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</si>
  <si>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</si>
  <si>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</si>
  <si>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</si>
  <si>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</si>
  <si>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</si>
  <si>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</si>
  <si>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</si>
  <si>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</si>
  <si>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</si>
  <si>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</si>
  <si>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</si>
  <si>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</si>
  <si>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</si>
  <si>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</si>
  <si>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</si>
  <si>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</si>
  <si>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</si>
  <si>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</si>
  <si>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</si>
  <si>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</si>
  <si>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</si>
  <si>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</si>
  <si>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</si>
  <si>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</si>
  <si>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</si>
  <si>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</si>
  <si>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</si>
  <si>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</si>
  <si>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</si>
  <si>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</si>
  <si>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</si>
  <si>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</si>
  <si>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</si>
  <si>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</si>
  <si>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</si>
  <si>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</si>
  <si>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</si>
  <si>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</si>
  <si>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</si>
  <si>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</si>
  <si>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</si>
  <si>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</si>
  <si>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</si>
  <si>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</si>
  <si>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</si>
  <si>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</si>
  <si>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</si>
  <si>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</si>
  <si>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</si>
  <si>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Forte Vale</t>
  </si>
  <si>
    <t>Gifutil</t>
  </si>
  <si>
    <t>Onyx Importadora</t>
  </si>
  <si>
    <t>145574..145578</t>
  </si>
  <si>
    <t>Qualiplas</t>
  </si>
  <si>
    <t>Sagol Delta Max</t>
  </si>
  <si>
    <t>Matrix Brinquedos</t>
  </si>
  <si>
    <t>Futuro Brasil</t>
  </si>
  <si>
    <t>CONTABIL</t>
  </si>
  <si>
    <t>148930..148933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</si>
</sst>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4" fillId="5" borderId="5" xfId="0"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164" fontId="29" fillId="0" borderId="20" xfId="0" applyNumberFormat="1" applyFont="1" applyBorder="1" applyAlignment="1">
      <alignment horizontal="center"/>
    </xf>
    <xf numFmtId="0" fontId="0" fillId="0" borderId="20" xfId="0" applyBorder="1"/>
    <xf numFmtId="0" fontId="19" fillId="0" borderId="5" xfId="0" applyFont="1" applyBorder="1" applyAlignment="1">
      <alignment horizontal="center" vertical="center"/>
    </xf>
    <xf numFmtId="0" fontId="0" fillId="0" borderId="37" xfId="0" applyBorder="1"/>
    <xf numFmtId="0" fontId="0" fillId="0" borderId="2" xfId="0" applyBorder="1"/>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alignment horizontal="center"/>
    </dxf>
    <dxf>
      <alignment horizontal="center"/>
    </dxf>
    <dxf>
      <numFmt numFmtId="164" formatCode="&quot;R$&quot;\ #,##0.00"/>
    </dxf>
    <dxf>
      <numFmt numFmtId="34" formatCode="_-&quot;R$&quot;\ * #,##0.00_-;\-&quot;R$&quot;\ * #,##0.00_-;_-&quot;R$&quot;\ * &quot;-&quot;??_-;_-@_-"/>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font>
        <sz val="10"/>
      </font>
    </dxf>
    <dxf>
      <font>
        <sz val="10"/>
      </font>
    </dxf>
    <dxf>
      <font>
        <sz val="10"/>
      </font>
    </dxf>
    <dxf>
      <font>
        <name val="Calibri Light"/>
        <family val="2"/>
      </font>
    </dxf>
    <dxf>
      <font>
        <name val="Calibri Light"/>
        <family val="2"/>
      </font>
    </dxf>
    <dxf>
      <font>
        <name val="Calibri Light"/>
        <family val="2"/>
      </font>
    </dxf>
    <dxf>
      <fill>
        <patternFill patternType="solid">
          <bgColor theme="0" tint="-0.499984740745262"/>
        </patternFill>
      </fill>
    </dxf>
    <dxf>
      <fill>
        <patternFill patternType="solid">
          <bgColor theme="0" tint="-0.499984740745262"/>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276">
      <pivotArea type="all" dataOnly="0" outline="0" fieldPosition="0"/>
    </format>
    <format dxfId="275">
      <pivotArea field="18" type="button" dataOnly="0" labelOnly="1" outline="0" axis="axisRow" fieldPosition="0"/>
    </format>
    <format dxfId="274">
      <pivotArea dataOnly="0" labelOnly="1" outline="0" fieldPosition="0">
        <references count="1">
          <reference field="4294967294" count="2">
            <x v="0"/>
            <x v="1"/>
          </reference>
        </references>
      </pivotArea>
    </format>
    <format dxfId="273">
      <pivotArea type="all" dataOnly="0" outline="0" fieldPosition="0"/>
    </format>
    <format dxfId="272">
      <pivotArea field="18" type="button" dataOnly="0" labelOnly="1" outline="0" axis="axisRow" fieldPosition="0"/>
    </format>
    <format dxfId="271">
      <pivotArea dataOnly="0" labelOnly="1" outline="0" fieldPosition="0">
        <references count="1">
          <reference field="4294967294" count="2">
            <x v="0"/>
            <x v="1"/>
          </reference>
        </references>
      </pivotArea>
    </format>
    <format dxfId="270">
      <pivotArea collapsedLevelsAreSubtotals="1" fieldPosition="0">
        <references count="1">
          <reference field="18" count="1">
            <x v="0"/>
          </reference>
        </references>
      </pivotArea>
    </format>
    <format dxfId="269">
      <pivotArea collapsedLevelsAreSubtotals="1" fieldPosition="0">
        <references count="1">
          <reference field="18" count="1">
            <x v="1"/>
          </reference>
        </references>
      </pivotArea>
    </format>
    <format dxfId="268">
      <pivotArea collapsedLevelsAreSubtotals="1" fieldPosition="0">
        <references count="1">
          <reference field="18" count="1">
            <x v="2"/>
          </reference>
        </references>
      </pivotArea>
    </format>
    <format dxfId="267">
      <pivotArea collapsedLevelsAreSubtotals="1" fieldPosition="0">
        <references count="1">
          <reference field="18" count="1">
            <x v="3"/>
          </reference>
        </references>
      </pivotArea>
    </format>
    <format dxfId="266">
      <pivotArea collapsedLevelsAreSubtotals="1" fieldPosition="0">
        <references count="1">
          <reference field="18" count="1">
            <x v="4"/>
          </reference>
        </references>
      </pivotArea>
    </format>
    <format dxfId="265">
      <pivotArea collapsedLevelsAreSubtotals="1" fieldPosition="0">
        <references count="1">
          <reference field="18" count="1">
            <x v="5"/>
          </reference>
        </references>
      </pivotArea>
    </format>
    <format dxfId="264">
      <pivotArea collapsedLevelsAreSubtotals="1" fieldPosition="0">
        <references count="1">
          <reference field="18" count="1">
            <x v="6"/>
          </reference>
        </references>
      </pivotArea>
    </format>
    <format dxfId="263">
      <pivotArea collapsedLevelsAreSubtotals="1" fieldPosition="0">
        <references count="1">
          <reference field="18" count="1">
            <x v="7"/>
          </reference>
        </references>
      </pivotArea>
    </format>
    <format dxfId="262">
      <pivotArea collapsedLevelsAreSubtotals="1" fieldPosition="0">
        <references count="1">
          <reference field="18" count="1">
            <x v="8"/>
          </reference>
        </references>
      </pivotArea>
    </format>
    <format dxfId="261">
      <pivotArea collapsedLevelsAreSubtotals="1" fieldPosition="0">
        <references count="1">
          <reference field="18" count="1">
            <x v="9"/>
          </reference>
        </references>
      </pivotArea>
    </format>
    <format dxfId="260">
      <pivotArea collapsedLevelsAreSubtotals="1" fieldPosition="0">
        <references count="1">
          <reference field="18" count="1">
            <x v="10"/>
          </reference>
        </references>
      </pivotArea>
    </format>
    <format dxfId="259">
      <pivotArea outline="0" collapsedLevelsAreSubtotals="1" fieldPosition="0">
        <references count="1">
          <reference field="4294967294" count="1" selected="0">
            <x v="1"/>
          </reference>
        </references>
      </pivotArea>
    </format>
    <format dxfId="258">
      <pivotArea collapsedLevelsAreSubtotals="1" fieldPosition="0">
        <references count="2">
          <reference field="4294967294" count="1" selected="0">
            <x v="0"/>
          </reference>
          <reference field="18" count="1">
            <x v="0"/>
          </reference>
        </references>
      </pivotArea>
    </format>
    <format dxfId="257">
      <pivotArea collapsedLevelsAreSubtotals="1" fieldPosition="0">
        <references count="2">
          <reference field="4294967294" count="1" selected="0">
            <x v="0"/>
          </reference>
          <reference field="18" count="1">
            <x v="1"/>
          </reference>
        </references>
      </pivotArea>
    </format>
    <format dxfId="256">
      <pivotArea collapsedLevelsAreSubtotals="1" fieldPosition="0">
        <references count="2">
          <reference field="4294967294" count="1" selected="0">
            <x v="0"/>
          </reference>
          <reference field="18" count="1">
            <x v="2"/>
          </reference>
        </references>
      </pivotArea>
    </format>
    <format dxfId="255">
      <pivotArea collapsedLevelsAreSubtotals="1" fieldPosition="0">
        <references count="2">
          <reference field="4294967294" count="1" selected="0">
            <x v="0"/>
          </reference>
          <reference field="18" count="1">
            <x v="3"/>
          </reference>
        </references>
      </pivotArea>
    </format>
    <format dxfId="254">
      <pivotArea collapsedLevelsAreSubtotals="1" fieldPosition="0">
        <references count="2">
          <reference field="4294967294" count="1" selected="0">
            <x v="0"/>
          </reference>
          <reference field="18" count="1">
            <x v="4"/>
          </reference>
        </references>
      </pivotArea>
    </format>
    <format dxfId="253">
      <pivotArea collapsedLevelsAreSubtotals="1" fieldPosition="0">
        <references count="2">
          <reference field="4294967294" count="1" selected="0">
            <x v="0"/>
          </reference>
          <reference field="18" count="1">
            <x v="5"/>
          </reference>
        </references>
      </pivotArea>
    </format>
    <format dxfId="252">
      <pivotArea collapsedLevelsAreSubtotals="1" fieldPosition="0">
        <references count="2">
          <reference field="4294967294" count="1" selected="0">
            <x v="0"/>
          </reference>
          <reference field="18" count="1">
            <x v="6"/>
          </reference>
        </references>
      </pivotArea>
    </format>
    <format dxfId="251">
      <pivotArea collapsedLevelsAreSubtotals="1" fieldPosition="0">
        <references count="2">
          <reference field="4294967294" count="1" selected="0">
            <x v="0"/>
          </reference>
          <reference field="18" count="1">
            <x v="7"/>
          </reference>
        </references>
      </pivotArea>
    </format>
    <format dxfId="250">
      <pivotArea collapsedLevelsAreSubtotals="1" fieldPosition="0">
        <references count="2">
          <reference field="4294967294" count="1" selected="0">
            <x v="0"/>
          </reference>
          <reference field="18" count="1">
            <x v="8"/>
          </reference>
        </references>
      </pivotArea>
    </format>
    <format dxfId="249">
      <pivotArea collapsedLevelsAreSubtotals="1" fieldPosition="0">
        <references count="2">
          <reference field="4294967294" count="1" selected="0">
            <x v="0"/>
          </reference>
          <reference field="18" count="1">
            <x v="9"/>
          </reference>
        </references>
      </pivotArea>
    </format>
    <format dxfId="248">
      <pivotArea collapsedLevelsAreSubtotals="1" fieldPosition="0">
        <references count="2">
          <reference field="4294967294" count="1" selected="0">
            <x v="0"/>
          </reference>
          <reference field="18" count="1">
            <x v="10"/>
          </reference>
        </references>
      </pivotArea>
    </format>
    <format dxfId="247">
      <pivotArea collapsedLevelsAreSubtotals="1" fieldPosition="0">
        <references count="2">
          <reference field="4294967294" count="1" selected="0">
            <x v="0"/>
          </reference>
          <reference field="18" count="1">
            <x v="11"/>
          </reference>
        </references>
      </pivotArea>
    </format>
    <format dxfId="246">
      <pivotArea outline="0" collapsedLevelsAreSubtotals="1" fieldPosition="0"/>
    </format>
    <format dxfId="245">
      <pivotArea dataOnly="0" labelOnly="1" fieldPosition="0">
        <references count="1">
          <reference field="18" count="0"/>
        </references>
      </pivotArea>
    </format>
    <format dxfId="244">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43">
      <pivotArea outline="0" collapsedLevelsAreSubtotals="1" fieldPosition="0"/>
    </format>
    <format dxfId="242">
      <pivotArea dataOnly="0" labelOnly="1" fieldPosition="0">
        <references count="1">
          <reference field="18" count="0"/>
        </references>
      </pivotArea>
    </format>
    <format dxfId="241">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282">
      <pivotArea outline="0" collapsedLevelsAreSubtotals="1" fieldPosition="0"/>
    </format>
    <format dxfId="281">
      <pivotArea dataOnly="0" labelOnly="1" fieldPosition="0">
        <references count="1">
          <reference field="18" count="0"/>
        </references>
      </pivotArea>
    </format>
    <format dxfId="28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79">
      <pivotArea outline="0" collapsedLevelsAreSubtotals="1" fieldPosition="0"/>
    </format>
    <format dxfId="278">
      <pivotArea dataOnly="0" labelOnly="1" fieldPosition="0">
        <references count="1">
          <reference field="18" count="0"/>
        </references>
      </pivotArea>
    </format>
    <format dxfId="277">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284">
      <pivotArea dataOnly="0" labelOnly="1" fieldPosition="0">
        <references count="1">
          <reference field="6" count="1">
            <x v="441"/>
          </reference>
        </references>
      </pivotArea>
    </format>
    <format dxfId="28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31">
      <pivotArea dataOnly="0" labelOnly="1" outline="0" axis="axisValues" fieldPosition="0"/>
    </format>
    <format dxfId="130">
      <pivotArea field="21" type="button" dataOnly="0" labelOnly="1" outline="0" axis="axisRow" fieldPosition="0"/>
    </format>
    <format dxfId="129">
      <pivotArea field="4" type="button" dataOnly="0" labelOnly="1" outline="0" axis="axisRow" fieldPosition="1"/>
    </format>
    <format dxfId="128">
      <pivotArea dataOnly="0" labelOnly="1" outline="0" axis="axisValues" fieldPosition="0"/>
    </format>
    <format dxfId="127">
      <pivotArea grandRow="1" outline="0" collapsedLevelsAreSubtotals="1" fieldPosition="0"/>
    </format>
    <format dxfId="12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32">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35">
      <pivotArea outline="0" collapsedLevelsAreSubtotals="1" fieldPosition="0"/>
    </format>
    <format dxfId="134">
      <pivotArea outline="0" fieldPosition="0">
        <references count="1">
          <reference field="4294967294" count="3" selected="0">
            <x v="1"/>
            <x v="2"/>
            <x v="3"/>
          </reference>
        </references>
      </pivotArea>
    </format>
    <format dxfId="13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39">
      <pivotArea field="21" type="button" dataOnly="0" labelOnly="1" outline="0" axis="axisRow" fieldPosition="0"/>
    </format>
    <format dxfId="138">
      <pivotArea dataOnly="0" labelOnly="1" outline="0" axis="axisValues" fieldPosition="0"/>
    </format>
    <format dxfId="137">
      <pivotArea grandRow="1" outline="0" collapsedLevelsAreSubtotals="1" fieldPosition="0"/>
    </format>
    <format dxfId="13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43">
      <pivotArea grandRow="1" outline="0" collapsedLevelsAreSubtotals="1" fieldPosition="0"/>
    </format>
    <format dxfId="142">
      <pivotArea dataOnly="0" labelOnly="1" grandRow="1" outline="0" fieldPosition="0"/>
    </format>
    <format dxfId="141">
      <pivotArea field="21" type="button" dataOnly="0" labelOnly="1" outline="0" axis="axisRow" fieldPosition="0"/>
    </format>
    <format dxfId="140">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54">
      <pivotArea type="all" dataOnly="0" outline="0" fieldPosition="0"/>
    </format>
    <format dxfId="53">
      <pivotArea outline="0" collapsedLevelsAreSubtotals="1" fieldPosition="0"/>
    </format>
    <format dxfId="52">
      <pivotArea type="origin" dataOnly="0" labelOnly="1" outline="0" fieldPosition="0"/>
    </format>
    <format dxfId="51">
      <pivotArea field="5" type="button" dataOnly="0" labelOnly="1" outline="0" axis="axisCol" fieldPosition="0"/>
    </format>
    <format dxfId="50">
      <pivotArea type="topRight" dataOnly="0" labelOnly="1" outline="0" fieldPosition="0"/>
    </format>
    <format dxfId="49">
      <pivotArea field="2" type="button" dataOnly="0" labelOnly="1" outline="0" axis="axisRow" fieldPosition="0"/>
    </format>
    <format dxfId="48">
      <pivotArea dataOnly="0" labelOnly="1" fieldPosition="0">
        <references count="1">
          <reference field="2" count="0"/>
        </references>
      </pivotArea>
    </format>
    <format dxfId="47">
      <pivotArea dataOnly="0" labelOnly="1" grandRow="1" outline="0" fieldPosition="0"/>
    </format>
    <format dxfId="46">
      <pivotArea dataOnly="0" labelOnly="1" fieldPosition="0">
        <references count="1">
          <reference field="5" count="0"/>
        </references>
      </pivotArea>
    </format>
    <format dxfId="45">
      <pivotArea dataOnly="0" labelOnly="1" grandCol="1" outline="0" fieldPosition="0"/>
    </format>
    <format dxfId="44">
      <pivotArea type="origin" dataOnly="0" labelOnly="1" outline="0" fieldPosition="0"/>
    </format>
    <format dxfId="43">
      <pivotArea field="5" type="button" dataOnly="0" labelOnly="1" outline="0" axis="axisCol" fieldPosition="0"/>
    </format>
    <format dxfId="42">
      <pivotArea type="topRight" dataOnly="0" labelOnly="1" outline="0" fieldPosition="0"/>
    </format>
    <format dxfId="41">
      <pivotArea field="2" type="button" dataOnly="0" labelOnly="1" outline="0" axis="axisRow" fieldPosition="0"/>
    </format>
    <format dxfId="40">
      <pivotArea dataOnly="0" labelOnly="1" fieldPosition="0">
        <references count="1">
          <reference field="5" count="0"/>
        </references>
      </pivotArea>
    </format>
    <format dxfId="39">
      <pivotArea dataOnly="0" labelOnly="1" grandCol="1" outline="0" fieldPosition="0"/>
    </format>
    <format dxfId="38">
      <pivotArea type="origin" dataOnly="0" labelOnly="1" outline="0" fieldPosition="0"/>
    </format>
    <format dxfId="37">
      <pivotArea field="5" type="button" dataOnly="0" labelOnly="1" outline="0" axis="axisCol" fieldPosition="0"/>
    </format>
    <format dxfId="36">
      <pivotArea type="topRight" dataOnly="0" labelOnly="1" outline="0" fieldPosition="0"/>
    </format>
    <format dxfId="35">
      <pivotArea field="2" type="button" dataOnly="0" labelOnly="1" outline="0" axis="axisRow" fieldPosition="0"/>
    </format>
    <format dxfId="34">
      <pivotArea dataOnly="0" labelOnly="1" fieldPosition="0">
        <references count="1">
          <reference field="5" count="0"/>
        </references>
      </pivotArea>
    </format>
    <format dxfId="33">
      <pivotArea dataOnly="0" labelOnly="1" grandCol="1" outline="0" fieldPosition="0"/>
    </format>
    <format dxfId="32">
      <pivotArea grandRow="1" outline="0" collapsedLevelsAreSubtotals="1" fieldPosition="0"/>
    </format>
    <format dxfId="31">
      <pivotArea dataOnly="0" labelOnly="1" grandRow="1" outline="0" fieldPosition="0"/>
    </format>
    <format dxfId="30">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79">
      <pivotArea type="all" dataOnly="0" outline="0" fieldPosition="0"/>
    </format>
    <format dxfId="78">
      <pivotArea outline="0" collapsedLevelsAreSubtotals="1" fieldPosition="0"/>
    </format>
    <format dxfId="77">
      <pivotArea field="18" type="button" dataOnly="0" labelOnly="1" outline="0" axis="axisRow" fieldPosition="0"/>
    </format>
    <format dxfId="76">
      <pivotArea dataOnly="0" labelOnly="1" fieldPosition="0">
        <references count="1">
          <reference field="18" count="11">
            <x v="3"/>
            <x v="4"/>
            <x v="5"/>
            <x v="6"/>
            <x v="7"/>
            <x v="8"/>
            <x v="9"/>
            <x v="10"/>
            <x v="11"/>
            <x v="12"/>
            <x v="13"/>
          </reference>
        </references>
      </pivotArea>
    </format>
    <format dxfId="75">
      <pivotArea dataOnly="0" labelOnly="1" grandRow="1" outline="0" fieldPosition="0"/>
    </format>
    <format dxfId="74">
      <pivotArea dataOnly="0" labelOnly="1" outline="0" fieldPosition="0">
        <references count="1">
          <reference field="4294967294" count="2">
            <x v="0"/>
            <x v="1"/>
          </reference>
        </references>
      </pivotArea>
    </format>
    <format dxfId="73">
      <pivotArea type="all" dataOnly="0" outline="0" fieldPosition="0"/>
    </format>
    <format dxfId="72">
      <pivotArea outline="0" collapsedLevelsAreSubtotals="1" fieldPosition="0"/>
    </format>
    <format dxfId="71">
      <pivotArea field="18" type="button" dataOnly="0" labelOnly="1" outline="0" axis="axisRow" fieldPosition="0"/>
    </format>
    <format dxfId="70">
      <pivotArea dataOnly="0" labelOnly="1" fieldPosition="0">
        <references count="1">
          <reference field="18" count="11">
            <x v="3"/>
            <x v="4"/>
            <x v="5"/>
            <x v="6"/>
            <x v="7"/>
            <x v="8"/>
            <x v="9"/>
            <x v="10"/>
            <x v="11"/>
            <x v="12"/>
            <x v="13"/>
          </reference>
        </references>
      </pivotArea>
    </format>
    <format dxfId="69">
      <pivotArea dataOnly="0" labelOnly="1" grandRow="1" outline="0" fieldPosition="0"/>
    </format>
    <format dxfId="68">
      <pivotArea dataOnly="0" labelOnly="1" outline="0" fieldPosition="0">
        <references count="1">
          <reference field="4294967294" count="2">
            <x v="0"/>
            <x v="1"/>
          </reference>
        </references>
      </pivotArea>
    </format>
    <format dxfId="67">
      <pivotArea collapsedLevelsAreSubtotals="1" fieldPosition="0">
        <references count="1">
          <reference field="18" count="1">
            <x v="13"/>
          </reference>
        </references>
      </pivotArea>
    </format>
    <format dxfId="66">
      <pivotArea collapsedLevelsAreSubtotals="1" fieldPosition="0">
        <references count="1">
          <reference field="18" count="1">
            <x v="12"/>
          </reference>
        </references>
      </pivotArea>
    </format>
    <format dxfId="65">
      <pivotArea collapsedLevelsAreSubtotals="1" fieldPosition="0">
        <references count="1">
          <reference field="18" count="1">
            <x v="11"/>
          </reference>
        </references>
      </pivotArea>
    </format>
    <format dxfId="64">
      <pivotArea collapsedLevelsAreSubtotals="1" fieldPosition="0">
        <references count="1">
          <reference field="18" count="1">
            <x v="10"/>
          </reference>
        </references>
      </pivotArea>
    </format>
    <format dxfId="63">
      <pivotArea collapsedLevelsAreSubtotals="1" fieldPosition="0">
        <references count="1">
          <reference field="18" count="1">
            <x v="9"/>
          </reference>
        </references>
      </pivotArea>
    </format>
    <format dxfId="62">
      <pivotArea collapsedLevelsAreSubtotals="1" fieldPosition="0">
        <references count="1">
          <reference field="18" count="1">
            <x v="8"/>
          </reference>
        </references>
      </pivotArea>
    </format>
    <format dxfId="61">
      <pivotArea collapsedLevelsAreSubtotals="1" fieldPosition="0">
        <references count="1">
          <reference field="18" count="1">
            <x v="7"/>
          </reference>
        </references>
      </pivotArea>
    </format>
    <format dxfId="60">
      <pivotArea collapsedLevelsAreSubtotals="1" fieldPosition="0">
        <references count="1">
          <reference field="18" count="1">
            <x v="6"/>
          </reference>
        </references>
      </pivotArea>
    </format>
    <format dxfId="59">
      <pivotArea collapsedLevelsAreSubtotals="1" fieldPosition="0">
        <references count="1">
          <reference field="18" count="1">
            <x v="5"/>
          </reference>
        </references>
      </pivotArea>
    </format>
    <format dxfId="58">
      <pivotArea collapsedLevelsAreSubtotals="1" fieldPosition="0">
        <references count="1">
          <reference field="18" count="1">
            <x v="4"/>
          </reference>
        </references>
      </pivotArea>
    </format>
    <format dxfId="57">
      <pivotArea collapsedLevelsAreSubtotals="1" fieldPosition="0">
        <references count="1">
          <reference field="18" count="1">
            <x v="3"/>
          </reference>
        </references>
      </pivotArea>
    </format>
    <format dxfId="56">
      <pivotArea dataOnly="0" labelOnly="1" fieldPosition="0">
        <references count="1">
          <reference field="18" count="11">
            <x v="3"/>
            <x v="4"/>
            <x v="5"/>
            <x v="6"/>
            <x v="7"/>
            <x v="8"/>
            <x v="9"/>
            <x v="10"/>
            <x v="11"/>
            <x v="12"/>
            <x v="13"/>
          </reference>
        </references>
      </pivotArea>
    </format>
    <format dxfId="55">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05">
      <pivotArea field="5" type="button" dataOnly="0" labelOnly="1" outline="0" axis="axisRow" fieldPosition="0"/>
    </format>
    <format dxfId="104">
      <pivotArea dataOnly="0" labelOnly="1" outline="0" fieldPosition="0">
        <references count="1">
          <reference field="4294967294" count="2">
            <x v="0"/>
            <x v="1"/>
          </reference>
        </references>
      </pivotArea>
    </format>
    <format dxfId="103">
      <pivotArea field="5" type="button" dataOnly="0" labelOnly="1" outline="0" axis="axisRow" fieldPosition="0"/>
    </format>
    <format dxfId="102">
      <pivotArea dataOnly="0" labelOnly="1" outline="0" fieldPosition="0">
        <references count="1">
          <reference field="4294967294" count="2">
            <x v="0"/>
            <x v="1"/>
          </reference>
        </references>
      </pivotArea>
    </format>
    <format dxfId="101">
      <pivotArea type="all" dataOnly="0" outline="0" fieldPosition="0"/>
    </format>
    <format dxfId="100">
      <pivotArea dataOnly="0" labelOnly="1" grandRow="1" outline="0" fieldPosition="0"/>
    </format>
    <format dxfId="99">
      <pivotArea grandRow="1" outline="0" collapsedLevelsAreSubtotals="1" fieldPosition="0"/>
    </format>
    <format dxfId="98">
      <pivotArea dataOnly="0" labelOnly="1" grandRow="1" outline="0" fieldPosition="0"/>
    </format>
    <format dxfId="97">
      <pivotArea grandRow="1" outline="0" collapsedLevelsAreSubtotals="1" fieldPosition="0"/>
    </format>
    <format dxfId="96">
      <pivotArea dataOnly="0" labelOnly="1" grandRow="1" outline="0" fieldPosition="0"/>
    </format>
    <format dxfId="95">
      <pivotArea grandRow="1" outline="0" collapsedLevelsAreSubtotals="1" fieldPosition="0"/>
    </format>
    <format dxfId="94">
      <pivotArea dataOnly="0" labelOnly="1" grandRow="1" outline="0" fieldPosition="0"/>
    </format>
    <format dxfId="93">
      <pivotArea field="5" type="button" dataOnly="0" labelOnly="1" outline="0" axis="axisRow" fieldPosition="0"/>
    </format>
    <format dxfId="92">
      <pivotArea dataOnly="0" labelOnly="1" outline="0" fieldPosition="0">
        <references count="1">
          <reference field="4294967294" count="2">
            <x v="0"/>
            <x v="1"/>
          </reference>
        </references>
      </pivotArea>
    </format>
    <format dxfId="91">
      <pivotArea type="all" dataOnly="0" outline="0" fieldPosition="0"/>
    </format>
    <format dxfId="90">
      <pivotArea outline="0" collapsedLevelsAreSubtotals="1" fieldPosition="0"/>
    </format>
    <format dxfId="89">
      <pivotArea field="5" type="button" dataOnly="0" labelOnly="1" outline="0" axis="axisRow" fieldPosition="0"/>
    </format>
    <format dxfId="88">
      <pivotArea dataOnly="0" labelOnly="1" fieldPosition="0">
        <references count="1">
          <reference field="5" count="0"/>
        </references>
      </pivotArea>
    </format>
    <format dxfId="87">
      <pivotArea dataOnly="0" labelOnly="1" grandRow="1" outline="0" fieldPosition="0"/>
    </format>
    <format dxfId="86">
      <pivotArea dataOnly="0" labelOnly="1" outline="0" fieldPosition="0">
        <references count="1">
          <reference field="4294967294" count="2">
            <x v="0"/>
            <x v="1"/>
          </reference>
        </references>
      </pivotArea>
    </format>
    <format dxfId="85">
      <pivotArea type="all" dataOnly="0" outline="0" fieldPosition="0"/>
    </format>
    <format dxfId="84">
      <pivotArea outline="0" collapsedLevelsAreSubtotals="1" fieldPosition="0"/>
    </format>
    <format dxfId="83">
      <pivotArea field="5" type="button" dataOnly="0" labelOnly="1" outline="0" axis="axisRow" fieldPosition="0"/>
    </format>
    <format dxfId="82">
      <pivotArea dataOnly="0" labelOnly="1" fieldPosition="0">
        <references count="1">
          <reference field="5" count="0"/>
        </references>
      </pivotArea>
    </format>
    <format dxfId="81">
      <pivotArea dataOnly="0" labelOnly="1" grandRow="1" outline="0" fieldPosition="0"/>
    </format>
    <format dxfId="8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25">
      <pivotArea field="4" type="button" dataOnly="0" labelOnly="1" outline="0" axis="axisRow" fieldPosition="0"/>
    </format>
    <format dxfId="124">
      <pivotArea dataOnly="0" labelOnly="1" outline="0" axis="axisValues" fieldPosition="0"/>
    </format>
    <format dxfId="123">
      <pivotArea grandRow="1" outline="0" collapsedLevelsAreSubtotals="1" fieldPosition="0"/>
    </format>
    <format dxfId="122">
      <pivotArea dataOnly="0" labelOnly="1" grandRow="1" outline="0" fieldPosition="0"/>
    </format>
    <format dxfId="121">
      <pivotArea type="all" dataOnly="0" outline="0" fieldPosition="0"/>
    </format>
    <format dxfId="120">
      <pivotArea outline="0" collapsedLevelsAreSubtotals="1" fieldPosition="0"/>
    </format>
    <format dxfId="119">
      <pivotArea field="4" type="button" dataOnly="0" labelOnly="1" outline="0" axis="axisRow" fieldPosition="0"/>
    </format>
    <format dxfId="118">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17">
      <pivotArea dataOnly="0" labelOnly="1" grandRow="1" outline="0" fieldPosition="0"/>
    </format>
    <format dxfId="116">
      <pivotArea dataOnly="0" labelOnly="1" outline="0" axis="axisValues" fieldPosition="0"/>
    </format>
    <format dxfId="115">
      <pivotArea type="all" dataOnly="0" outline="0" fieldPosition="0"/>
    </format>
    <format dxfId="114">
      <pivotArea outline="0" collapsedLevelsAreSubtotals="1" fieldPosition="0"/>
    </format>
    <format dxfId="113">
      <pivotArea field="4" type="button" dataOnly="0" labelOnly="1" outline="0" axis="axisRow" fieldPosition="0"/>
    </format>
    <format dxfId="112">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11">
      <pivotArea dataOnly="0" labelOnly="1" grandRow="1" outline="0" fieldPosition="0"/>
    </format>
    <format dxfId="110">
      <pivotArea dataOnly="0" labelOnly="1" outline="0" axis="axisValues" fieldPosition="0"/>
    </format>
    <format dxfId="109">
      <pivotArea field="4" type="button" dataOnly="0" labelOnly="1" outline="0" axis="axisRow" fieldPosition="0"/>
    </format>
    <format dxfId="108">
      <pivotArea dataOnly="0" labelOnly="1" outline="0" axis="axisValues" fieldPosition="0"/>
    </format>
    <format dxfId="107">
      <pivotArea grandRow="1" outline="0" collapsedLevelsAreSubtotals="1" fieldPosition="0"/>
    </format>
    <format dxfId="10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8">
      <pivotArea outline="0" collapsedLevelsAreSubtotals="1" fieldPosition="0"/>
    </format>
    <format dxfId="27">
      <pivotArea dataOnly="0" labelOnly="1" fieldPosition="0">
        <references count="1">
          <reference field="1" count="0"/>
        </references>
      </pivotArea>
    </format>
    <format dxfId="26">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29">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80" totalsRowCount="1" headerRowDxfId="394" dataDxfId="392" headerRowBorderDxfId="393" tableBorderDxfId="391" totalsRowBorderDxfId="390">
  <autoFilter ref="A1:V279" xr:uid="{00000000-0009-0000-0100-000001000000}">
    <filterColumn colId="0">
      <filters>
        <dateGroupItem year="2026" month="9" dateTimeGrouping="month"/>
      </filters>
    </filterColumn>
  </autoFilter>
  <tableColumns count="22">
    <tableColumn id="1" xr3:uid="{00000000-0010-0000-0000-000001000000}" name="Data" totalsRowLabel="Total" dataDxfId="389" totalsRowDxfId="388"/>
    <tableColumn id="2" xr3:uid="{00000000-0010-0000-0000-000002000000}" name="Ticket" dataDxfId="387" totalsRowDxfId="386"/>
    <tableColumn id="3" xr3:uid="{00000000-0010-0000-0000-000003000000}" name="Vendedor" dataDxfId="385" totalsRowDxfId="384"/>
    <tableColumn id="4" xr3:uid="{00000000-0010-0000-0000-000004000000}" name="Cliente" dataDxfId="383" totalsRowDxfId="382"/>
    <tableColumn id="5" xr3:uid="{00000000-0010-0000-0000-000005000000}" name="Produto" dataDxfId="381" totalsRowDxfId="380"/>
    <tableColumn id="6" xr3:uid="{00000000-0010-0000-0000-000006000000}" name="TipoReceita" dataDxfId="379" totalsRowDxfId="378"/>
    <tableColumn id="7" xr3:uid="{00000000-0010-0000-0000-000007000000}" name="Qtde" totalsRowFunction="sum" dataDxfId="377" totalsRowDxfId="376"/>
    <tableColumn id="8" xr3:uid="{00000000-0010-0000-0000-000008000000}" name="VlrUnitário" dataDxfId="375" totalsRowDxfId="374"/>
    <tableColumn id="9" xr3:uid="{00000000-0010-0000-0000-000009000000}" name="VlrTotal" totalsRowFunction="sum" dataDxfId="373" totalsRowDxfId="372"/>
    <tableColumn id="21" xr3:uid="{00000000-0010-0000-0000-000015000000}" name="Vlr Meta" totalsRowFunction="sum" dataDxfId="371" totalsRowDxfId="370"/>
    <tableColumn id="10" xr3:uid="{00000000-0010-0000-0000-00000A000000}" name="%Comissão" dataDxfId="369" totalsRowDxfId="368" dataCellStyle="Porcentagem"/>
    <tableColumn id="11" xr3:uid="{00000000-0010-0000-0000-00000B000000}" name="%ComissãoSupervisor" dataDxfId="367" totalsRowDxfId="366" dataCellStyle="Porcentagem"/>
    <tableColumn id="12" xr3:uid="{00000000-0010-0000-0000-00000C000000}" name="Base" dataDxfId="365" totalsRowDxfId="364"/>
    <tableColumn id="13" xr3:uid="{00000000-0010-0000-0000-00000D000000}" name="ComissãoVendedor " totalsRowFunction="sum" dataDxfId="363" totalsRowDxfId="362"/>
    <tableColumn id="14" xr3:uid="{00000000-0010-0000-0000-00000E000000}" name="ComissãoSupervisor" totalsRowFunction="sum" dataDxfId="361" totalsRowDxfId="360"/>
    <tableColumn id="15" xr3:uid="{00000000-0010-0000-0000-00000F000000}" name="Clicksign" dataDxfId="359" totalsRowDxfId="358"/>
    <tableColumn id="16" xr3:uid="{00000000-0010-0000-0000-000010000000}" name="Contrato_Termo Aditivo" dataDxfId="357" totalsRowDxfId="356"/>
    <tableColumn id="17" xr3:uid="{00000000-0010-0000-0000-000011000000}" name="Obs" dataDxfId="355" totalsRowDxfId="354"/>
    <tableColumn id="18" xr3:uid="{00000000-0010-0000-0000-000012000000}" name="Parcelas" dataDxfId="353" totalsRowDxfId="352"/>
    <tableColumn id="22" xr3:uid="{00000000-0010-0000-0000-000016000000}" name="Data Contrato" dataDxfId="351" totalsRowDxfId="350"/>
    <tableColumn id="19" xr3:uid="{00000000-0010-0000-0000-000013000000}" name="Contrato" dataDxfId="349" totalsRowDxfId="348"/>
    <tableColumn id="20" xr3:uid="{00000000-0010-0000-0000-000014000000}" name="SDR_RESPONSÁVEL" totalsRowFunction="count" dataDxfId="347" totalsRowDxfId="3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345" dataDxfId="343" totalsRowDxfId="341" headerRowBorderDxfId="344" tableBorderDxfId="342" totalsRowBorderDxfId="340">
  <autoFilter ref="A1:T472" xr:uid="{00000000-0009-0000-0100-000006000000}"/>
  <tableColumns count="20">
    <tableColumn id="1" xr3:uid="{00000000-0010-0000-0500-000001000000}" name="Data" dataDxfId="339" totalsRowDxfId="338"/>
    <tableColumn id="2" xr3:uid="{00000000-0010-0000-0500-000002000000}" name="Ticket" dataDxfId="337" totalsRowDxfId="336"/>
    <tableColumn id="20" xr3:uid="{00000000-0010-0000-0500-000014000000}" name="Vendedor" dataDxfId="335" totalsRowDxfId="334"/>
    <tableColumn id="21" xr3:uid="{00000000-0010-0000-0500-000015000000}" name="Cliente" dataDxfId="333" totalsRowDxfId="332"/>
    <tableColumn id="4" xr3:uid="{00000000-0010-0000-0500-000004000000}" name="Produto" dataDxfId="331" totalsRowDxfId="330"/>
    <tableColumn id="22" xr3:uid="{00000000-0010-0000-0500-000016000000}" name="TipoReceita" dataDxfId="329" totalsRowDxfId="328"/>
    <tableColumn id="5" xr3:uid="{00000000-0010-0000-0500-000005000000}" name="Qtde" totalsRowFunction="sum" dataDxfId="327" totalsRowDxfId="326"/>
    <tableColumn id="6" xr3:uid="{00000000-0010-0000-0500-000006000000}" name="VlrUnitário" dataDxfId="325" totalsRowDxfId="324"/>
    <tableColumn id="7" xr3:uid="{00000000-0010-0000-0500-000007000000}" name="VlrTotal" totalsRowFunction="sum" dataDxfId="323" totalsRowDxfId="322"/>
    <tableColumn id="8" xr3:uid="{00000000-0010-0000-0500-000008000000}" name="%Comissão" dataDxfId="321" totalsRowDxfId="320"/>
    <tableColumn id="24" xr3:uid="{00000000-0010-0000-0500-000018000000}" name="%ComissãoSupervisor" dataDxfId="319" totalsRowDxfId="318" dataCellStyle="Porcentagem"/>
    <tableColumn id="23" xr3:uid="{00000000-0010-0000-0500-000017000000}" name="Base" dataDxfId="317" totalsRowDxfId="316"/>
    <tableColumn id="12" xr3:uid="{00000000-0010-0000-0500-00000C000000}" name="ComissãoVendedor " totalsRowFunction="sum" dataDxfId="315" totalsRowDxfId="314"/>
    <tableColumn id="19" xr3:uid="{00000000-0010-0000-0500-000013000000}" name="ComissãoSupervisor" totalsRowFunction="sum" dataDxfId="313" totalsRowDxfId="312">
      <calculatedColumnFormula>I2*K2</calculatedColumnFormula>
    </tableColumn>
    <tableColumn id="13" xr3:uid="{00000000-0010-0000-0500-00000D000000}" name="Clicksign" dataDxfId="311" totalsRowDxfId="310"/>
    <tableColumn id="15" xr3:uid="{00000000-0010-0000-0500-00000F000000}" name="Contrato_Termo Aditivo" dataDxfId="309" totalsRowDxfId="308"/>
    <tableColumn id="18" xr3:uid="{00000000-0010-0000-0500-000012000000}" name="Obs" dataDxfId="307" totalsRowDxfId="306"/>
    <tableColumn id="3" xr3:uid="{00000000-0010-0000-0500-000003000000}" name="Parcelas" dataDxfId="305" totalsRowDxfId="304"/>
    <tableColumn id="9" xr3:uid="{00000000-0010-0000-0500-000009000000}" name="Contrato" dataDxfId="303" totalsRowDxfId="302"/>
    <tableColumn id="10" xr3:uid="{00000000-0010-0000-0500-00000A000000}" name="SDR_RESPONSÁVEL" totalsRowFunction="count" dataDxfId="301" totalsRowDxfId="300"/>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9" totalsRowShown="0" headerRowDxfId="299">
  <autoFilter ref="M1:AC69" xr:uid="{00000000-0009-0000-0100-000002000000}"/>
  <tableColumns count="17">
    <tableColumn id="1" xr3:uid="{00000000-0010-0000-0100-000001000000}" name="Ano" dataDxfId="298"/>
    <tableColumn id="15" xr3:uid="{00000000-0010-0000-0100-00000F000000}" name="Mês" dataDxfId="297"/>
    <tableColumn id="2" xr3:uid="{00000000-0010-0000-0100-000002000000}" name="Vendedor"/>
    <tableColumn id="16" xr3:uid="{00000000-0010-0000-0100-000010000000}" name="Lead" dataDxfId="296"/>
    <tableColumn id="3" xr3:uid="{00000000-0010-0000-0100-000003000000}" name="Propsota" dataDxfId="295"/>
    <tableColumn id="4" xr3:uid="{00000000-0010-0000-0100-000004000000}" name="Apresentação" dataDxfId="294"/>
    <tableColumn id="5" xr3:uid="{00000000-0010-0000-0100-000005000000}" name="Meta Individual" dataDxfId="293"/>
    <tableColumn id="6" xr3:uid="{00000000-0010-0000-0100-000006000000}" name="Meta Equipe" dataDxfId="292"/>
    <tableColumn id="7" xr3:uid="{00000000-0010-0000-0100-000007000000}" name="Meta Projetos" dataDxfId="291"/>
    <tableColumn id="17" xr3:uid="{00000000-0010-0000-0100-000011000000}" name="OBLead" dataDxfId="290"/>
    <tableColumn id="8" xr3:uid="{00000000-0010-0000-0100-000008000000}" name="OB Proposta "/>
    <tableColumn id="9" xr3:uid="{00000000-0010-0000-0100-000009000000}" name="OB Apresentação"/>
    <tableColumn id="10" xr3:uid="{00000000-0010-0000-0100-00000A000000}" name="OB Individual" dataDxfId="289"/>
    <tableColumn id="11" xr3:uid="{00000000-0010-0000-0100-00000B000000}" name="OBEquipe" dataDxfId="288"/>
    <tableColumn id="12" xr3:uid="{00000000-0010-0000-0100-00000C000000}" name="OB Projetos" dataDxfId="287"/>
    <tableColumn id="13" xr3:uid="{00000000-0010-0000-0100-00000D000000}" name="OBI" dataDxfId="286" dataCellStyle="Porcentagem">
      <calculatedColumnFormula>metas[[#This Row],[Meta Individual]]/metas[[#This Row],[OB Individual]]</calculatedColumnFormula>
    </tableColumn>
    <tableColumn id="14" xr3:uid="{00000000-0010-0000-0100-00000E000000}" name="OBE" dataDxfId="285" dataCellStyle="Porcentagem"/>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40">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39"/>
    <tableColumn id="3" xr3:uid="{00000000-0010-0000-0200-000003000000}" name="Produto"/>
    <tableColumn id="4" xr3:uid="{00000000-0010-0000-0200-000004000000}" name="Responsável" dataDxfId="238"/>
    <tableColumn id="5" xr3:uid="{00000000-0010-0000-0200-000005000000}" name="Vlr Projeto" dataDxfId="237"/>
    <tableColumn id="6" xr3:uid="{00000000-0010-0000-0200-000006000000}" name="Mensalidade" dataDxfId="236"/>
    <tableColumn id="7" xr3:uid="{00000000-0010-0000-0200-000007000000}" name="Horas" dataDxfId="235"/>
    <tableColumn id="8" xr3:uid="{00000000-0010-0000-0200-000008000000}" name="Pipeline"/>
    <tableColumn id="9" xr3:uid="{00000000-0010-0000-0200-000009000000}" name="Temperatura" dataDxfId="234"/>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33" dataDxfId="232">
  <autoFilter ref="A1:U61" xr:uid="{00000000-0009-0000-0100-000004000000}"/>
  <tableColumns count="21">
    <tableColumn id="1" xr3:uid="{00000000-0010-0000-0300-000001000000}" name="Data" totalsRowLabel="Total" dataDxfId="231" totalsRowDxfId="230"/>
    <tableColumn id="2" xr3:uid="{00000000-0010-0000-0300-000002000000}" name="Ticket" dataDxfId="229" totalsRowDxfId="228"/>
    <tableColumn id="3" xr3:uid="{00000000-0010-0000-0300-000003000000}" name="Vendedor" dataDxfId="227" totalsRowDxfId="226"/>
    <tableColumn id="4" xr3:uid="{00000000-0010-0000-0300-000004000000}" name="Cliente" dataDxfId="225" totalsRowDxfId="224"/>
    <tableColumn id="5" xr3:uid="{00000000-0010-0000-0300-000005000000}" name="Produto" dataDxfId="223" totalsRowDxfId="222"/>
    <tableColumn id="6" xr3:uid="{00000000-0010-0000-0300-000006000000}" name="TipoReceita" dataDxfId="221" totalsRowDxfId="220"/>
    <tableColumn id="7" xr3:uid="{00000000-0010-0000-0300-000007000000}" name="Qtde" dataDxfId="219" totalsRowDxfId="218"/>
    <tableColumn id="8" xr3:uid="{00000000-0010-0000-0300-000008000000}" name="VlrUnitário" dataDxfId="217" totalsRowDxfId="216"/>
    <tableColumn id="9" xr3:uid="{00000000-0010-0000-0300-000009000000}" name="VlrTotal" totalsRowFunction="sum" dataDxfId="215" totalsRowDxfId="214"/>
    <tableColumn id="10" xr3:uid="{00000000-0010-0000-0300-00000A000000}" name="Vlr Meta" totalsRowFunction="sum" dataDxfId="213" totalsRowDxfId="212"/>
    <tableColumn id="11" xr3:uid="{00000000-0010-0000-0300-00000B000000}" name="%Comissão" dataDxfId="211" totalsRowDxfId="210" dataCellStyle="Porcentagem"/>
    <tableColumn id="12" xr3:uid="{00000000-0010-0000-0300-00000C000000}" name="%ComissãoSupervisor" dataDxfId="209" totalsRowDxfId="208" dataCellStyle="Porcentagem"/>
    <tableColumn id="13" xr3:uid="{00000000-0010-0000-0300-00000D000000}" name="Base" dataDxfId="207" totalsRowDxfId="206"/>
    <tableColumn id="14" xr3:uid="{00000000-0010-0000-0300-00000E000000}" name="ComissãoVendedor " totalsRowFunction="sum" dataDxfId="205" totalsRowDxfId="204"/>
    <tableColumn id="15" xr3:uid="{00000000-0010-0000-0300-00000F000000}" name="ComissãoSupervisor" totalsRowFunction="sum" dataDxfId="203" totalsRowDxfId="202"/>
    <tableColumn id="16" xr3:uid="{00000000-0010-0000-0300-000010000000}" name="Clicksign" dataDxfId="201" totalsRowDxfId="200"/>
    <tableColumn id="17" xr3:uid="{00000000-0010-0000-0300-000011000000}" name="Contrato_Termo Aditivo" dataDxfId="199" totalsRowDxfId="198"/>
    <tableColumn id="18" xr3:uid="{00000000-0010-0000-0300-000012000000}" name="Obs" dataDxfId="197" totalsRowDxfId="196"/>
    <tableColumn id="19" xr3:uid="{00000000-0010-0000-0300-000013000000}" name="Parcelas" dataDxfId="195" totalsRowDxfId="194"/>
    <tableColumn id="20" xr3:uid="{00000000-0010-0000-0300-000014000000}" name="Contrato" dataDxfId="193" totalsRowDxfId="192"/>
    <tableColumn id="21" xr3:uid="{00000000-0010-0000-0300-000015000000}" name="SDR_RESPONSÁVEL" totalsRowFunction="count" dataDxfId="191" totalsRowDxfId="19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189" dataDxfId="187" totalsRowDxfId="185" headerRowBorderDxfId="188" tableBorderDxfId="186" totalsRowBorderDxfId="184">
  <autoFilter ref="A1:T39" xr:uid="{00000000-0009-0000-0100-000005000000}"/>
  <tableColumns count="20">
    <tableColumn id="1" xr3:uid="{00000000-0010-0000-0400-000001000000}" name="Data" totalsRowLabel="Total" dataDxfId="183" totalsRowDxfId="182"/>
    <tableColumn id="2" xr3:uid="{00000000-0010-0000-0400-000002000000}" name="Ticket" dataDxfId="181" totalsRowDxfId="180"/>
    <tableColumn id="3" xr3:uid="{00000000-0010-0000-0400-000003000000}" name="Vendedor" dataDxfId="179" totalsRowDxfId="178"/>
    <tableColumn id="4" xr3:uid="{00000000-0010-0000-0400-000004000000}" name="Cliente" dataDxfId="177" totalsRowDxfId="176"/>
    <tableColumn id="5" xr3:uid="{00000000-0010-0000-0400-000005000000}" name="Produto" dataDxfId="175" totalsRowDxfId="174"/>
    <tableColumn id="6" xr3:uid="{00000000-0010-0000-0400-000006000000}" name="TipoReceita" dataDxfId="173" totalsRowDxfId="172"/>
    <tableColumn id="7" xr3:uid="{00000000-0010-0000-0400-000007000000}" name="Qtde" dataDxfId="171" totalsRowDxfId="170"/>
    <tableColumn id="8" xr3:uid="{00000000-0010-0000-0400-000008000000}" name="VlrUnitário" dataDxfId="169" totalsRowDxfId="168"/>
    <tableColumn id="9" xr3:uid="{00000000-0010-0000-0400-000009000000}" name="VlrTotal" totalsRowFunction="sum" dataDxfId="167" totalsRowDxfId="166"/>
    <tableColumn id="10" xr3:uid="{00000000-0010-0000-0400-00000A000000}" name="%Comissão" dataDxfId="165" totalsRowDxfId="164" dataCellStyle="Porcentagem"/>
    <tableColumn id="11" xr3:uid="{00000000-0010-0000-0400-00000B000000}" name="%ComissãoSupervisor" dataDxfId="163" totalsRowDxfId="162" dataCellStyle="Porcentagem"/>
    <tableColumn id="12" xr3:uid="{00000000-0010-0000-0400-00000C000000}" name="Base" dataDxfId="161" totalsRowDxfId="160"/>
    <tableColumn id="13" xr3:uid="{00000000-0010-0000-0400-00000D000000}" name="ComissãoVendedor " totalsRowFunction="sum" dataDxfId="159" totalsRowDxfId="158"/>
    <tableColumn id="14" xr3:uid="{00000000-0010-0000-0400-00000E000000}" name="ComissãoSupervisor" totalsRowFunction="sum" dataDxfId="157" totalsRowDxfId="156"/>
    <tableColumn id="15" xr3:uid="{00000000-0010-0000-0400-00000F000000}" name="Clicksign" dataDxfId="155" totalsRowDxfId="154"/>
    <tableColumn id="16" xr3:uid="{00000000-0010-0000-0400-000010000000}" name="Contrato_Termo Aditivo" dataDxfId="153" totalsRowDxfId="152"/>
    <tableColumn id="17" xr3:uid="{00000000-0010-0000-0400-000011000000}" name="Obs" dataDxfId="151" totalsRowDxfId="150"/>
    <tableColumn id="18" xr3:uid="{00000000-0010-0000-0400-000012000000}" name="Parcelas" dataDxfId="149" totalsRowDxfId="148"/>
    <tableColumn id="19" xr3:uid="{00000000-0010-0000-0400-000013000000}" name="Contrato" dataDxfId="147" totalsRowDxfId="146"/>
    <tableColumn id="20" xr3:uid="{00000000-0010-0000-0400-000014000000}" name="SDR_RESPONSÁVEL" totalsRowFunction="count" dataDxfId="145" totalsRowDxfId="14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25" dataDxfId="24">
  <autoFilter ref="A867:F1039" xr:uid="{00000000-0009-0000-0100-000007000000}">
    <filterColumn colId="0">
      <filters>
        <dateGroupItem year="2026" dateTimeGrouping="year"/>
      </filters>
    </filterColumn>
  </autoFilter>
  <tableColumns count="6">
    <tableColumn id="1" xr3:uid="{00000000-0010-0000-0600-000001000000}" name="Mês" dataDxfId="23"/>
    <tableColumn id="2" xr3:uid="{00000000-0010-0000-0600-000002000000}" name="Vendedor" dataDxfId="22"/>
    <tableColumn id="3" xr3:uid="{00000000-0010-0000-0600-000003000000}" name="Comissão" dataDxfId="21"/>
    <tableColumn id="4" xr3:uid="{00000000-0010-0000-0600-000004000000}" name="Pago em" dataDxfId="20"/>
    <tableColumn id="5" xr3:uid="{00000000-0010-0000-0600-000005000000}" name="Count" dataDxfId="19"/>
    <tableColumn id="6" xr3:uid="{00000000-0010-0000-0600-000006000000}" name="Ano" dataDxfId="18"/>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3.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7"/>
  <sheetViews>
    <sheetView workbookViewId="0">
      <selection activeCell="C12" sqref="C12"/>
    </sheetView>
  </sheetViews>
  <sheetFormatPr defaultRowHeight="15" x14ac:dyDescent="0.25"/>
  <cols>
    <col min="1" max="1" width="10.28515625" bestFit="1" customWidth="1"/>
    <col min="2" max="2" width="7" bestFit="1" customWidth="1"/>
    <col min="3" max="3" width="17.85546875" bestFit="1" customWidth="1"/>
    <col min="4" max="4" width="16.5703125" bestFit="1" customWidth="1"/>
    <col min="5" max="5" width="13.28515625" bestFit="1" customWidth="1"/>
    <col min="6" max="6" width="26.85546875" bestFit="1" customWidth="1"/>
    <col min="7" max="7" width="5.28515625" bestFit="1" customWidth="1"/>
    <col min="8" max="8" width="10.5703125" bestFit="1" customWidth="1"/>
    <col min="9" max="11" width="11.28515625" bestFit="1" customWidth="1"/>
    <col min="12" max="12" width="8.7109375" bestFit="1" customWidth="1"/>
    <col min="13" max="13" width="5.140625" bestFit="1" customWidth="1"/>
    <col min="14" max="14" width="11.28515625" bestFit="1" customWidth="1"/>
    <col min="15" max="15" width="10.28515625" bestFit="1" customWidth="1"/>
    <col min="16" max="16" width="9" bestFit="1" customWidth="1"/>
    <col min="17" max="17" width="8.7109375" bestFit="1" customWidth="1"/>
    <col min="18" max="18" width="4.42578125" bestFit="1" customWidth="1"/>
    <col min="19" max="19" width="8.28515625" bestFit="1" customWidth="1"/>
    <col min="20" max="20" width="13.28515625" bestFit="1" customWidth="1"/>
    <col min="22" max="22" width="18.5703125" bestFit="1" customWidth="1"/>
  </cols>
  <sheetData>
    <row r="1" spans="1:22" s="389" customFormat="1" ht="43.15" customHeight="1" x14ac:dyDescent="0.25">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25">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25">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25">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25">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row r="7" spans="1:22" x14ac:dyDescent="0.25">
      <c r="A7" s="10">
        <v>46266</v>
      </c>
      <c r="B7" s="11">
        <v>147158</v>
      </c>
      <c r="C7" s="11" t="s">
        <v>31</v>
      </c>
      <c r="D7" s="11" t="s">
        <v>6563</v>
      </c>
      <c r="E7" s="11" t="s">
        <v>63</v>
      </c>
      <c r="F7" s="11" t="s">
        <v>30</v>
      </c>
      <c r="G7" s="12">
        <v>98</v>
      </c>
      <c r="H7" s="13">
        <v>103.5</v>
      </c>
      <c r="I7" s="14">
        <f>G7*H7</f>
        <v>10143</v>
      </c>
      <c r="J7" s="390">
        <f>I7</f>
        <v>10143</v>
      </c>
      <c r="K7" s="392">
        <v>1</v>
      </c>
      <c r="L7" s="15">
        <v>0.25</v>
      </c>
      <c r="M7" s="14" t="s">
        <v>46</v>
      </c>
      <c r="N7" s="23">
        <f>I7*K7</f>
        <v>10143</v>
      </c>
      <c r="O7" s="14">
        <f>N7*L7</f>
        <v>2535.75</v>
      </c>
      <c r="P7" s="11" t="s">
        <v>27</v>
      </c>
      <c r="Q7" s="11" t="s">
        <v>27</v>
      </c>
      <c r="R7" s="11"/>
      <c r="S7" s="11">
        <v>1</v>
      </c>
      <c r="T7" s="380">
        <v>46240</v>
      </c>
      <c r="U7" s="11" t="s">
        <v>147</v>
      </c>
      <c r="V7" s="16"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80"/>
  <sheetViews>
    <sheetView showGridLines="0" zoomScaleNormal="100" workbookViewId="0">
      <pane xSplit="5" ySplit="1" topLeftCell="F261" activePane="bottomRight" state="frozen"/>
      <selection pane="topRight" activeCell="F1" sqref="F1"/>
      <selection pane="bottomLeft" activeCell="A3" sqref="A3"/>
      <selection pane="bottomRight" activeCell="H278" sqref="H278"/>
    </sheetView>
  </sheetViews>
  <sheetFormatPr defaultRowHeight="15" x14ac:dyDescent="0.25"/>
  <cols>
    <col min="1" max="1" width="13.5703125" customWidth="1"/>
    <col min="2" max="2" width="20.42578125" customWidth="1"/>
    <col min="3" max="3" width="19.85546875" customWidth="1"/>
    <col min="4" max="4" width="18" bestFit="1" customWidth="1"/>
    <col min="5" max="5" width="21.5703125" customWidth="1"/>
    <col min="6" max="6" width="27.7109375" customWidth="1"/>
    <col min="7" max="7" width="10" customWidth="1"/>
    <col min="8" max="8" width="15.140625" bestFit="1" customWidth="1"/>
    <col min="9" max="10" width="18.140625" bestFit="1" customWidth="1"/>
    <col min="11" max="11" width="16.140625" bestFit="1" customWidth="1"/>
    <col min="12" max="12" width="26.28515625" bestFit="1" customWidth="1"/>
    <col min="13" max="13" width="9.85546875" bestFit="1" customWidth="1"/>
    <col min="14" max="14" width="23.5703125" bestFit="1" customWidth="1"/>
    <col min="15" max="15" width="24.5703125" bestFit="1" customWidth="1"/>
    <col min="16" max="16" width="13.85546875" bestFit="1" customWidth="1"/>
    <col min="17" max="17" width="27.28515625" bestFit="1" customWidth="1"/>
    <col min="18" max="18" width="9.140625" bestFit="1" customWidth="1"/>
    <col min="19" max="19" width="13.140625" bestFit="1" customWidth="1"/>
    <col min="20" max="20" width="13.140625" customWidth="1"/>
    <col min="21" max="21" width="13.5703125" bestFit="1" customWidth="1"/>
    <col min="22" max="22" width="23.7109375" bestFit="1" customWidth="1"/>
  </cols>
  <sheetData>
    <row r="1" spans="1:22" s="72" customFormat="1" x14ac:dyDescent="0.25">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25">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25">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25">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25">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25">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25">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25">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25">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25">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25">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25">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25">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25">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25">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25">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25">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25">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25">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25">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25">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25">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25">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25">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25">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25">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25">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25">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25">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25">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25">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25">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25">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25">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25">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25">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25">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25">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25">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25">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25">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25">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25">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25">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25">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25">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25">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25">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25">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25">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25">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25">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25">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25">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25">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25">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25">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25">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25">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25">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25">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25">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25">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25">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25">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25">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25">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25">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25">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25">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25">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25">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25">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25">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25">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25">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25">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25">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25">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25">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25">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25">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25">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25">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25">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25">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25">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25">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25">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25">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25">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25">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25">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25">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25">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25">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25">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25">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25">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25">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25">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25">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25">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25">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25">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25">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25">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25">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25">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25">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25">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25">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25">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25">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25">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25">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25">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25">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25">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25">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25">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25">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25">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25">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25">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25">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25">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25">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25">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25">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25">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25">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25">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25">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25">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25">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25">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25">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25">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25">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25">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25">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25">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25">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25">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25">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25">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25">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25">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25">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25">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25">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25">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25">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25">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25">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25">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25">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25">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25">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25">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25">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25">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25">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25">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25">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25">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25">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25">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25">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25">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25">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25">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25">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25">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25">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25">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25">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25">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25">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25">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25">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25">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25">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25">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25">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25">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25">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25">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25">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25">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25">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25">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25">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25">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25">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25">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25">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25">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25">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25">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25">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25">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25">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25">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25">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25">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25">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25">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25">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25">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25">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25">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25">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25">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25">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25">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25">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25">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25">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25">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25">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25">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28</v>
      </c>
      <c r="V223" s="16" t="s">
        <v>44</v>
      </c>
    </row>
    <row r="224" spans="1:22" hidden="1" x14ac:dyDescent="0.25">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25">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25">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25">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25">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25">
      <c r="A229" s="10">
        <v>46205</v>
      </c>
      <c r="B229" s="11">
        <v>138575</v>
      </c>
      <c r="C229" s="11" t="s">
        <v>22</v>
      </c>
      <c r="D229" s="11" t="s">
        <v>86</v>
      </c>
      <c r="E229" s="11" t="s">
        <v>138</v>
      </c>
      <c r="F229" s="11" t="s">
        <v>30</v>
      </c>
      <c r="G229" s="12">
        <v>3</v>
      </c>
      <c r="H229" s="13">
        <v>57.5</v>
      </c>
      <c r="I229" s="14">
        <f>vendas2026[[#This Row],[Qtde]]*vendas2026[[#This Row],[VlrUnitário]]</f>
        <v>172.5</v>
      </c>
      <c r="J229" s="390">
        <f>vendas2026[[#This Row],[VlrTotal]]</f>
        <v>172.5</v>
      </c>
      <c r="K229" s="392">
        <v>1</v>
      </c>
      <c r="L229" s="15">
        <v>0</v>
      </c>
      <c r="M229" s="14" t="s">
        <v>26</v>
      </c>
      <c r="N229" s="23">
        <f>vendas2026[[#This Row],[VlrTotal]]*vendas2026[[#This Row],[%Comissão]]</f>
        <v>172.5</v>
      </c>
      <c r="O229" s="14">
        <f>vendas2026[[#This Row],[VlrTotal]]*vendas2026[[#This Row],[%ComissãoSupervisor]]</f>
        <v>0</v>
      </c>
      <c r="P229" s="11" t="s">
        <v>27</v>
      </c>
      <c r="Q229" s="11" t="s">
        <v>27</v>
      </c>
      <c r="R229" s="11"/>
      <c r="S229" s="11">
        <v>1</v>
      </c>
      <c r="T229" s="380"/>
      <c r="U229" s="11" t="s">
        <v>38</v>
      </c>
      <c r="V229" s="16" t="s">
        <v>22</v>
      </c>
    </row>
    <row r="230" spans="1:22" hidden="1" x14ac:dyDescent="0.25">
      <c r="A230" s="10">
        <v>46213</v>
      </c>
      <c r="B230" s="11">
        <v>143152</v>
      </c>
      <c r="C230" s="11" t="s">
        <v>31</v>
      </c>
      <c r="D230" s="11" t="s">
        <v>126</v>
      </c>
      <c r="E230" s="11" t="s">
        <v>35</v>
      </c>
      <c r="F230" s="11" t="s">
        <v>35</v>
      </c>
      <c r="G230" s="12">
        <v>8</v>
      </c>
      <c r="H230" s="13">
        <v>176</v>
      </c>
      <c r="I230" s="14">
        <f>vendas2026[[#This Row],[Qtde]]*vendas2026[[#This Row],[VlrUnitário]]</f>
        <v>1408</v>
      </c>
      <c r="J230" s="390">
        <f>vendas2026[[#This Row],[VlrTotal]]</f>
        <v>1408</v>
      </c>
      <c r="K230" s="392">
        <v>0.01</v>
      </c>
      <c r="L230" s="15">
        <f>vendas2026[[#This Row],[%Comissão]]*0.25</f>
        <v>2.5000000000000001E-3</v>
      </c>
      <c r="M230" s="14" t="s">
        <v>26</v>
      </c>
      <c r="N230" s="23">
        <f>vendas2026[[#This Row],[VlrTotal]]*vendas2026[[#This Row],[%Comissão]]</f>
        <v>14.08</v>
      </c>
      <c r="O230" s="14">
        <f>vendas2026[[#This Row],[VlrTotal]]*vendas2026[[#This Row],[%ComissãoSupervisor]]</f>
        <v>3.52</v>
      </c>
      <c r="P230" s="11" t="s">
        <v>36</v>
      </c>
      <c r="Q230" s="11" t="s">
        <v>37</v>
      </c>
      <c r="R230" s="11"/>
      <c r="S230" s="11">
        <v>1</v>
      </c>
      <c r="T230" s="380"/>
      <c r="U230" s="11" t="s">
        <v>38</v>
      </c>
      <c r="V230" s="16" t="s">
        <v>31</v>
      </c>
    </row>
    <row r="231" spans="1:22" hidden="1" x14ac:dyDescent="0.25">
      <c r="A231" s="10">
        <v>46213</v>
      </c>
      <c r="B231" s="11">
        <v>145196</v>
      </c>
      <c r="C231" s="11" t="s">
        <v>31</v>
      </c>
      <c r="D231" s="11" t="s">
        <v>87</v>
      </c>
      <c r="E231" s="11" t="s">
        <v>35</v>
      </c>
      <c r="F231" s="11" t="s">
        <v>35</v>
      </c>
      <c r="G231" s="12">
        <v>27</v>
      </c>
      <c r="H231" s="13">
        <v>176</v>
      </c>
      <c r="I231" s="14">
        <f>vendas2026[[#This Row],[Qtde]]*vendas2026[[#This Row],[VlrUnitário]]</f>
        <v>4752</v>
      </c>
      <c r="J231" s="390">
        <f>vendas2026[[#This Row],[VlrTotal]]</f>
        <v>4752</v>
      </c>
      <c r="K231" s="392">
        <v>0.01</v>
      </c>
      <c r="L231" s="15">
        <f>vendas2026[[#This Row],[%Comissão]]*0.25</f>
        <v>2.5000000000000001E-3</v>
      </c>
      <c r="M231" s="14" t="s">
        <v>26</v>
      </c>
      <c r="N231" s="23">
        <f>vendas2026[[#This Row],[VlrTotal]]*vendas2026[[#This Row],[%Comissão]]</f>
        <v>47.52</v>
      </c>
      <c r="O231" s="14">
        <f>vendas2026[[#This Row],[VlrTotal]]*vendas2026[[#This Row],[%ComissãoSupervisor]]</f>
        <v>11.88</v>
      </c>
      <c r="P231" s="11" t="s">
        <v>36</v>
      </c>
      <c r="Q231" s="11" t="s">
        <v>37</v>
      </c>
      <c r="R231" s="11"/>
      <c r="S231" s="11">
        <v>1</v>
      </c>
      <c r="T231" s="380"/>
      <c r="U231" s="11" t="s">
        <v>38</v>
      </c>
      <c r="V231" s="16" t="s">
        <v>31</v>
      </c>
    </row>
    <row r="232" spans="1:22" hidden="1" x14ac:dyDescent="0.25">
      <c r="A232" s="10">
        <v>46213</v>
      </c>
      <c r="B232" s="11">
        <v>144248</v>
      </c>
      <c r="C232" s="11" t="s">
        <v>31</v>
      </c>
      <c r="D232" s="11" t="s">
        <v>79</v>
      </c>
      <c r="E232" s="11" t="s">
        <v>35</v>
      </c>
      <c r="F232" s="11" t="s">
        <v>35</v>
      </c>
      <c r="G232" s="12">
        <v>400</v>
      </c>
      <c r="H232" s="13">
        <v>125</v>
      </c>
      <c r="I232" s="14">
        <f>vendas2026[[#This Row],[Qtde]]*vendas2026[[#This Row],[VlrUnitário]]</f>
        <v>50000</v>
      </c>
      <c r="J232" s="390">
        <f>vendas2026[[#This Row],[VlrTotal]]</f>
        <v>50000</v>
      </c>
      <c r="K232" s="392">
        <v>2.8E-3</v>
      </c>
      <c r="L232" s="15">
        <f>vendas2026[[#This Row],[%Comissão]]*0.25</f>
        <v>6.9999999999999999E-4</v>
      </c>
      <c r="M232" s="14" t="s">
        <v>26</v>
      </c>
      <c r="N232" s="23">
        <f>vendas2026[[#This Row],[VlrTotal]]*vendas2026[[#This Row],[%Comissão]]</f>
        <v>140</v>
      </c>
      <c r="O232" s="14">
        <f>vendas2026[[#This Row],[VlrTotal]]*vendas2026[[#This Row],[%ComissãoSupervisor]]</f>
        <v>35</v>
      </c>
      <c r="P232" s="11" t="s">
        <v>36</v>
      </c>
      <c r="Q232" s="11" t="s">
        <v>37</v>
      </c>
      <c r="R232" s="11"/>
      <c r="S232" s="11">
        <v>6</v>
      </c>
      <c r="T232" s="380"/>
      <c r="U232" s="11" t="s">
        <v>38</v>
      </c>
      <c r="V232" s="16" t="s">
        <v>31</v>
      </c>
    </row>
    <row r="233" spans="1:22" hidden="1" x14ac:dyDescent="0.25">
      <c r="A233" s="10">
        <v>46213</v>
      </c>
      <c r="B233" s="11">
        <v>144524</v>
      </c>
      <c r="C233" s="11" t="s">
        <v>31</v>
      </c>
      <c r="D233" s="11" t="s">
        <v>79</v>
      </c>
      <c r="E233" s="11" t="s">
        <v>35</v>
      </c>
      <c r="F233" s="11" t="s">
        <v>35</v>
      </c>
      <c r="G233" s="12">
        <v>8</v>
      </c>
      <c r="H233" s="13">
        <v>176</v>
      </c>
      <c r="I233" s="14">
        <f>vendas2026[[#This Row],[Qtde]]*vendas2026[[#This Row],[VlrUnitário]]</f>
        <v>1408</v>
      </c>
      <c r="J233" s="390">
        <f>vendas2026[[#This Row],[VlrTotal]]</f>
        <v>1408</v>
      </c>
      <c r="K233" s="392">
        <v>0.01</v>
      </c>
      <c r="L233" s="15">
        <f>vendas2026[[#This Row],[%Comissão]]*0.25</f>
        <v>2.5000000000000001E-3</v>
      </c>
      <c r="M233" s="14" t="s">
        <v>26</v>
      </c>
      <c r="N233" s="23">
        <f>vendas2026[[#This Row],[VlrTotal]]*vendas2026[[#This Row],[%Comissão]]</f>
        <v>14.08</v>
      </c>
      <c r="O233" s="14">
        <f>vendas2026[[#This Row],[VlrTotal]]*vendas2026[[#This Row],[%ComissãoSupervisor]]</f>
        <v>3.52</v>
      </c>
      <c r="P233" s="11" t="s">
        <v>36</v>
      </c>
      <c r="Q233" s="11" t="s">
        <v>37</v>
      </c>
      <c r="R233" s="11"/>
      <c r="S233" s="11">
        <v>1</v>
      </c>
      <c r="T233" s="380"/>
      <c r="U233" s="11" t="s">
        <v>38</v>
      </c>
      <c r="V233" s="16" t="s">
        <v>31</v>
      </c>
    </row>
    <row r="234" spans="1:22" hidden="1" x14ac:dyDescent="0.25">
      <c r="A234" s="10">
        <v>46213</v>
      </c>
      <c r="B234" s="11">
        <v>145782</v>
      </c>
      <c r="C234" s="11" t="s">
        <v>31</v>
      </c>
      <c r="D234" s="11" t="s">
        <v>65</v>
      </c>
      <c r="E234" s="11" t="s">
        <v>35</v>
      </c>
      <c r="F234" s="11" t="s">
        <v>35</v>
      </c>
      <c r="G234" s="12">
        <v>2</v>
      </c>
      <c r="H234" s="13">
        <v>176</v>
      </c>
      <c r="I234" s="14">
        <f>vendas2026[[#This Row],[Qtde]]*vendas2026[[#This Row],[VlrUnitário]]</f>
        <v>352</v>
      </c>
      <c r="J234" s="390">
        <f>vendas2026[[#This Row],[VlrTotal]]</f>
        <v>352</v>
      </c>
      <c r="K234" s="392">
        <v>0.01</v>
      </c>
      <c r="L234" s="15">
        <f>vendas2026[[#This Row],[%Comissão]]*0.25</f>
        <v>2.5000000000000001E-3</v>
      </c>
      <c r="M234" s="14" t="s">
        <v>26</v>
      </c>
      <c r="N234" s="23">
        <f>vendas2026[[#This Row],[VlrTotal]]*vendas2026[[#This Row],[%Comissão]]</f>
        <v>3.52</v>
      </c>
      <c r="O234" s="14">
        <f>vendas2026[[#This Row],[VlrTotal]]*vendas2026[[#This Row],[%ComissãoSupervisor]]</f>
        <v>0.88</v>
      </c>
      <c r="P234" s="11" t="s">
        <v>36</v>
      </c>
      <c r="Q234" s="11" t="s">
        <v>37</v>
      </c>
      <c r="R234" s="11"/>
      <c r="S234" s="11">
        <v>1</v>
      </c>
      <c r="T234" s="380"/>
      <c r="U234" s="11" t="s">
        <v>38</v>
      </c>
      <c r="V234" s="16" t="s">
        <v>31</v>
      </c>
    </row>
    <row r="235" spans="1:22" hidden="1" x14ac:dyDescent="0.25">
      <c r="A235" s="10">
        <v>46213</v>
      </c>
      <c r="B235" s="11">
        <v>143483</v>
      </c>
      <c r="C235" s="11" t="s">
        <v>31</v>
      </c>
      <c r="D235" s="11" t="s">
        <v>661</v>
      </c>
      <c r="E235" s="11" t="s">
        <v>35</v>
      </c>
      <c r="F235" s="11" t="s">
        <v>35</v>
      </c>
      <c r="G235" s="12">
        <v>4</v>
      </c>
      <c r="H235" s="13">
        <v>176</v>
      </c>
      <c r="I235" s="14">
        <f>vendas2026[[#This Row],[Qtde]]*vendas2026[[#This Row],[VlrUnitário]]</f>
        <v>704</v>
      </c>
      <c r="J235" s="390">
        <f>vendas2026[[#This Row],[VlrTotal]]</f>
        <v>704</v>
      </c>
      <c r="K235" s="392">
        <v>0.01</v>
      </c>
      <c r="L235" s="15">
        <f>vendas2026[[#This Row],[%Comissão]]*0.25</f>
        <v>2.5000000000000001E-3</v>
      </c>
      <c r="M235" s="14" t="s">
        <v>26</v>
      </c>
      <c r="N235" s="23">
        <f>vendas2026[[#This Row],[VlrTotal]]*vendas2026[[#This Row],[%Comissão]]</f>
        <v>7.04</v>
      </c>
      <c r="O235" s="14">
        <f>vendas2026[[#This Row],[VlrTotal]]*vendas2026[[#This Row],[%ComissãoSupervisor]]</f>
        <v>1.76</v>
      </c>
      <c r="P235" s="11" t="s">
        <v>36</v>
      </c>
      <c r="Q235" s="11" t="s">
        <v>37</v>
      </c>
      <c r="R235" s="11"/>
      <c r="S235" s="11">
        <v>1</v>
      </c>
      <c r="T235" s="380"/>
      <c r="U235" s="11" t="s">
        <v>38</v>
      </c>
      <c r="V235" s="16" t="s">
        <v>31</v>
      </c>
    </row>
    <row r="236" spans="1:22" hidden="1" x14ac:dyDescent="0.25">
      <c r="A236" s="10">
        <v>46213</v>
      </c>
      <c r="B236" s="11">
        <v>146299</v>
      </c>
      <c r="C236" s="11" t="s">
        <v>31</v>
      </c>
      <c r="D236" s="11" t="s">
        <v>661</v>
      </c>
      <c r="E236" s="11" t="s">
        <v>35</v>
      </c>
      <c r="F236" s="11" t="s">
        <v>35</v>
      </c>
      <c r="G236" s="12">
        <v>14</v>
      </c>
      <c r="H236" s="13">
        <v>176</v>
      </c>
      <c r="I236" s="14">
        <f>vendas2026[[#This Row],[Qtde]]*vendas2026[[#This Row],[VlrUnitário]]</f>
        <v>2464</v>
      </c>
      <c r="J236" s="390">
        <f>vendas2026[[#This Row],[VlrTotal]]</f>
        <v>2464</v>
      </c>
      <c r="K236" s="392">
        <v>0.01</v>
      </c>
      <c r="L236" s="15">
        <f>vendas2026[[#This Row],[%Comissão]]*0.25</f>
        <v>2.5000000000000001E-3</v>
      </c>
      <c r="M236" s="14" t="s">
        <v>26</v>
      </c>
      <c r="N236" s="23">
        <f>vendas2026[[#This Row],[VlrTotal]]*vendas2026[[#This Row],[%Comissão]]</f>
        <v>24.64</v>
      </c>
      <c r="O236" s="14">
        <f>vendas2026[[#This Row],[VlrTotal]]*vendas2026[[#This Row],[%ComissãoSupervisor]]</f>
        <v>6.16</v>
      </c>
      <c r="P236" s="11" t="s">
        <v>36</v>
      </c>
      <c r="Q236" s="11" t="s">
        <v>37</v>
      </c>
      <c r="R236" s="11"/>
      <c r="S236" s="11">
        <v>3</v>
      </c>
      <c r="T236" s="380"/>
      <c r="U236" s="11" t="s">
        <v>38</v>
      </c>
      <c r="V236" s="16" t="s">
        <v>31</v>
      </c>
    </row>
    <row r="237" spans="1:22" hidden="1" x14ac:dyDescent="0.25">
      <c r="A237" s="10">
        <v>46213</v>
      </c>
      <c r="B237" s="11">
        <v>141602</v>
      </c>
      <c r="C237" s="11" t="s">
        <v>31</v>
      </c>
      <c r="D237" s="11" t="s">
        <v>610</v>
      </c>
      <c r="E237" s="11" t="s">
        <v>35</v>
      </c>
      <c r="F237" s="11" t="s">
        <v>35</v>
      </c>
      <c r="G237" s="12">
        <v>52</v>
      </c>
      <c r="H237" s="13">
        <v>176</v>
      </c>
      <c r="I237" s="14">
        <f>vendas2026[[#This Row],[Qtde]]*vendas2026[[#This Row],[VlrUnitário]]</f>
        <v>9152</v>
      </c>
      <c r="J237" s="390">
        <f>vendas2026[[#This Row],[VlrTotal]]</f>
        <v>9152</v>
      </c>
      <c r="K237" s="392">
        <v>0.01</v>
      </c>
      <c r="L237" s="15">
        <f>vendas2026[[#This Row],[%Comissão]]*0.25</f>
        <v>2.5000000000000001E-3</v>
      </c>
      <c r="M237" s="14" t="s">
        <v>26</v>
      </c>
      <c r="N237" s="23">
        <f>vendas2026[[#This Row],[VlrTotal]]*vendas2026[[#This Row],[%Comissão]]</f>
        <v>91.52</v>
      </c>
      <c r="O237" s="14">
        <f>vendas2026[[#This Row],[VlrTotal]]*vendas2026[[#This Row],[%ComissãoSupervisor]]</f>
        <v>22.88</v>
      </c>
      <c r="P237" s="11" t="s">
        <v>36</v>
      </c>
      <c r="Q237" s="11" t="s">
        <v>37</v>
      </c>
      <c r="R237" s="11"/>
      <c r="S237" s="11">
        <v>3</v>
      </c>
      <c r="T237" s="380"/>
      <c r="U237" s="11" t="s">
        <v>38</v>
      </c>
      <c r="V237" s="16" t="s">
        <v>31</v>
      </c>
    </row>
    <row r="238" spans="1:22" hidden="1" x14ac:dyDescent="0.25">
      <c r="A238" s="10">
        <v>46213</v>
      </c>
      <c r="B238" s="11">
        <v>145581</v>
      </c>
      <c r="C238" s="11" t="s">
        <v>31</v>
      </c>
      <c r="D238" s="11" t="s">
        <v>610</v>
      </c>
      <c r="E238" s="11" t="s">
        <v>35</v>
      </c>
      <c r="F238" s="11" t="s">
        <v>35</v>
      </c>
      <c r="G238" s="12">
        <v>6</v>
      </c>
      <c r="H238" s="13">
        <v>176</v>
      </c>
      <c r="I238" s="14">
        <f>vendas2026[[#This Row],[Qtde]]*vendas2026[[#This Row],[VlrUnitário]]</f>
        <v>1056</v>
      </c>
      <c r="J238" s="390">
        <f>vendas2026[[#This Row],[VlrTotal]]</f>
        <v>1056</v>
      </c>
      <c r="K238" s="392">
        <v>0.01</v>
      </c>
      <c r="L238" s="15">
        <f>vendas2026[[#This Row],[%Comissão]]*0.25</f>
        <v>2.5000000000000001E-3</v>
      </c>
      <c r="M238" s="14" t="s">
        <v>26</v>
      </c>
      <c r="N238" s="23">
        <f>vendas2026[[#This Row],[VlrTotal]]*vendas2026[[#This Row],[%Comissão]]</f>
        <v>10.56</v>
      </c>
      <c r="O238" s="14">
        <f>vendas2026[[#This Row],[VlrTotal]]*vendas2026[[#This Row],[%ComissãoSupervisor]]</f>
        <v>2.64</v>
      </c>
      <c r="P238" s="11" t="s">
        <v>36</v>
      </c>
      <c r="Q238" s="11" t="s">
        <v>37</v>
      </c>
      <c r="R238" s="11"/>
      <c r="S238" s="11">
        <v>3</v>
      </c>
      <c r="T238" s="380"/>
      <c r="U238" s="11" t="s">
        <v>38</v>
      </c>
      <c r="V238" s="16" t="s">
        <v>31</v>
      </c>
    </row>
    <row r="239" spans="1:22" hidden="1" x14ac:dyDescent="0.25">
      <c r="A239" s="10">
        <v>46213</v>
      </c>
      <c r="B239" s="11">
        <v>146363</v>
      </c>
      <c r="C239" s="11" t="s">
        <v>31</v>
      </c>
      <c r="D239" s="11" t="s">
        <v>610</v>
      </c>
      <c r="E239" s="11" t="s">
        <v>35</v>
      </c>
      <c r="F239" s="11" t="s">
        <v>35</v>
      </c>
      <c r="G239" s="12">
        <v>28</v>
      </c>
      <c r="H239" s="13">
        <v>176</v>
      </c>
      <c r="I239" s="14">
        <f>vendas2026[[#This Row],[Qtde]]*vendas2026[[#This Row],[VlrUnitário]]</f>
        <v>4928</v>
      </c>
      <c r="J239" s="390">
        <f>vendas2026[[#This Row],[VlrTotal]]</f>
        <v>4928</v>
      </c>
      <c r="K239" s="392">
        <v>0.01</v>
      </c>
      <c r="L239" s="15">
        <f>vendas2026[[#This Row],[%Comissão]]*0.25</f>
        <v>2.5000000000000001E-3</v>
      </c>
      <c r="M239" s="14" t="s">
        <v>26</v>
      </c>
      <c r="N239" s="23">
        <f>vendas2026[[#This Row],[VlrTotal]]*vendas2026[[#This Row],[%Comissão]]</f>
        <v>49.28</v>
      </c>
      <c r="O239" s="14">
        <f>vendas2026[[#This Row],[VlrTotal]]*vendas2026[[#This Row],[%ComissãoSupervisor]]</f>
        <v>12.32</v>
      </c>
      <c r="P239" s="11" t="s">
        <v>36</v>
      </c>
      <c r="Q239" s="11" t="s">
        <v>37</v>
      </c>
      <c r="R239" s="11"/>
      <c r="S239" s="11">
        <v>3</v>
      </c>
      <c r="T239" s="380"/>
      <c r="U239" s="11" t="s">
        <v>38</v>
      </c>
      <c r="V239" s="16" t="s">
        <v>31</v>
      </c>
    </row>
    <row r="240" spans="1:22" hidden="1" x14ac:dyDescent="0.25">
      <c r="A240" s="10">
        <v>46213</v>
      </c>
      <c r="B240" s="11">
        <v>144564</v>
      </c>
      <c r="C240" s="11" t="s">
        <v>31</v>
      </c>
      <c r="D240" s="11" t="s">
        <v>76</v>
      </c>
      <c r="E240" s="11" t="s">
        <v>35</v>
      </c>
      <c r="F240" s="11" t="s">
        <v>35</v>
      </c>
      <c r="G240" s="12">
        <v>32</v>
      </c>
      <c r="H240" s="13">
        <v>176</v>
      </c>
      <c r="I240" s="14">
        <f>vendas2026[[#This Row],[Qtde]]*vendas2026[[#This Row],[VlrUnitário]]</f>
        <v>5632</v>
      </c>
      <c r="J240" s="390">
        <f>vendas2026[[#This Row],[VlrTotal]]</f>
        <v>5632</v>
      </c>
      <c r="K240" s="392">
        <v>0.01</v>
      </c>
      <c r="L240" s="15">
        <f>vendas2026[[#This Row],[%Comissão]]*0.25</f>
        <v>2.5000000000000001E-3</v>
      </c>
      <c r="M240" s="14" t="s">
        <v>26</v>
      </c>
      <c r="N240" s="23">
        <f>vendas2026[[#This Row],[VlrTotal]]*vendas2026[[#This Row],[%Comissão]]</f>
        <v>56.32</v>
      </c>
      <c r="O240" s="14">
        <f>vendas2026[[#This Row],[VlrTotal]]*vendas2026[[#This Row],[%ComissãoSupervisor]]</f>
        <v>14.08</v>
      </c>
      <c r="P240" s="11" t="s">
        <v>36</v>
      </c>
      <c r="Q240" s="11" t="s">
        <v>37</v>
      </c>
      <c r="R240" s="11"/>
      <c r="S240" s="11">
        <v>3</v>
      </c>
      <c r="T240" s="380"/>
      <c r="U240" s="11" t="s">
        <v>38</v>
      </c>
      <c r="V240" s="16" t="s">
        <v>31</v>
      </c>
    </row>
    <row r="241" spans="1:22" hidden="1" x14ac:dyDescent="0.25">
      <c r="A241" s="10">
        <v>46213</v>
      </c>
      <c r="B241" s="11">
        <v>145049</v>
      </c>
      <c r="C241" s="11" t="s">
        <v>31</v>
      </c>
      <c r="D241" s="11" t="s">
        <v>635</v>
      </c>
      <c r="E241" s="11" t="s">
        <v>35</v>
      </c>
      <c r="F241" s="11" t="s">
        <v>35</v>
      </c>
      <c r="G241" s="12">
        <v>4</v>
      </c>
      <c r="H241" s="13">
        <v>176</v>
      </c>
      <c r="I241" s="14">
        <f>vendas2026[[#This Row],[Qtde]]*vendas2026[[#This Row],[VlrUnitário]]</f>
        <v>704</v>
      </c>
      <c r="J241" s="390">
        <f>vendas2026[[#This Row],[VlrTotal]]</f>
        <v>704</v>
      </c>
      <c r="K241" s="392">
        <v>0.01</v>
      </c>
      <c r="L241" s="15">
        <f>vendas2026[[#This Row],[%Comissão]]*0.25</f>
        <v>2.5000000000000001E-3</v>
      </c>
      <c r="M241" s="14" t="s">
        <v>26</v>
      </c>
      <c r="N241" s="23">
        <f>vendas2026[[#This Row],[VlrTotal]]*vendas2026[[#This Row],[%Comissão]]</f>
        <v>7.04</v>
      </c>
      <c r="O241" s="14">
        <f>vendas2026[[#This Row],[VlrTotal]]*vendas2026[[#This Row],[%ComissãoSupervisor]]</f>
        <v>1.76</v>
      </c>
      <c r="P241" s="11" t="s">
        <v>36</v>
      </c>
      <c r="Q241" s="11" t="s">
        <v>37</v>
      </c>
      <c r="R241" s="11"/>
      <c r="S241" s="11">
        <v>1</v>
      </c>
      <c r="T241" s="380"/>
      <c r="U241" s="11" t="s">
        <v>38</v>
      </c>
      <c r="V241" s="16" t="s">
        <v>31</v>
      </c>
    </row>
    <row r="242" spans="1:22" hidden="1" x14ac:dyDescent="0.25">
      <c r="A242" s="10">
        <v>46219</v>
      </c>
      <c r="B242" s="11">
        <v>145337</v>
      </c>
      <c r="C242" s="11" t="s">
        <v>31</v>
      </c>
      <c r="D242" s="11" t="s">
        <v>93</v>
      </c>
      <c r="E242" s="11" t="s">
        <v>24</v>
      </c>
      <c r="F242" s="11" t="s">
        <v>25</v>
      </c>
      <c r="G242" s="12">
        <v>80</v>
      </c>
      <c r="H242" s="13">
        <v>175</v>
      </c>
      <c r="I242" s="14">
        <f>vendas2026[[#This Row],[Qtde]]*vendas2026[[#This Row],[VlrUnitário]]</f>
        <v>14000</v>
      </c>
      <c r="J242" s="390">
        <f>(vendas2026[[#This Row],[VlrTotal]]*0.2)+vendas2026[[#This Row],[VlrTotal]]</f>
        <v>16800</v>
      </c>
      <c r="K242" s="392">
        <v>5.8900000000000001E-2</v>
      </c>
      <c r="L242" s="15">
        <f>vendas2026[[#This Row],[%Comissão]]*0.25</f>
        <v>1.4725E-2</v>
      </c>
      <c r="M242" s="14" t="s">
        <v>26</v>
      </c>
      <c r="N242" s="23">
        <f>vendas2026[[#This Row],[VlrTotal]]*vendas2026[[#This Row],[%Comissão]]</f>
        <v>824.6</v>
      </c>
      <c r="O242" s="14">
        <f>vendas2026[[#This Row],[VlrTotal]]*vendas2026[[#This Row],[%ComissãoSupervisor]]</f>
        <v>206.15</v>
      </c>
      <c r="P242" s="11" t="s">
        <v>36</v>
      </c>
      <c r="Q242" s="11" t="s">
        <v>37</v>
      </c>
      <c r="R242" s="11"/>
      <c r="S242" s="11">
        <v>6</v>
      </c>
      <c r="T242" s="380"/>
      <c r="U242" s="11" t="s">
        <v>38</v>
      </c>
      <c r="V242" s="16" t="s">
        <v>31</v>
      </c>
    </row>
    <row r="243" spans="1:22" hidden="1" x14ac:dyDescent="0.25">
      <c r="A243" s="10">
        <v>46219</v>
      </c>
      <c r="B243" s="11">
        <v>146167</v>
      </c>
      <c r="C243" s="11" t="s">
        <v>44</v>
      </c>
      <c r="D243" s="11" t="s">
        <v>649</v>
      </c>
      <c r="E243" s="11" t="s">
        <v>24</v>
      </c>
      <c r="F243" s="11" t="s">
        <v>25</v>
      </c>
      <c r="G243" s="12">
        <v>16</v>
      </c>
      <c r="H243" s="13">
        <v>180.2</v>
      </c>
      <c r="I243" s="14">
        <f>vendas2026[[#This Row],[Qtde]]*vendas2026[[#This Row],[VlrUnitário]]</f>
        <v>2883.2</v>
      </c>
      <c r="J243" s="390">
        <f>(vendas2026[[#This Row],[VlrTotal]]*0.2)+vendas2026[[#This Row],[VlrTotal]]</f>
        <v>3459.8399999999997</v>
      </c>
      <c r="K243" s="392">
        <v>7.0000000000000007E-2</v>
      </c>
      <c r="L243" s="15">
        <f>vendas2026[[#This Row],[%Comissão]]*0.25</f>
        <v>1.7500000000000002E-2</v>
      </c>
      <c r="M243" s="14" t="s">
        <v>26</v>
      </c>
      <c r="N243" s="23">
        <f>vendas2026[[#This Row],[VlrTotal]]*vendas2026[[#This Row],[%Comissão]]</f>
        <v>201.82400000000001</v>
      </c>
      <c r="O243" s="14">
        <f>vendas2026[[#This Row],[VlrTotal]]*vendas2026[[#This Row],[%ComissãoSupervisor]]</f>
        <v>50.456000000000003</v>
      </c>
      <c r="P243" s="11" t="s">
        <v>36</v>
      </c>
      <c r="Q243" s="11" t="s">
        <v>37</v>
      </c>
      <c r="R243" s="11"/>
      <c r="S243" s="11">
        <v>3</v>
      </c>
      <c r="T243" s="380"/>
      <c r="U243" s="11" t="s">
        <v>38</v>
      </c>
      <c r="V243" s="16" t="s">
        <v>44</v>
      </c>
    </row>
    <row r="244" spans="1:22" hidden="1" x14ac:dyDescent="0.25">
      <c r="A244" s="10">
        <v>46223</v>
      </c>
      <c r="B244" s="11">
        <v>146831</v>
      </c>
      <c r="C244" s="11" t="s">
        <v>22</v>
      </c>
      <c r="D244" s="11" t="s">
        <v>6561</v>
      </c>
      <c r="E244" s="11" t="s">
        <v>69</v>
      </c>
      <c r="F244" s="11" t="s">
        <v>41</v>
      </c>
      <c r="G244" s="12">
        <v>1</v>
      </c>
      <c r="H244" s="13">
        <v>12000</v>
      </c>
      <c r="I244" s="14">
        <f>vendas2026[[#This Row],[Qtde]]*vendas2026[[#This Row],[VlrUnitário]]</f>
        <v>12000</v>
      </c>
      <c r="J244" s="390">
        <f>vendas2026[[#This Row],[VlrTotal]]</f>
        <v>12000</v>
      </c>
      <c r="K244" s="392">
        <v>7.0000000000000007E-2</v>
      </c>
      <c r="L244" s="15">
        <v>0</v>
      </c>
      <c r="M244" s="14" t="s">
        <v>26</v>
      </c>
      <c r="N244" s="23">
        <f>vendas2026[[#This Row],[VlrTotal]]*vendas2026[[#This Row],[%Comissão]]</f>
        <v>840.00000000000011</v>
      </c>
      <c r="O244" s="14">
        <f>vendas2026[[#This Row],[VlrTotal]]*vendas2026[[#This Row],[%ComissãoSupervisor]]</f>
        <v>0</v>
      </c>
      <c r="P244" s="11" t="s">
        <v>27</v>
      </c>
      <c r="Q244" s="11" t="s">
        <v>27</v>
      </c>
      <c r="R244" s="11"/>
      <c r="S244" s="11">
        <v>6</v>
      </c>
      <c r="T244" s="380">
        <v>46223</v>
      </c>
      <c r="U244" s="11" t="s">
        <v>28</v>
      </c>
      <c r="V244" s="16" t="s">
        <v>22</v>
      </c>
    </row>
    <row r="245" spans="1:22" hidden="1" x14ac:dyDescent="0.25">
      <c r="A245" s="10">
        <v>46223</v>
      </c>
      <c r="B245" s="11">
        <v>146831</v>
      </c>
      <c r="C245" s="11" t="s">
        <v>22</v>
      </c>
      <c r="D245" s="11" t="s">
        <v>6561</v>
      </c>
      <c r="E245" s="11" t="s">
        <v>69</v>
      </c>
      <c r="F245" s="11" t="s">
        <v>30</v>
      </c>
      <c r="G245" s="12">
        <v>1</v>
      </c>
      <c r="H245" s="13">
        <v>1700</v>
      </c>
      <c r="I245" s="14">
        <f>vendas2026[[#This Row],[Qtde]]*vendas2026[[#This Row],[VlrUnitário]]</f>
        <v>1700</v>
      </c>
      <c r="J245" s="390">
        <f>vendas2026[[#This Row],[VlrTotal]]</f>
        <v>1700</v>
      </c>
      <c r="K245" s="392">
        <v>1</v>
      </c>
      <c r="L245" s="15">
        <v>0</v>
      </c>
      <c r="M245" s="14" t="s">
        <v>26</v>
      </c>
      <c r="N245" s="23">
        <f>vendas2026[[#This Row],[VlrTotal]]*vendas2026[[#This Row],[%Comissão]]</f>
        <v>1700</v>
      </c>
      <c r="O245" s="14">
        <f>vendas2026[[#This Row],[VlrTotal]]*vendas2026[[#This Row],[%ComissãoSupervisor]]</f>
        <v>0</v>
      </c>
      <c r="P245" s="11" t="s">
        <v>27</v>
      </c>
      <c r="Q245" s="11" t="s">
        <v>27</v>
      </c>
      <c r="R245" s="11"/>
      <c r="S245" s="11">
        <v>1</v>
      </c>
      <c r="T245" s="380">
        <v>46223</v>
      </c>
      <c r="U245" s="11" t="s">
        <v>28</v>
      </c>
      <c r="V245" s="16" t="s">
        <v>22</v>
      </c>
    </row>
    <row r="246" spans="1:22" hidden="1" x14ac:dyDescent="0.25">
      <c r="A246" s="10">
        <v>46223</v>
      </c>
      <c r="B246" s="11">
        <v>146558</v>
      </c>
      <c r="C246" s="11" t="s">
        <v>22</v>
      </c>
      <c r="D246" s="11" t="s">
        <v>6562</v>
      </c>
      <c r="E246" s="11" t="s">
        <v>24</v>
      </c>
      <c r="F246" s="11" t="s">
        <v>25</v>
      </c>
      <c r="G246" s="12">
        <v>4</v>
      </c>
      <c r="H246" s="13">
        <v>170</v>
      </c>
      <c r="I246" s="14">
        <f>vendas2026[[#This Row],[Qtde]]*vendas2026[[#This Row],[VlrUnitário]]</f>
        <v>680</v>
      </c>
      <c r="J246" s="390">
        <f>vendas2026[[#This Row],[VlrTotal]]</f>
        <v>680</v>
      </c>
      <c r="K246" s="392">
        <v>7.0000000000000007E-2</v>
      </c>
      <c r="L246" s="15">
        <v>0</v>
      </c>
      <c r="M246" s="14" t="s">
        <v>26</v>
      </c>
      <c r="N246" s="23">
        <f>vendas2026[[#This Row],[VlrTotal]]*vendas2026[[#This Row],[%Comissão]]</f>
        <v>47.6</v>
      </c>
      <c r="O246" s="14">
        <f>vendas2026[[#This Row],[VlrTotal]]*vendas2026[[#This Row],[%ComissãoSupervisor]]</f>
        <v>0</v>
      </c>
      <c r="P246" s="11" t="s">
        <v>36</v>
      </c>
      <c r="Q246" s="11" t="s">
        <v>37</v>
      </c>
      <c r="R246" s="11"/>
      <c r="S246" s="11">
        <v>2</v>
      </c>
      <c r="T246" s="380"/>
      <c r="U246" s="11" t="s">
        <v>38</v>
      </c>
      <c r="V246" s="16" t="s">
        <v>22</v>
      </c>
    </row>
    <row r="247" spans="1:22" hidden="1" x14ac:dyDescent="0.25">
      <c r="A247" s="10">
        <v>46240</v>
      </c>
      <c r="B247" s="11">
        <v>143255</v>
      </c>
      <c r="C247" s="11" t="s">
        <v>44</v>
      </c>
      <c r="D247" s="11" t="s">
        <v>137</v>
      </c>
      <c r="E247" s="11" t="s">
        <v>56</v>
      </c>
      <c r="F247" s="11" t="s">
        <v>30</v>
      </c>
      <c r="G247" s="12">
        <v>1</v>
      </c>
      <c r="H247" s="13">
        <v>250</v>
      </c>
      <c r="I247" s="14">
        <f>vendas2026[[#This Row],[Qtde]]*vendas2026[[#This Row],[VlrUnitário]]</f>
        <v>250</v>
      </c>
      <c r="J247" s="390">
        <f>(vendas2026[[#This Row],[VlrTotal]]*0.2)+vendas2026[[#This Row],[VlrTotal]]</f>
        <v>300</v>
      </c>
      <c r="K247" s="392">
        <v>1</v>
      </c>
      <c r="L247" s="15">
        <f>vendas2026[[#This Row],[%Comissão]]*0.25</f>
        <v>0.25</v>
      </c>
      <c r="M247" s="14" t="s">
        <v>26</v>
      </c>
      <c r="N247" s="23">
        <f>vendas2026[[#This Row],[VlrTotal]]*vendas2026[[#This Row],[%Comissão]]</f>
        <v>250</v>
      </c>
      <c r="O247" s="14">
        <f>vendas2026[[#This Row],[VlrTotal]]*vendas2026[[#This Row],[%ComissãoSupervisor]]</f>
        <v>62.5</v>
      </c>
      <c r="P247" s="11" t="s">
        <v>27</v>
      </c>
      <c r="Q247" s="11" t="s">
        <v>27</v>
      </c>
      <c r="R247" s="11"/>
      <c r="S247" s="11">
        <v>1</v>
      </c>
      <c r="T247" s="380"/>
      <c r="U247" s="11" t="s">
        <v>28</v>
      </c>
      <c r="V247" s="16" t="s">
        <v>44</v>
      </c>
    </row>
    <row r="248" spans="1:22" hidden="1" x14ac:dyDescent="0.25">
      <c r="A248" s="10">
        <v>46240</v>
      </c>
      <c r="B248" s="11">
        <v>118061</v>
      </c>
      <c r="C248" s="11" t="s">
        <v>44</v>
      </c>
      <c r="D248" s="11" t="s">
        <v>140</v>
      </c>
      <c r="E248" s="11" t="s">
        <v>24</v>
      </c>
      <c r="F248" s="11" t="s">
        <v>25</v>
      </c>
      <c r="G248" s="12">
        <v>278</v>
      </c>
      <c r="H248" s="13">
        <v>180.04</v>
      </c>
      <c r="I248" s="14">
        <f>vendas2026[[#This Row],[Qtde]]*vendas2026[[#This Row],[VlrUnitário]]</f>
        <v>50051.119999999995</v>
      </c>
      <c r="J248" s="390">
        <f>vendas2026[[#This Row],[VlrTotal]]</f>
        <v>50051.119999999995</v>
      </c>
      <c r="K248" s="392">
        <v>7.0000000000000007E-2</v>
      </c>
      <c r="L248" s="15">
        <f>vendas2026[[#This Row],[%Comissão]]*0.25</f>
        <v>1.7500000000000002E-2</v>
      </c>
      <c r="M248" s="14" t="s">
        <v>46</v>
      </c>
      <c r="N248" s="23">
        <f>vendas2026[[#This Row],[VlrTotal]]*vendas2026[[#This Row],[%Comissão]]</f>
        <v>3503.5783999999999</v>
      </c>
      <c r="O248" s="14">
        <f>vendas2026[[#This Row],[VlrTotal]]*vendas2026[[#This Row],[%ComissãoSupervisor]]</f>
        <v>875.89459999999997</v>
      </c>
      <c r="P248" s="11" t="s">
        <v>36</v>
      </c>
      <c r="Q248" s="11" t="s">
        <v>37</v>
      </c>
      <c r="R248" s="11"/>
      <c r="S248" s="11">
        <v>1</v>
      </c>
      <c r="T248" s="380"/>
      <c r="U248" s="11" t="s">
        <v>38</v>
      </c>
      <c r="V248" s="16" t="s">
        <v>44</v>
      </c>
    </row>
    <row r="249" spans="1:22" hidden="1" x14ac:dyDescent="0.25">
      <c r="A249" s="10">
        <v>46240</v>
      </c>
      <c r="B249" s="11">
        <v>147022</v>
      </c>
      <c r="C249" s="11" t="s">
        <v>44</v>
      </c>
      <c r="D249" s="11" t="s">
        <v>140</v>
      </c>
      <c r="E249" s="11" t="s">
        <v>54</v>
      </c>
      <c r="F249" s="11" t="s">
        <v>30</v>
      </c>
      <c r="G249" s="12">
        <v>1</v>
      </c>
      <c r="H249" s="13">
        <v>148</v>
      </c>
      <c r="I249" s="14">
        <f>vendas2026[[#This Row],[Qtde]]*vendas2026[[#This Row],[VlrUnitário]]</f>
        <v>148</v>
      </c>
      <c r="J249" s="390">
        <f>vendas2026[[#This Row],[VlrTotal]]</f>
        <v>148</v>
      </c>
      <c r="K249" s="392">
        <v>1</v>
      </c>
      <c r="L249" s="15">
        <f>vendas2026[[#This Row],[%Comissão]]*0.25</f>
        <v>0.25</v>
      </c>
      <c r="M249" s="14" t="s">
        <v>46</v>
      </c>
      <c r="N249" s="23">
        <f>vendas2026[[#This Row],[VlrTotal]]*vendas2026[[#This Row],[%Comissão]]</f>
        <v>148</v>
      </c>
      <c r="O249" s="14">
        <f>vendas2026[[#This Row],[VlrTotal]]*vendas2026[[#This Row],[%ComissãoSupervisor]]</f>
        <v>37</v>
      </c>
      <c r="P249" s="11" t="s">
        <v>27</v>
      </c>
      <c r="Q249" s="11" t="s">
        <v>27</v>
      </c>
      <c r="R249" s="11"/>
      <c r="S249" s="11">
        <v>1</v>
      </c>
      <c r="T249" s="380"/>
      <c r="U249" s="11" t="s">
        <v>28</v>
      </c>
      <c r="V249" s="16" t="s">
        <v>44</v>
      </c>
    </row>
    <row r="250" spans="1:22" hidden="1" x14ac:dyDescent="0.25">
      <c r="A250" s="10">
        <v>46240</v>
      </c>
      <c r="B250" s="11">
        <v>120505</v>
      </c>
      <c r="C250" s="11" t="s">
        <v>44</v>
      </c>
      <c r="D250" s="11" t="s">
        <v>627</v>
      </c>
      <c r="E250" s="11" t="s">
        <v>24</v>
      </c>
      <c r="F250" s="11" t="s">
        <v>25</v>
      </c>
      <c r="G250" s="12">
        <v>212</v>
      </c>
      <c r="H250" s="13">
        <v>171.72</v>
      </c>
      <c r="I250" s="14">
        <f>vendas2026[[#This Row],[Qtde]]*vendas2026[[#This Row],[VlrUnitário]]</f>
        <v>36404.639999999999</v>
      </c>
      <c r="J250" s="390">
        <f>vendas2026[[#This Row],[VlrTotal]]</f>
        <v>36404.639999999999</v>
      </c>
      <c r="K250" s="392">
        <v>7.0000000000000007E-2</v>
      </c>
      <c r="L250" s="15">
        <f>vendas2026[[#This Row],[%Comissão]]*0.25</f>
        <v>1.7500000000000002E-2</v>
      </c>
      <c r="M250" s="14" t="s">
        <v>46</v>
      </c>
      <c r="N250" s="23">
        <f>vendas2026[[#This Row],[VlrTotal]]*vendas2026[[#This Row],[%Comissão]]</f>
        <v>2548.3248000000003</v>
      </c>
      <c r="O250" s="14">
        <f>vendas2026[[#This Row],[VlrTotal]]*vendas2026[[#This Row],[%ComissãoSupervisor]]</f>
        <v>637.08120000000008</v>
      </c>
      <c r="P250" s="11" t="s">
        <v>36</v>
      </c>
      <c r="Q250" s="11" t="s">
        <v>37</v>
      </c>
      <c r="R250" s="11"/>
      <c r="S250" s="11">
        <v>12</v>
      </c>
      <c r="T250" s="380"/>
      <c r="U250" s="11" t="s">
        <v>38</v>
      </c>
      <c r="V250" s="16" t="s">
        <v>44</v>
      </c>
    </row>
    <row r="251" spans="1:22" hidden="1" x14ac:dyDescent="0.25">
      <c r="A251" s="10">
        <v>46245</v>
      </c>
      <c r="B251" s="11">
        <v>130175</v>
      </c>
      <c r="C251" s="11" t="s">
        <v>31</v>
      </c>
      <c r="D251" s="11" t="s">
        <v>141</v>
      </c>
      <c r="E251" s="11" t="s">
        <v>24</v>
      </c>
      <c r="F251" s="11" t="s">
        <v>25</v>
      </c>
      <c r="G251" s="12">
        <v>5</v>
      </c>
      <c r="H251" s="13">
        <v>180</v>
      </c>
      <c r="I251" s="14">
        <f>vendas2026[[#This Row],[Qtde]]*vendas2026[[#This Row],[VlrUnitário]]</f>
        <v>900</v>
      </c>
      <c r="J251" s="390">
        <f>vendas2026[[#This Row],[VlrTotal]]</f>
        <v>900</v>
      </c>
      <c r="K251" s="392">
        <v>7.0000000000000007E-2</v>
      </c>
      <c r="L251" s="15">
        <f>vendas2026[[#This Row],[%Comissão]]*0.25</f>
        <v>1.7500000000000002E-2</v>
      </c>
      <c r="M251" s="14" t="s">
        <v>26</v>
      </c>
      <c r="N251" s="23">
        <f>vendas2026[[#This Row],[VlrTotal]]*vendas2026[[#This Row],[%Comissão]]</f>
        <v>63.000000000000007</v>
      </c>
      <c r="O251" s="14">
        <f>vendas2026[[#This Row],[VlrTotal]]*vendas2026[[#This Row],[%ComissãoSupervisor]]</f>
        <v>15.750000000000002</v>
      </c>
      <c r="P251" s="11" t="s">
        <v>36</v>
      </c>
      <c r="Q251" s="11" t="s">
        <v>37</v>
      </c>
      <c r="R251" s="11"/>
      <c r="S251" s="11">
        <v>1</v>
      </c>
      <c r="T251" s="380"/>
      <c r="U251" s="11" t="s">
        <v>38</v>
      </c>
      <c r="V251" s="16" t="s">
        <v>31</v>
      </c>
    </row>
    <row r="252" spans="1:22" hidden="1" x14ac:dyDescent="0.25">
      <c r="A252" s="10">
        <v>46245</v>
      </c>
      <c r="B252" s="11">
        <v>147239</v>
      </c>
      <c r="C252" s="11" t="s">
        <v>31</v>
      </c>
      <c r="D252" s="11" t="s">
        <v>136</v>
      </c>
      <c r="E252" s="11" t="s">
        <v>24</v>
      </c>
      <c r="F252" s="11" t="s">
        <v>25</v>
      </c>
      <c r="G252" s="12">
        <v>20</v>
      </c>
      <c r="H252" s="13">
        <v>210</v>
      </c>
      <c r="I252" s="14">
        <f>vendas2026[[#This Row],[Qtde]]*vendas2026[[#This Row],[VlrUnitário]]</f>
        <v>4200</v>
      </c>
      <c r="J252" s="390">
        <f>(vendas2026[[#This Row],[VlrTotal]]*0.2)+vendas2026[[#This Row],[VlrTotal]]</f>
        <v>5040</v>
      </c>
      <c r="K252" s="392">
        <v>7.0000000000000007E-2</v>
      </c>
      <c r="L252" s="15">
        <f>vendas2026[[#This Row],[%Comissão]]*0.25</f>
        <v>1.7500000000000002E-2</v>
      </c>
      <c r="M252" s="14" t="s">
        <v>26</v>
      </c>
      <c r="N252" s="23">
        <f>vendas2026[[#This Row],[VlrTotal]]*vendas2026[[#This Row],[%Comissão]]</f>
        <v>294</v>
      </c>
      <c r="O252" s="14">
        <f>vendas2026[[#This Row],[VlrTotal]]*vendas2026[[#This Row],[%ComissãoSupervisor]]</f>
        <v>73.5</v>
      </c>
      <c r="P252" s="11" t="s">
        <v>36</v>
      </c>
      <c r="Q252" s="11" t="s">
        <v>37</v>
      </c>
      <c r="R252" s="11"/>
      <c r="S252" s="11">
        <v>3</v>
      </c>
      <c r="T252" s="380"/>
      <c r="U252" s="11" t="s">
        <v>38</v>
      </c>
      <c r="V252" s="16" t="s">
        <v>31</v>
      </c>
    </row>
    <row r="253" spans="1:22" hidden="1" x14ac:dyDescent="0.25">
      <c r="A253" s="10">
        <v>46245</v>
      </c>
      <c r="B253" s="11">
        <v>140964</v>
      </c>
      <c r="C253" s="11" t="s">
        <v>31</v>
      </c>
      <c r="D253" s="11" t="s">
        <v>120</v>
      </c>
      <c r="E253" s="11" t="s">
        <v>24</v>
      </c>
      <c r="F253" s="11" t="s">
        <v>25</v>
      </c>
      <c r="G253" s="12">
        <v>2</v>
      </c>
      <c r="H253" s="13">
        <v>210</v>
      </c>
      <c r="I253" s="14">
        <f>vendas2026[[#This Row],[Qtde]]*vendas2026[[#This Row],[VlrUnitário]]</f>
        <v>420</v>
      </c>
      <c r="J253" s="390">
        <f>(vendas2026[[#This Row],[VlrTotal]]*0.2)+vendas2026[[#This Row],[VlrTotal]]</f>
        <v>504</v>
      </c>
      <c r="K253" s="392">
        <v>7.0000000000000007E-2</v>
      </c>
      <c r="L253" s="15">
        <f>vendas2026[[#This Row],[%Comissão]]*0.25</f>
        <v>1.7500000000000002E-2</v>
      </c>
      <c r="M253" s="14" t="s">
        <v>26</v>
      </c>
      <c r="N253" s="23">
        <f>vendas2026[[#This Row],[VlrTotal]]*vendas2026[[#This Row],[%Comissão]]</f>
        <v>29.400000000000002</v>
      </c>
      <c r="O253" s="14">
        <f>vendas2026[[#This Row],[VlrTotal]]*vendas2026[[#This Row],[%ComissãoSupervisor]]</f>
        <v>7.3500000000000005</v>
      </c>
      <c r="P253" s="11" t="s">
        <v>36</v>
      </c>
      <c r="Q253" s="11" t="s">
        <v>37</v>
      </c>
      <c r="R253" s="11"/>
      <c r="S253" s="11">
        <v>1</v>
      </c>
      <c r="T253" s="380"/>
      <c r="U253" s="11" t="s">
        <v>38</v>
      </c>
      <c r="V253" s="16" t="s">
        <v>31</v>
      </c>
    </row>
    <row r="254" spans="1:22" hidden="1" x14ac:dyDescent="0.25">
      <c r="A254" s="10">
        <v>46245</v>
      </c>
      <c r="B254" s="11">
        <v>144636</v>
      </c>
      <c r="C254" s="11" t="s">
        <v>31</v>
      </c>
      <c r="D254" s="11" t="s">
        <v>146</v>
      </c>
      <c r="E254" s="11" t="s">
        <v>35</v>
      </c>
      <c r="F254" s="11" t="s">
        <v>35</v>
      </c>
      <c r="G254" s="12">
        <v>24</v>
      </c>
      <c r="H254" s="13">
        <v>176</v>
      </c>
      <c r="I254" s="14">
        <f>vendas2026[[#This Row],[Qtde]]*vendas2026[[#This Row],[VlrUnitário]]</f>
        <v>4224</v>
      </c>
      <c r="J254" s="390">
        <f>vendas2026[[#This Row],[VlrTotal]]</f>
        <v>4224</v>
      </c>
      <c r="K254" s="392">
        <v>0.01</v>
      </c>
      <c r="L254" s="15">
        <f>vendas2026[[#This Row],[%Comissão]]*0.25</f>
        <v>2.5000000000000001E-3</v>
      </c>
      <c r="M254" s="14" t="s">
        <v>26</v>
      </c>
      <c r="N254" s="23">
        <f>vendas2026[[#This Row],[VlrTotal]]*vendas2026[[#This Row],[%Comissão]]</f>
        <v>42.24</v>
      </c>
      <c r="O254" s="14">
        <f>vendas2026[[#This Row],[VlrTotal]]*vendas2026[[#This Row],[%ComissãoSupervisor]]</f>
        <v>10.56</v>
      </c>
      <c r="P254" s="11" t="s">
        <v>36</v>
      </c>
      <c r="Q254" s="11" t="s">
        <v>37</v>
      </c>
      <c r="R254" s="11"/>
      <c r="S254" s="11">
        <v>3</v>
      </c>
      <c r="T254" s="380"/>
      <c r="U254" s="11" t="s">
        <v>38</v>
      </c>
      <c r="V254" s="16" t="s">
        <v>31</v>
      </c>
    </row>
    <row r="255" spans="1:22" hidden="1" x14ac:dyDescent="0.25">
      <c r="A255" s="10">
        <v>46245</v>
      </c>
      <c r="B255" s="11">
        <v>146572</v>
      </c>
      <c r="C255" s="11" t="s">
        <v>31</v>
      </c>
      <c r="D255" s="11" t="s">
        <v>610</v>
      </c>
      <c r="E255" s="11" t="s">
        <v>35</v>
      </c>
      <c r="F255" s="11" t="s">
        <v>35</v>
      </c>
      <c r="G255" s="12">
        <v>32</v>
      </c>
      <c r="H255" s="13">
        <v>176</v>
      </c>
      <c r="I255" s="14">
        <f>vendas2026[[#This Row],[Qtde]]*vendas2026[[#This Row],[VlrUnitário]]</f>
        <v>5632</v>
      </c>
      <c r="J255" s="390">
        <f>vendas2026[[#This Row],[VlrTotal]]</f>
        <v>5632</v>
      </c>
      <c r="K255" s="392">
        <v>0.01</v>
      </c>
      <c r="L255" s="15">
        <f>vendas2026[[#This Row],[%Comissão]]*0.25</f>
        <v>2.5000000000000001E-3</v>
      </c>
      <c r="M255" s="14" t="s">
        <v>26</v>
      </c>
      <c r="N255" s="23">
        <f>vendas2026[[#This Row],[VlrTotal]]*vendas2026[[#This Row],[%Comissão]]</f>
        <v>56.32</v>
      </c>
      <c r="O255" s="14">
        <f>vendas2026[[#This Row],[VlrTotal]]*vendas2026[[#This Row],[%ComissãoSupervisor]]</f>
        <v>14.08</v>
      </c>
      <c r="P255" s="11" t="s">
        <v>36</v>
      </c>
      <c r="Q255" s="11" t="s">
        <v>37</v>
      </c>
      <c r="R255" s="11"/>
      <c r="S255" s="11">
        <v>3</v>
      </c>
      <c r="T255" s="380"/>
      <c r="U255" s="11" t="s">
        <v>38</v>
      </c>
      <c r="V255" s="16" t="s">
        <v>31</v>
      </c>
    </row>
    <row r="256" spans="1:22" hidden="1" x14ac:dyDescent="0.25">
      <c r="A256" s="10">
        <v>46249</v>
      </c>
      <c r="B256" s="11">
        <v>147815</v>
      </c>
      <c r="C256" s="11" t="s">
        <v>31</v>
      </c>
      <c r="D256" s="11" t="s">
        <v>3373</v>
      </c>
      <c r="E256" s="11" t="s">
        <v>584</v>
      </c>
      <c r="F256" s="11" t="s">
        <v>25</v>
      </c>
      <c r="G256" s="12">
        <v>8</v>
      </c>
      <c r="H256" s="13">
        <v>189</v>
      </c>
      <c r="I256" s="14">
        <f>vendas2026[[#This Row],[Qtde]]*vendas2026[[#This Row],[VlrUnitário]]</f>
        <v>1512</v>
      </c>
      <c r="J256" s="390">
        <f>vendas2026[[#This Row],[VlrTotal]]</f>
        <v>1512</v>
      </c>
      <c r="K256" s="392">
        <v>7.0000000000000007E-2</v>
      </c>
      <c r="L256" s="15">
        <f>vendas2026[[#This Row],[%Comissão]]*0.25</f>
        <v>1.7500000000000002E-2</v>
      </c>
      <c r="M256" s="14" t="s">
        <v>26</v>
      </c>
      <c r="N256" s="23">
        <f>vendas2026[[#This Row],[VlrTotal]]*vendas2026[[#This Row],[%Comissão]]</f>
        <v>105.84</v>
      </c>
      <c r="O256" s="14">
        <f>vendas2026[[#This Row],[VlrTotal]]*vendas2026[[#This Row],[%ComissãoSupervisor]]</f>
        <v>26.46</v>
      </c>
      <c r="P256" s="11" t="s">
        <v>36</v>
      </c>
      <c r="Q256" s="11" t="s">
        <v>37</v>
      </c>
      <c r="R256" s="11"/>
      <c r="S256" s="11">
        <v>1</v>
      </c>
      <c r="T256" s="380"/>
      <c r="U256" s="11" t="s">
        <v>38</v>
      </c>
      <c r="V256" s="16" t="s">
        <v>31</v>
      </c>
    </row>
    <row r="257" spans="1:22" hidden="1" x14ac:dyDescent="0.25">
      <c r="A257" s="10">
        <v>46249</v>
      </c>
      <c r="B257" s="11">
        <v>147815</v>
      </c>
      <c r="C257" s="11" t="s">
        <v>31</v>
      </c>
      <c r="D257" s="11" t="s">
        <v>3373</v>
      </c>
      <c r="E257" s="11" t="s">
        <v>584</v>
      </c>
      <c r="F257" s="11" t="s">
        <v>30</v>
      </c>
      <c r="G257" s="12">
        <v>1</v>
      </c>
      <c r="H257" s="13">
        <v>320.76</v>
      </c>
      <c r="I257" s="14">
        <f>vendas2026[[#This Row],[Qtde]]*vendas2026[[#This Row],[VlrUnitário]]</f>
        <v>320.76</v>
      </c>
      <c r="J257" s="390">
        <f>vendas2026[[#This Row],[VlrTotal]]</f>
        <v>320.76</v>
      </c>
      <c r="K257" s="392">
        <v>1</v>
      </c>
      <c r="L257" s="15">
        <f>vendas2026[[#This Row],[%Comissão]]*0.25</f>
        <v>0.25</v>
      </c>
      <c r="M257" s="14" t="s">
        <v>26</v>
      </c>
      <c r="N257" s="23">
        <f>vendas2026[[#This Row],[VlrTotal]]*vendas2026[[#This Row],[%Comissão]]</f>
        <v>320.76</v>
      </c>
      <c r="O257" s="14">
        <f>vendas2026[[#This Row],[VlrTotal]]*vendas2026[[#This Row],[%ComissãoSupervisor]]</f>
        <v>80.19</v>
      </c>
      <c r="P257" s="11" t="s">
        <v>27</v>
      </c>
      <c r="Q257" s="11" t="s">
        <v>27</v>
      </c>
      <c r="R257" s="11"/>
      <c r="S257" s="11">
        <v>1</v>
      </c>
      <c r="T257" s="380"/>
      <c r="U257" s="11" t="s">
        <v>28</v>
      </c>
      <c r="V257" s="16" t="s">
        <v>31</v>
      </c>
    </row>
    <row r="258" spans="1:22" hidden="1" x14ac:dyDescent="0.25">
      <c r="A258" s="10">
        <v>46252</v>
      </c>
      <c r="B258" s="11">
        <v>105591</v>
      </c>
      <c r="C258" s="11" t="s">
        <v>31</v>
      </c>
      <c r="D258" s="11" t="s">
        <v>112</v>
      </c>
      <c r="E258" s="11" t="s">
        <v>24</v>
      </c>
      <c r="F258" s="11" t="s">
        <v>25</v>
      </c>
      <c r="G258" s="12">
        <v>110</v>
      </c>
      <c r="H258" s="13">
        <v>180</v>
      </c>
      <c r="I258" s="14">
        <f>vendas2026[[#This Row],[Qtde]]*vendas2026[[#This Row],[VlrUnitário]]</f>
        <v>19800</v>
      </c>
      <c r="J258" s="390">
        <f>(vendas2026[[#This Row],[VlrTotal]]*0.2)+vendas2026[[#This Row],[VlrTotal]]</f>
        <v>23760</v>
      </c>
      <c r="K258" s="392">
        <v>7.0000000000000007E-2</v>
      </c>
      <c r="L258" s="15">
        <f>vendas2026[[#This Row],[%Comissão]]*0.25</f>
        <v>1.7500000000000002E-2</v>
      </c>
      <c r="M258" s="14" t="s">
        <v>26</v>
      </c>
      <c r="N258" s="23">
        <f>vendas2026[[#This Row],[VlrTotal]]*vendas2026[[#This Row],[%Comissão]]</f>
        <v>1386.0000000000002</v>
      </c>
      <c r="O258" s="14">
        <f>vendas2026[[#This Row],[VlrTotal]]*vendas2026[[#This Row],[%ComissãoSupervisor]]</f>
        <v>346.50000000000006</v>
      </c>
      <c r="P258" s="11" t="s">
        <v>36</v>
      </c>
      <c r="Q258" s="11" t="s">
        <v>37</v>
      </c>
      <c r="R258" s="11"/>
      <c r="S258" s="11">
        <v>6</v>
      </c>
      <c r="T258" s="380"/>
      <c r="U258" s="11" t="s">
        <v>38</v>
      </c>
      <c r="V258" s="16" t="s">
        <v>31</v>
      </c>
    </row>
    <row r="259" spans="1:22" hidden="1" x14ac:dyDescent="0.25">
      <c r="A259" s="10">
        <v>46252</v>
      </c>
      <c r="B259" s="11" t="s">
        <v>6564</v>
      </c>
      <c r="C259" s="11" t="s">
        <v>31</v>
      </c>
      <c r="D259" s="11" t="s">
        <v>610</v>
      </c>
      <c r="E259" s="11" t="s">
        <v>35</v>
      </c>
      <c r="F259" s="11" t="s">
        <v>35</v>
      </c>
      <c r="G259" s="12">
        <v>40</v>
      </c>
      <c r="H259" s="13">
        <v>176</v>
      </c>
      <c r="I259" s="14">
        <f>vendas2026[[#This Row],[Qtde]]*vendas2026[[#This Row],[VlrUnitário]]</f>
        <v>7040</v>
      </c>
      <c r="J259" s="390">
        <f>vendas2026[[#This Row],[VlrTotal]]</f>
        <v>7040</v>
      </c>
      <c r="K259" s="392">
        <v>0.01</v>
      </c>
      <c r="L259" s="15">
        <f>vendas2026[[#This Row],[%Comissão]]*0.25</f>
        <v>2.5000000000000001E-3</v>
      </c>
      <c r="M259" s="14" t="s">
        <v>26</v>
      </c>
      <c r="N259" s="23">
        <f>vendas2026[[#This Row],[VlrTotal]]*vendas2026[[#This Row],[%Comissão]]</f>
        <v>70.400000000000006</v>
      </c>
      <c r="O259" s="14">
        <f>vendas2026[[#This Row],[VlrTotal]]*vendas2026[[#This Row],[%ComissãoSupervisor]]</f>
        <v>17.600000000000001</v>
      </c>
      <c r="P259" s="11" t="s">
        <v>36</v>
      </c>
      <c r="Q259" s="11" t="s">
        <v>37</v>
      </c>
      <c r="R259" s="11"/>
      <c r="S259" s="11">
        <v>3</v>
      </c>
      <c r="T259" s="380"/>
      <c r="U259" s="11" t="s">
        <v>38</v>
      </c>
      <c r="V259" s="16" t="s">
        <v>31</v>
      </c>
    </row>
    <row r="260" spans="1:22" hidden="1" x14ac:dyDescent="0.25">
      <c r="A260" s="10">
        <v>46252</v>
      </c>
      <c r="B260" s="11">
        <v>146422</v>
      </c>
      <c r="C260" s="11" t="s">
        <v>31</v>
      </c>
      <c r="D260" s="11" t="s">
        <v>610</v>
      </c>
      <c r="E260" s="11" t="s">
        <v>35</v>
      </c>
      <c r="F260" s="11" t="s">
        <v>35</v>
      </c>
      <c r="G260" s="12">
        <v>8</v>
      </c>
      <c r="H260" s="13">
        <v>176</v>
      </c>
      <c r="I260" s="14">
        <f>vendas2026[[#This Row],[Qtde]]*vendas2026[[#This Row],[VlrUnitário]]</f>
        <v>1408</v>
      </c>
      <c r="J260" s="390">
        <f>vendas2026[[#This Row],[VlrTotal]]</f>
        <v>1408</v>
      </c>
      <c r="K260" s="392">
        <v>0.01</v>
      </c>
      <c r="L260" s="15">
        <f>vendas2026[[#This Row],[%Comissão]]*0.25</f>
        <v>2.5000000000000001E-3</v>
      </c>
      <c r="M260" s="14" t="s">
        <v>26</v>
      </c>
      <c r="N260" s="23">
        <f>vendas2026[[#This Row],[VlrTotal]]*vendas2026[[#This Row],[%Comissão]]</f>
        <v>14.08</v>
      </c>
      <c r="O260" s="14">
        <f>vendas2026[[#This Row],[VlrTotal]]*vendas2026[[#This Row],[%ComissãoSupervisor]]</f>
        <v>3.52</v>
      </c>
      <c r="P260" s="11" t="s">
        <v>36</v>
      </c>
      <c r="Q260" s="11" t="s">
        <v>37</v>
      </c>
      <c r="R260" s="11"/>
      <c r="S260" s="11">
        <v>1</v>
      </c>
      <c r="T260" s="380"/>
      <c r="U260" s="11" t="s">
        <v>38</v>
      </c>
      <c r="V260" s="16" t="s">
        <v>31</v>
      </c>
    </row>
    <row r="261" spans="1:22" x14ac:dyDescent="0.25">
      <c r="A261" s="10">
        <v>46266</v>
      </c>
      <c r="B261" s="11">
        <v>148057</v>
      </c>
      <c r="C261" s="11" t="s">
        <v>44</v>
      </c>
      <c r="D261" s="11" t="s">
        <v>6565</v>
      </c>
      <c r="E261" s="11" t="s">
        <v>40</v>
      </c>
      <c r="F261" s="11" t="s">
        <v>25</v>
      </c>
      <c r="G261" s="12">
        <v>1</v>
      </c>
      <c r="H261" s="13">
        <v>2663.07</v>
      </c>
      <c r="I261" s="14">
        <f>vendas2026[[#This Row],[Qtde]]*vendas2026[[#This Row],[VlrUnitário]]</f>
        <v>2663.07</v>
      </c>
      <c r="J261" s="390">
        <f>(vendas2026[[#This Row],[VlrTotal]]*0.2)+vendas2026[[#This Row],[VlrTotal]]</f>
        <v>3195.6840000000002</v>
      </c>
      <c r="K261" s="392">
        <v>7.0000000000000007E-2</v>
      </c>
      <c r="L261" s="15">
        <f>vendas2026[[#This Row],[%Comissão]]*0.25</f>
        <v>1.7500000000000002E-2</v>
      </c>
      <c r="M261" s="14" t="s">
        <v>26</v>
      </c>
      <c r="N261" s="23">
        <f>vendas2026[[#This Row],[VlrTotal]]*vendas2026[[#This Row],[%Comissão]]</f>
        <v>186.41490000000002</v>
      </c>
      <c r="O261" s="14">
        <f>vendas2026[[#This Row],[VlrTotal]]*vendas2026[[#This Row],[%ComissãoSupervisor]]</f>
        <v>46.603725000000004</v>
      </c>
      <c r="P261" s="11" t="s">
        <v>27</v>
      </c>
      <c r="Q261" s="11" t="s">
        <v>27</v>
      </c>
      <c r="R261" s="11"/>
      <c r="S261" s="11">
        <v>4</v>
      </c>
      <c r="T261" s="380">
        <v>46253</v>
      </c>
      <c r="U261" s="11" t="s">
        <v>147</v>
      </c>
      <c r="V261" s="16" t="s">
        <v>44</v>
      </c>
    </row>
    <row r="262" spans="1:22" x14ac:dyDescent="0.25">
      <c r="A262" s="10">
        <v>46266</v>
      </c>
      <c r="B262" s="11">
        <v>148327</v>
      </c>
      <c r="C262" s="11" t="s">
        <v>22</v>
      </c>
      <c r="D262" s="11" t="s">
        <v>6566</v>
      </c>
      <c r="E262" s="11" t="s">
        <v>40</v>
      </c>
      <c r="F262" s="11" t="s">
        <v>41</v>
      </c>
      <c r="G262" s="12">
        <v>1</v>
      </c>
      <c r="H262" s="13">
        <v>5900</v>
      </c>
      <c r="I262" s="14">
        <f>vendas2026[[#This Row],[Qtde]]*vendas2026[[#This Row],[VlrUnitário]]</f>
        <v>5900</v>
      </c>
      <c r="J262" s="390">
        <f>(vendas2026[[#This Row],[VlrTotal]]*0.2)+vendas2026[[#This Row],[VlrTotal]]</f>
        <v>7080</v>
      </c>
      <c r="K262" s="392">
        <v>7.0000000000000007E-2</v>
      </c>
      <c r="L262" s="15">
        <v>0</v>
      </c>
      <c r="M262" s="14" t="s">
        <v>26</v>
      </c>
      <c r="N262" s="23">
        <f>vendas2026[[#This Row],[VlrTotal]]*vendas2026[[#This Row],[%Comissão]]</f>
        <v>413.00000000000006</v>
      </c>
      <c r="O262" s="14">
        <f>vendas2026[[#This Row],[VlrTotal]]*vendas2026[[#This Row],[%ComissãoSupervisor]]</f>
        <v>0</v>
      </c>
      <c r="P262" s="11" t="s">
        <v>27</v>
      </c>
      <c r="Q262" s="11" t="s">
        <v>27</v>
      </c>
      <c r="R262" s="11"/>
      <c r="S262" s="11">
        <v>6</v>
      </c>
      <c r="T262" s="380">
        <v>46266</v>
      </c>
      <c r="U262" s="11" t="s">
        <v>28</v>
      </c>
      <c r="V262" s="16" t="s">
        <v>22</v>
      </c>
    </row>
    <row r="263" spans="1:22" x14ac:dyDescent="0.25">
      <c r="A263" s="10">
        <v>46267</v>
      </c>
      <c r="B263" s="11">
        <v>148643</v>
      </c>
      <c r="C263" s="11" t="s">
        <v>31</v>
      </c>
      <c r="D263" s="11" t="s">
        <v>108</v>
      </c>
      <c r="E263" s="11" t="s">
        <v>24</v>
      </c>
      <c r="F263" s="11" t="s">
        <v>25</v>
      </c>
      <c r="G263" s="12">
        <v>8</v>
      </c>
      <c r="H263" s="13">
        <v>180</v>
      </c>
      <c r="I263" s="14">
        <f>vendas2026[[#This Row],[Qtde]]*vendas2026[[#This Row],[VlrUnitário]]</f>
        <v>1440</v>
      </c>
      <c r="J263" s="390">
        <f>(vendas2026[[#This Row],[VlrTotal]]*0.2)+vendas2026[[#This Row],[VlrTotal]]</f>
        <v>1728</v>
      </c>
      <c r="K263" s="392">
        <v>7.0000000000000007E-2</v>
      </c>
      <c r="L263" s="15">
        <f>vendas2026[[#This Row],[%Comissão]]*0.25</f>
        <v>1.7500000000000002E-2</v>
      </c>
      <c r="M263" s="14" t="s">
        <v>26</v>
      </c>
      <c r="N263" s="23">
        <f>vendas2026[[#This Row],[VlrTotal]]*vendas2026[[#This Row],[%Comissão]]</f>
        <v>100.80000000000001</v>
      </c>
      <c r="O263" s="14">
        <f>vendas2026[[#This Row],[VlrTotal]]*vendas2026[[#This Row],[%ComissãoSupervisor]]</f>
        <v>25.200000000000003</v>
      </c>
      <c r="P263" s="11" t="s">
        <v>36</v>
      </c>
      <c r="Q263" s="11" t="s">
        <v>37</v>
      </c>
      <c r="R263" s="11"/>
      <c r="S263" s="11">
        <v>3</v>
      </c>
      <c r="T263" s="380"/>
      <c r="U263" s="11" t="s">
        <v>38</v>
      </c>
      <c r="V263" s="16" t="s">
        <v>31</v>
      </c>
    </row>
    <row r="264" spans="1:22" x14ac:dyDescent="0.25">
      <c r="A264" s="10">
        <v>46267</v>
      </c>
      <c r="B264" s="11">
        <v>148770</v>
      </c>
      <c r="C264" s="11" t="s">
        <v>44</v>
      </c>
      <c r="D264" s="11" t="s">
        <v>635</v>
      </c>
      <c r="E264" s="11" t="s">
        <v>89</v>
      </c>
      <c r="F264" s="11" t="s">
        <v>30</v>
      </c>
      <c r="G264" s="12">
        <v>1</v>
      </c>
      <c r="H264" s="13">
        <v>356.4</v>
      </c>
      <c r="I264" s="14">
        <f>vendas2026[[#This Row],[Qtde]]*vendas2026[[#This Row],[VlrUnitário]]</f>
        <v>356.4</v>
      </c>
      <c r="J264" s="390">
        <f>(vendas2026[[#This Row],[VlrTotal]]*0.2)+vendas2026[[#This Row],[VlrTotal]]</f>
        <v>427.67999999999995</v>
      </c>
      <c r="K264" s="392">
        <v>1</v>
      </c>
      <c r="L264" s="15">
        <f>vendas2026[[#This Row],[%Comissão]]*0.25</f>
        <v>0.25</v>
      </c>
      <c r="M264" s="14" t="s">
        <v>26</v>
      </c>
      <c r="N264" s="23">
        <f>vendas2026[[#This Row],[VlrTotal]]*vendas2026[[#This Row],[%Comissão]]</f>
        <v>356.4</v>
      </c>
      <c r="O264" s="14">
        <f>vendas2026[[#This Row],[VlrTotal]]*vendas2026[[#This Row],[%ComissãoSupervisor]]</f>
        <v>89.1</v>
      </c>
      <c r="P264" s="11" t="s">
        <v>27</v>
      </c>
      <c r="Q264" s="11" t="s">
        <v>27</v>
      </c>
      <c r="R264" s="11"/>
      <c r="S264" s="11">
        <v>1</v>
      </c>
      <c r="T264" s="380">
        <v>46267</v>
      </c>
      <c r="U264" s="11" t="s">
        <v>147</v>
      </c>
      <c r="V264" s="16" t="s">
        <v>44</v>
      </c>
    </row>
    <row r="265" spans="1:22" x14ac:dyDescent="0.25">
      <c r="A265" s="10">
        <v>46268</v>
      </c>
      <c r="B265" s="11">
        <v>148857</v>
      </c>
      <c r="C265" s="11" t="s">
        <v>31</v>
      </c>
      <c r="D265" s="11" t="s">
        <v>79</v>
      </c>
      <c r="E265" s="11" t="s">
        <v>35</v>
      </c>
      <c r="F265" s="11" t="s">
        <v>35</v>
      </c>
      <c r="G265" s="12">
        <v>25</v>
      </c>
      <c r="H265" s="13">
        <v>176</v>
      </c>
      <c r="I265" s="14">
        <f>vendas2026[[#This Row],[Qtde]]*vendas2026[[#This Row],[VlrUnitário]]</f>
        <v>4400</v>
      </c>
      <c r="J265" s="390">
        <f>vendas2026[[#This Row],[VlrTotal]]</f>
        <v>4400</v>
      </c>
      <c r="K265" s="392">
        <v>0.01</v>
      </c>
      <c r="L265" s="15">
        <f>vendas2026[[#This Row],[%Comissão]]*0.25</f>
        <v>2.5000000000000001E-3</v>
      </c>
      <c r="M265" s="14" t="s">
        <v>26</v>
      </c>
      <c r="N265" s="23">
        <f>vendas2026[[#This Row],[VlrTotal]]*vendas2026[[#This Row],[%Comissão]]</f>
        <v>44</v>
      </c>
      <c r="O265" s="14">
        <f>vendas2026[[#This Row],[VlrTotal]]*vendas2026[[#This Row],[%ComissãoSupervisor]]</f>
        <v>11</v>
      </c>
      <c r="P265" s="11" t="s">
        <v>36</v>
      </c>
      <c r="Q265" s="11" t="s">
        <v>37</v>
      </c>
      <c r="R265" s="11"/>
      <c r="S265" s="11">
        <v>4</v>
      </c>
      <c r="T265" s="380"/>
      <c r="U265" s="11" t="s">
        <v>38</v>
      </c>
      <c r="V265" s="16" t="s">
        <v>31</v>
      </c>
    </row>
    <row r="266" spans="1:22" x14ac:dyDescent="0.25">
      <c r="A266" s="10">
        <v>46268</v>
      </c>
      <c r="B266" s="11">
        <v>148881</v>
      </c>
      <c r="C266" s="11" t="s">
        <v>31</v>
      </c>
      <c r="D266" s="11" t="s">
        <v>6567</v>
      </c>
      <c r="E266" s="11" t="s">
        <v>63</v>
      </c>
      <c r="F266" s="11" t="s">
        <v>30</v>
      </c>
      <c r="G266" s="12">
        <v>60</v>
      </c>
      <c r="H266" s="13">
        <v>103.5</v>
      </c>
      <c r="I266" s="14">
        <f>vendas2026[[#This Row],[Qtde]]*vendas2026[[#This Row],[VlrUnitário]]</f>
        <v>6210</v>
      </c>
      <c r="J266" s="390">
        <f>vendas2026[[#This Row],[VlrTotal]]</f>
        <v>6210</v>
      </c>
      <c r="K266" s="392">
        <v>1</v>
      </c>
      <c r="L266" s="15">
        <f>vendas2026[[#This Row],[%Comissão]]*0.25</f>
        <v>0.25</v>
      </c>
      <c r="M266" s="14" t="s">
        <v>46</v>
      </c>
      <c r="N266" s="23">
        <f>vendas2026[[#This Row],[VlrTotal]]*vendas2026[[#This Row],[%Comissão]]</f>
        <v>6210</v>
      </c>
      <c r="O266" s="14">
        <f>vendas2026[[#This Row],[VlrTotal]]*vendas2026[[#This Row],[%ComissãoSupervisor]]</f>
        <v>1552.5</v>
      </c>
      <c r="P266" s="11" t="s">
        <v>27</v>
      </c>
      <c r="Q266" s="11" t="s">
        <v>27</v>
      </c>
      <c r="R266" s="11"/>
      <c r="S266" s="11">
        <v>1</v>
      </c>
      <c r="T266" s="380">
        <v>46268</v>
      </c>
      <c r="U266" s="11" t="s">
        <v>147</v>
      </c>
      <c r="V266" s="16" t="s">
        <v>31</v>
      </c>
    </row>
    <row r="267" spans="1:22" x14ac:dyDescent="0.25">
      <c r="A267" s="10">
        <v>46268</v>
      </c>
      <c r="B267" s="11" t="s">
        <v>6570</v>
      </c>
      <c r="C267" s="11" t="s">
        <v>22</v>
      </c>
      <c r="D267" s="11" t="s">
        <v>6568</v>
      </c>
      <c r="E267" s="11" t="s">
        <v>47</v>
      </c>
      <c r="F267" s="11" t="s">
        <v>30</v>
      </c>
      <c r="G267" s="12">
        <v>11</v>
      </c>
      <c r="H267" s="13">
        <v>275.62</v>
      </c>
      <c r="I267" s="14">
        <f>vendas2026[[#This Row],[Qtde]]*vendas2026[[#This Row],[VlrUnitário]]</f>
        <v>3031.82</v>
      </c>
      <c r="J267" s="390">
        <f>vendas2026[[#This Row],[VlrTotal]]</f>
        <v>3031.82</v>
      </c>
      <c r="K267" s="392">
        <v>1</v>
      </c>
      <c r="L267" s="15">
        <v>0</v>
      </c>
      <c r="M267" s="14" t="s">
        <v>46</v>
      </c>
      <c r="N267" s="23">
        <f>vendas2026[[#This Row],[VlrTotal]]*vendas2026[[#This Row],[%Comissão]]</f>
        <v>3031.82</v>
      </c>
      <c r="O267" s="14">
        <f>vendas2026[[#This Row],[VlrTotal]]*vendas2026[[#This Row],[%ComissãoSupervisor]]</f>
        <v>0</v>
      </c>
      <c r="P267" s="11" t="s">
        <v>27</v>
      </c>
      <c r="Q267" s="11" t="s">
        <v>27</v>
      </c>
      <c r="R267" s="11"/>
      <c r="S267" s="11">
        <v>1</v>
      </c>
      <c r="T267" s="380">
        <v>46268</v>
      </c>
      <c r="U267" s="11" t="s">
        <v>147</v>
      </c>
      <c r="V267" s="16" t="s">
        <v>22</v>
      </c>
    </row>
    <row r="268" spans="1:22" x14ac:dyDescent="0.25">
      <c r="A268" s="10">
        <v>46268</v>
      </c>
      <c r="B268" s="11" t="s">
        <v>6570</v>
      </c>
      <c r="C268" s="11" t="s">
        <v>22</v>
      </c>
      <c r="D268" s="11" t="s">
        <v>6568</v>
      </c>
      <c r="E268" s="11" t="s">
        <v>63</v>
      </c>
      <c r="F268" s="11" t="s">
        <v>30</v>
      </c>
      <c r="G268" s="12">
        <v>30</v>
      </c>
      <c r="H268" s="13">
        <v>105</v>
      </c>
      <c r="I268" s="14">
        <f>vendas2026[[#This Row],[Qtde]]*vendas2026[[#This Row],[VlrUnitário]]</f>
        <v>3150</v>
      </c>
      <c r="J268" s="390">
        <f>vendas2026[[#This Row],[VlrTotal]]</f>
        <v>3150</v>
      </c>
      <c r="K268" s="392">
        <v>1</v>
      </c>
      <c r="L268" s="15">
        <v>0</v>
      </c>
      <c r="M268" s="14" t="s">
        <v>46</v>
      </c>
      <c r="N268" s="23">
        <f>vendas2026[[#This Row],[VlrTotal]]*vendas2026[[#This Row],[%Comissão]]</f>
        <v>3150</v>
      </c>
      <c r="O268" s="14">
        <f>vendas2026[[#This Row],[VlrTotal]]*vendas2026[[#This Row],[%ComissãoSupervisor]]</f>
        <v>0</v>
      </c>
      <c r="P268" s="11" t="s">
        <v>27</v>
      </c>
      <c r="Q268" s="11" t="s">
        <v>27</v>
      </c>
      <c r="R268" s="11"/>
      <c r="S268" s="11">
        <v>1</v>
      </c>
      <c r="T268" s="380">
        <v>46268</v>
      </c>
      <c r="U268" s="11" t="s">
        <v>147</v>
      </c>
      <c r="V268" s="16" t="s">
        <v>22</v>
      </c>
    </row>
    <row r="269" spans="1:22" x14ac:dyDescent="0.25">
      <c r="A269" s="10">
        <v>46268</v>
      </c>
      <c r="B269" s="11" t="s">
        <v>6570</v>
      </c>
      <c r="C269" s="11" t="s">
        <v>22</v>
      </c>
      <c r="D269" s="11" t="s">
        <v>6568</v>
      </c>
      <c r="E269" s="11" t="s">
        <v>54</v>
      </c>
      <c r="F269" s="11" t="s">
        <v>30</v>
      </c>
      <c r="G269" s="12">
        <v>5</v>
      </c>
      <c r="H269" s="13">
        <v>142.56</v>
      </c>
      <c r="I269" s="14">
        <f>vendas2026[[#This Row],[Qtde]]*vendas2026[[#This Row],[VlrUnitário]]</f>
        <v>712.8</v>
      </c>
      <c r="J269" s="390">
        <f>vendas2026[[#This Row],[VlrTotal]]</f>
        <v>712.8</v>
      </c>
      <c r="K269" s="392">
        <v>1</v>
      </c>
      <c r="L269" s="15">
        <v>0</v>
      </c>
      <c r="M269" s="14" t="s">
        <v>46</v>
      </c>
      <c r="N269" s="23">
        <f>vendas2026[[#This Row],[VlrTotal]]*vendas2026[[#This Row],[%Comissão]]</f>
        <v>712.8</v>
      </c>
      <c r="O269" s="14">
        <f>vendas2026[[#This Row],[VlrTotal]]*vendas2026[[#This Row],[%ComissãoSupervisor]]</f>
        <v>0</v>
      </c>
      <c r="P269" s="11" t="s">
        <v>27</v>
      </c>
      <c r="Q269" s="11" t="s">
        <v>27</v>
      </c>
      <c r="R269" s="11"/>
      <c r="S269" s="11">
        <v>1</v>
      </c>
      <c r="T269" s="380">
        <v>46268</v>
      </c>
      <c r="U269" s="11" t="s">
        <v>147</v>
      </c>
      <c r="V269" s="16" t="s">
        <v>22</v>
      </c>
    </row>
    <row r="270" spans="1:22" x14ac:dyDescent="0.25">
      <c r="A270" s="10">
        <v>46268</v>
      </c>
      <c r="B270" s="11" t="s">
        <v>6570</v>
      </c>
      <c r="C270" s="11" t="s">
        <v>22</v>
      </c>
      <c r="D270" s="11" t="s">
        <v>6568</v>
      </c>
      <c r="E270" s="11" t="s">
        <v>48</v>
      </c>
      <c r="F270" s="11" t="s">
        <v>30</v>
      </c>
      <c r="G270" s="12">
        <v>1</v>
      </c>
      <c r="H270" s="13">
        <v>356.4</v>
      </c>
      <c r="I270" s="14">
        <v>295</v>
      </c>
      <c r="J270" s="390">
        <f>vendas2026[[#This Row],[VlrTotal]]</f>
        <v>295</v>
      </c>
      <c r="K270" s="392">
        <v>1</v>
      </c>
      <c r="L270" s="15">
        <v>0</v>
      </c>
      <c r="M270" s="14" t="s">
        <v>46</v>
      </c>
      <c r="N270" s="23">
        <f>vendas2026[[#This Row],[VlrTotal]]*vendas2026[[#This Row],[%Comissão]]</f>
        <v>295</v>
      </c>
      <c r="O270" s="14">
        <f>vendas2026[[#This Row],[VlrTotal]]*vendas2026[[#This Row],[%ComissãoSupervisor]]</f>
        <v>0</v>
      </c>
      <c r="P270" s="11" t="s">
        <v>27</v>
      </c>
      <c r="Q270" s="11" t="s">
        <v>27</v>
      </c>
      <c r="R270" s="11"/>
      <c r="S270" s="11">
        <v>1</v>
      </c>
      <c r="T270" s="380">
        <v>46268</v>
      </c>
      <c r="U270" s="11" t="s">
        <v>147</v>
      </c>
      <c r="V270" s="16" t="s">
        <v>22</v>
      </c>
    </row>
    <row r="271" spans="1:22" x14ac:dyDescent="0.25">
      <c r="A271" s="10">
        <v>46268</v>
      </c>
      <c r="B271" s="11" t="s">
        <v>6570</v>
      </c>
      <c r="C271" s="11" t="s">
        <v>22</v>
      </c>
      <c r="D271" s="11" t="s">
        <v>6568</v>
      </c>
      <c r="E271" s="11" t="s">
        <v>588</v>
      </c>
      <c r="F271" s="11" t="s">
        <v>30</v>
      </c>
      <c r="G271" s="12">
        <v>1</v>
      </c>
      <c r="H271" s="13">
        <v>356.4</v>
      </c>
      <c r="I271" s="14">
        <v>295</v>
      </c>
      <c r="J271" s="390">
        <f>vendas2026[[#This Row],[VlrTotal]]</f>
        <v>295</v>
      </c>
      <c r="K271" s="392">
        <v>1</v>
      </c>
      <c r="L271" s="15">
        <v>0</v>
      </c>
      <c r="M271" s="14" t="s">
        <v>46</v>
      </c>
      <c r="N271" s="23">
        <f>vendas2026[[#This Row],[VlrTotal]]*vendas2026[[#This Row],[%Comissão]]</f>
        <v>295</v>
      </c>
      <c r="O271" s="14">
        <f>vendas2026[[#This Row],[VlrTotal]]*vendas2026[[#This Row],[%ComissãoSupervisor]]</f>
        <v>0</v>
      </c>
      <c r="P271" s="11" t="s">
        <v>27</v>
      </c>
      <c r="Q271" s="11" t="s">
        <v>27</v>
      </c>
      <c r="R271" s="11"/>
      <c r="S271" s="11">
        <v>1</v>
      </c>
      <c r="T271" s="380">
        <v>46268</v>
      </c>
      <c r="U271" s="11" t="s">
        <v>147</v>
      </c>
      <c r="V271" s="16" t="s">
        <v>22</v>
      </c>
    </row>
    <row r="272" spans="1:22" x14ac:dyDescent="0.25">
      <c r="A272" s="10">
        <v>46268</v>
      </c>
      <c r="B272" s="11" t="s">
        <v>6570</v>
      </c>
      <c r="C272" s="11" t="s">
        <v>22</v>
      </c>
      <c r="D272" s="11" t="s">
        <v>6568</v>
      </c>
      <c r="E272" s="11" t="s">
        <v>6569</v>
      </c>
      <c r="F272" s="11" t="s">
        <v>30</v>
      </c>
      <c r="G272" s="12">
        <v>1</v>
      </c>
      <c r="H272" s="13">
        <v>635.38</v>
      </c>
      <c r="I272" s="14">
        <f>vendas2026[[#This Row],[Qtde]]*vendas2026[[#This Row],[VlrUnitário]]</f>
        <v>635.38</v>
      </c>
      <c r="J272" s="390">
        <f>vendas2026[[#This Row],[VlrTotal]]</f>
        <v>635.38</v>
      </c>
      <c r="K272" s="392">
        <v>1</v>
      </c>
      <c r="L272" s="15">
        <v>0</v>
      </c>
      <c r="M272" s="14" t="s">
        <v>46</v>
      </c>
      <c r="N272" s="23">
        <f>vendas2026[[#This Row],[VlrTotal]]*vendas2026[[#This Row],[%Comissão]]</f>
        <v>635.38</v>
      </c>
      <c r="O272" s="14">
        <f>vendas2026[[#This Row],[VlrTotal]]*vendas2026[[#This Row],[%ComissãoSupervisor]]</f>
        <v>0</v>
      </c>
      <c r="P272" s="11" t="s">
        <v>27</v>
      </c>
      <c r="Q272" s="11" t="s">
        <v>27</v>
      </c>
      <c r="R272" s="11"/>
      <c r="S272" s="11">
        <v>1</v>
      </c>
      <c r="T272" s="380">
        <v>46268</v>
      </c>
      <c r="U272" s="11" t="s">
        <v>147</v>
      </c>
      <c r="V272" s="16" t="s">
        <v>22</v>
      </c>
    </row>
    <row r="273" spans="1:22" ht="13.15" customHeight="1" x14ac:dyDescent="0.25">
      <c r="A273" s="10">
        <v>46268</v>
      </c>
      <c r="B273" s="11" t="s">
        <v>6570</v>
      </c>
      <c r="C273" s="11" t="s">
        <v>22</v>
      </c>
      <c r="D273" s="11" t="s">
        <v>6568</v>
      </c>
      <c r="E273" s="11" t="s">
        <v>52</v>
      </c>
      <c r="F273" s="11" t="s">
        <v>30</v>
      </c>
      <c r="G273" s="12">
        <v>1</v>
      </c>
      <c r="H273" s="13">
        <v>1080</v>
      </c>
      <c r="I273" s="14">
        <f>vendas2026[[#This Row],[Qtde]]*vendas2026[[#This Row],[VlrUnitário]]</f>
        <v>1080</v>
      </c>
      <c r="J273" s="390">
        <f>vendas2026[[#This Row],[VlrTotal]]</f>
        <v>1080</v>
      </c>
      <c r="K273" s="392">
        <v>1</v>
      </c>
      <c r="L273" s="15">
        <v>0</v>
      </c>
      <c r="M273" s="14" t="s">
        <v>46</v>
      </c>
      <c r="N273" s="23">
        <f>vendas2026[[#This Row],[VlrTotal]]*vendas2026[[#This Row],[%Comissão]]</f>
        <v>1080</v>
      </c>
      <c r="O273" s="14">
        <f>vendas2026[[#This Row],[VlrTotal]]*vendas2026[[#This Row],[%ComissãoSupervisor]]</f>
        <v>0</v>
      </c>
      <c r="P273" s="11" t="s">
        <v>27</v>
      </c>
      <c r="Q273" s="11" t="s">
        <v>27</v>
      </c>
      <c r="R273" s="11"/>
      <c r="S273" s="11">
        <v>1</v>
      </c>
      <c r="T273" s="380">
        <v>46268</v>
      </c>
      <c r="U273" s="11" t="s">
        <v>147</v>
      </c>
      <c r="V273" s="16" t="s">
        <v>22</v>
      </c>
    </row>
    <row r="274" spans="1:22" ht="13.15" customHeight="1" x14ac:dyDescent="0.25">
      <c r="A274" s="10">
        <v>46268</v>
      </c>
      <c r="B274" s="11" t="s">
        <v>6570</v>
      </c>
      <c r="C274" s="11" t="s">
        <v>22</v>
      </c>
      <c r="D274" s="11" t="s">
        <v>6568</v>
      </c>
      <c r="E274" s="11" t="s">
        <v>52</v>
      </c>
      <c r="F274" s="11" t="s">
        <v>41</v>
      </c>
      <c r="G274" s="12">
        <v>1</v>
      </c>
      <c r="H274" s="13">
        <v>8100</v>
      </c>
      <c r="I274" s="14">
        <f>vendas2026[[#This Row],[Qtde]]*vendas2026[[#This Row],[VlrUnitário]]</f>
        <v>8100</v>
      </c>
      <c r="J274" s="390">
        <f>vendas2026[[#This Row],[VlrTotal]]</f>
        <v>8100</v>
      </c>
      <c r="K274" s="392">
        <v>0.05</v>
      </c>
      <c r="L274" s="15">
        <v>0</v>
      </c>
      <c r="M274" s="14" t="s">
        <v>46</v>
      </c>
      <c r="N274" s="23">
        <f>vendas2026[[#This Row],[VlrTotal]]*vendas2026[[#This Row],[%Comissão]]</f>
        <v>405</v>
      </c>
      <c r="O274" s="14">
        <f>vendas2026[[#This Row],[VlrTotal]]*vendas2026[[#This Row],[%ComissãoSupervisor]]</f>
        <v>0</v>
      </c>
      <c r="P274" s="11" t="s">
        <v>27</v>
      </c>
      <c r="Q274" s="11" t="s">
        <v>27</v>
      </c>
      <c r="R274" s="11"/>
      <c r="S274" s="11">
        <v>12</v>
      </c>
      <c r="T274" s="380">
        <v>46268</v>
      </c>
      <c r="U274" s="11" t="s">
        <v>147</v>
      </c>
      <c r="V274" s="16" t="s">
        <v>22</v>
      </c>
    </row>
    <row r="275" spans="1:22" ht="13.15" customHeight="1" x14ac:dyDescent="0.25">
      <c r="A275" s="10">
        <v>46268</v>
      </c>
      <c r="B275" s="11" t="s">
        <v>6570</v>
      </c>
      <c r="C275" s="11" t="s">
        <v>22</v>
      </c>
      <c r="D275" s="11" t="s">
        <v>6568</v>
      </c>
      <c r="E275" s="11" t="s">
        <v>47</v>
      </c>
      <c r="F275" s="11" t="s">
        <v>25</v>
      </c>
      <c r="G275" s="12">
        <v>300</v>
      </c>
      <c r="H275" s="13">
        <v>185</v>
      </c>
      <c r="I275" s="14">
        <f>vendas2026[[#This Row],[Qtde]]*vendas2026[[#This Row],[VlrUnitário]]</f>
        <v>55500</v>
      </c>
      <c r="J275" s="390">
        <f>vendas2026[[#This Row],[VlrTotal]]</f>
        <v>55500</v>
      </c>
      <c r="K275" s="392">
        <v>0.05</v>
      </c>
      <c r="L275" s="15">
        <v>0</v>
      </c>
      <c r="M275" s="14" t="s">
        <v>46</v>
      </c>
      <c r="N275" s="23">
        <f>vendas2026[[#This Row],[VlrTotal]]*vendas2026[[#This Row],[%Comissão]]</f>
        <v>2775</v>
      </c>
      <c r="O275" s="14">
        <f>vendas2026[[#This Row],[VlrTotal]]*vendas2026[[#This Row],[%ComissãoSupervisor]]</f>
        <v>0</v>
      </c>
      <c r="P275" s="11" t="s">
        <v>27</v>
      </c>
      <c r="Q275" s="11" t="s">
        <v>27</v>
      </c>
      <c r="R275" s="11"/>
      <c r="S275" s="11">
        <v>12</v>
      </c>
      <c r="T275" s="380">
        <v>46268</v>
      </c>
      <c r="U275" s="11" t="s">
        <v>147</v>
      </c>
      <c r="V275" s="16" t="s">
        <v>22</v>
      </c>
    </row>
    <row r="276" spans="1:22" ht="13.15" customHeight="1" x14ac:dyDescent="0.25">
      <c r="A276" s="10">
        <v>46268</v>
      </c>
      <c r="B276" s="11" t="s">
        <v>6570</v>
      </c>
      <c r="C276" s="11" t="s">
        <v>22</v>
      </c>
      <c r="D276" s="11" t="s">
        <v>6568</v>
      </c>
      <c r="E276" s="11" t="s">
        <v>63</v>
      </c>
      <c r="F276" s="11" t="s">
        <v>25</v>
      </c>
      <c r="G276" s="12">
        <v>40</v>
      </c>
      <c r="H276" s="13">
        <v>185</v>
      </c>
      <c r="I276" s="14">
        <f>vendas2026[[#This Row],[Qtde]]*vendas2026[[#This Row],[VlrUnitário]]</f>
        <v>7400</v>
      </c>
      <c r="J276" s="390">
        <f>vendas2026[[#This Row],[VlrTotal]]</f>
        <v>7400</v>
      </c>
      <c r="K276" s="392">
        <v>0.05</v>
      </c>
      <c r="L276" s="15">
        <v>0</v>
      </c>
      <c r="M276" s="14" t="s">
        <v>46</v>
      </c>
      <c r="N276" s="23">
        <f>vendas2026[[#This Row],[VlrTotal]]*vendas2026[[#This Row],[%Comissão]]</f>
        <v>370</v>
      </c>
      <c r="O276" s="14">
        <f>vendas2026[[#This Row],[VlrTotal]]*vendas2026[[#This Row],[%ComissãoSupervisor]]</f>
        <v>0</v>
      </c>
      <c r="P276" s="11" t="s">
        <v>27</v>
      </c>
      <c r="Q276" s="11" t="s">
        <v>27</v>
      </c>
      <c r="R276" s="11"/>
      <c r="S276" s="11">
        <v>12</v>
      </c>
      <c r="T276" s="380">
        <v>46268</v>
      </c>
      <c r="U276" s="11" t="s">
        <v>147</v>
      </c>
      <c r="V276" s="16" t="s">
        <v>22</v>
      </c>
    </row>
    <row r="277" spans="1:22" x14ac:dyDescent="0.25">
      <c r="A277" s="10">
        <v>46268</v>
      </c>
      <c r="B277" s="11" t="s">
        <v>6570</v>
      </c>
      <c r="C277" s="11" t="s">
        <v>22</v>
      </c>
      <c r="D277" s="11" t="s">
        <v>6568</v>
      </c>
      <c r="E277" s="11" t="s">
        <v>588</v>
      </c>
      <c r="F277" s="11" t="s">
        <v>25</v>
      </c>
      <c r="G277" s="12">
        <v>16</v>
      </c>
      <c r="H277" s="13">
        <v>185</v>
      </c>
      <c r="I277" s="14">
        <f>vendas2026[[#This Row],[Qtde]]*vendas2026[[#This Row],[VlrUnitário]]</f>
        <v>2960</v>
      </c>
      <c r="J277" s="390">
        <f>vendas2026[[#This Row],[VlrTotal]]</f>
        <v>2960</v>
      </c>
      <c r="K277" s="392">
        <v>0.05</v>
      </c>
      <c r="L277" s="15">
        <v>0</v>
      </c>
      <c r="M277" s="14" t="s">
        <v>46</v>
      </c>
      <c r="N277" s="23">
        <f>vendas2026[[#This Row],[VlrTotal]]*vendas2026[[#This Row],[%Comissão]]</f>
        <v>148</v>
      </c>
      <c r="O277" s="14">
        <f>vendas2026[[#This Row],[VlrTotal]]*vendas2026[[#This Row],[%ComissãoSupervisor]]</f>
        <v>0</v>
      </c>
      <c r="P277" s="11" t="s">
        <v>27</v>
      </c>
      <c r="Q277" s="11" t="s">
        <v>27</v>
      </c>
      <c r="R277" s="11"/>
      <c r="S277" s="11">
        <v>12</v>
      </c>
      <c r="T277" s="380">
        <v>46268</v>
      </c>
      <c r="U277" s="11" t="s">
        <v>147</v>
      </c>
      <c r="V277" s="16" t="s">
        <v>22</v>
      </c>
    </row>
    <row r="278" spans="1:22" x14ac:dyDescent="0.25">
      <c r="A278" s="10">
        <v>46268</v>
      </c>
      <c r="B278" s="11" t="s">
        <v>6570</v>
      </c>
      <c r="C278" s="11" t="s">
        <v>22</v>
      </c>
      <c r="D278" s="11" t="s">
        <v>6568</v>
      </c>
      <c r="E278" s="11" t="s">
        <v>54</v>
      </c>
      <c r="F278" s="11" t="s">
        <v>25</v>
      </c>
      <c r="G278" s="12">
        <v>124</v>
      </c>
      <c r="H278" s="13">
        <v>185</v>
      </c>
      <c r="I278" s="14">
        <f>(vendas2026[[#This Row],[Qtde]]*vendas2026[[#This Row],[VlrUnitário]])-6900</f>
        <v>16040</v>
      </c>
      <c r="J278" s="390">
        <f>vendas2026[[#This Row],[VlrTotal]]</f>
        <v>16040</v>
      </c>
      <c r="K278" s="392">
        <v>0.05</v>
      </c>
      <c r="L278" s="15">
        <v>0</v>
      </c>
      <c r="M278" s="14" t="s">
        <v>46</v>
      </c>
      <c r="N278" s="23">
        <f>vendas2026[[#This Row],[VlrTotal]]*vendas2026[[#This Row],[%Comissão]]</f>
        <v>802</v>
      </c>
      <c r="O278" s="14">
        <f>vendas2026[[#This Row],[VlrTotal]]*vendas2026[[#This Row],[%ComissãoSupervisor]]</f>
        <v>0</v>
      </c>
      <c r="P278" s="11" t="s">
        <v>27</v>
      </c>
      <c r="Q278" s="11" t="s">
        <v>27</v>
      </c>
      <c r="R278" s="11"/>
      <c r="S278" s="11">
        <v>12</v>
      </c>
      <c r="T278" s="380">
        <v>46268</v>
      </c>
      <c r="U278" s="11" t="s">
        <v>147</v>
      </c>
      <c r="V278" s="16" t="s">
        <v>22</v>
      </c>
    </row>
    <row r="279" spans="1:22" x14ac:dyDescent="0.25">
      <c r="A279" s="10">
        <v>46270</v>
      </c>
      <c r="B279" s="11">
        <v>118061</v>
      </c>
      <c r="C279" s="11" t="s">
        <v>44</v>
      </c>
      <c r="D279" s="11" t="s">
        <v>140</v>
      </c>
      <c r="E279" s="11" t="s">
        <v>24</v>
      </c>
      <c r="F279" s="11" t="s">
        <v>25</v>
      </c>
      <c r="G279" s="12">
        <v>136.5</v>
      </c>
      <c r="H279" s="13">
        <v>180.04</v>
      </c>
      <c r="I279" s="14">
        <f>(vendas2026[[#This Row],[Qtde]]*vendas2026[[#This Row],[VlrUnitário]])-6900</f>
        <v>17675.46</v>
      </c>
      <c r="J279" s="390">
        <f>vendas2026[[#This Row],[VlrTotal]]</f>
        <v>17675.46</v>
      </c>
      <c r="K279" s="392">
        <v>7.0000000000000007E-2</v>
      </c>
      <c r="L279" s="15">
        <f>vendas2026[[#This Row],[%Comissão]]*0.25</f>
        <v>1.7500000000000002E-2</v>
      </c>
      <c r="M279" s="14" t="s">
        <v>46</v>
      </c>
      <c r="N279" s="23">
        <f>vendas2026[[#This Row],[VlrTotal]]*vendas2026[[#This Row],[%Comissão]]</f>
        <v>1237.2822000000001</v>
      </c>
      <c r="O279" s="14">
        <f>vendas2026[[#This Row],[VlrTotal]]*vendas2026[[#This Row],[%ComissãoSupervisor]]</f>
        <v>309.32055000000003</v>
      </c>
      <c r="P279" s="11" t="s">
        <v>27</v>
      </c>
      <c r="Q279" s="11" t="s">
        <v>27</v>
      </c>
      <c r="R279" s="11"/>
      <c r="S279" s="11">
        <v>6</v>
      </c>
      <c r="T279" s="380"/>
      <c r="U279" s="11" t="s">
        <v>38</v>
      </c>
      <c r="V279" s="16" t="s">
        <v>44</v>
      </c>
    </row>
    <row r="280" spans="1:22" x14ac:dyDescent="0.25">
      <c r="A280" s="76" t="s">
        <v>150</v>
      </c>
      <c r="B280" s="21"/>
      <c r="C280" s="21"/>
      <c r="D280" s="11"/>
      <c r="E280" s="21"/>
      <c r="F280" s="21"/>
      <c r="G280" s="22">
        <f>SUBTOTAL(109,vendas2026[Qtde])</f>
        <v>763.5</v>
      </c>
      <c r="H280" s="21"/>
      <c r="I280" s="23">
        <f>SUBTOTAL(109,vendas2026[VlrTotal])</f>
        <v>137844.93</v>
      </c>
      <c r="J280" s="23">
        <f>SUBTOTAL(109,vendas2026[Vlr Meta])</f>
        <v>139916.82399999999</v>
      </c>
      <c r="K280" s="21"/>
      <c r="L280" s="21"/>
      <c r="M280" s="21"/>
      <c r="N280" s="23">
        <f>SUBTOTAL(109,vendas2026[[ComissãoVendedor ]])</f>
        <v>22247.897100000002</v>
      </c>
      <c r="O280" s="23">
        <f>SUBTOTAL(109,vendas2026[ComissãoSupervisor])</f>
        <v>2033.724275</v>
      </c>
      <c r="P280" s="21"/>
      <c r="Q280" s="21"/>
      <c r="R280" s="21"/>
      <c r="S280" s="21"/>
      <c r="T280" s="381"/>
      <c r="U280" s="21"/>
      <c r="V280" s="75">
        <f>SUBTOTAL(103,vendas2026[SDR_RESPONSÁVEL])</f>
        <v>19</v>
      </c>
    </row>
  </sheetData>
  <pageMargins left="0.511811024" right="0.511811024" top="0.78740157499999996" bottom="0.78740157499999996" header="0.31496062000000002" footer="0.31496062000000002"/>
  <ignoredErrors>
    <ignoredError sqref="J247" formula="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146" workbookViewId="0">
      <selection activeCell="D473" sqref="D473"/>
    </sheetView>
  </sheetViews>
  <sheetFormatPr defaultRowHeight="15" x14ac:dyDescent="0.25"/>
  <cols>
    <col min="1" max="1" width="13.5703125" style="31" customWidth="1"/>
    <col min="2" max="2" width="15.28515625" bestFit="1" customWidth="1"/>
    <col min="3" max="3" width="20.28515625" bestFit="1" customWidth="1"/>
    <col min="4" max="4" width="32.5703125" bestFit="1" customWidth="1"/>
    <col min="5" max="5" width="29.28515625" style="32" customWidth="1"/>
    <col min="6" max="6" width="29.5703125" style="32" customWidth="1"/>
    <col min="7" max="7" width="17.7109375" customWidth="1"/>
    <col min="8" max="8" width="30.7109375" customWidth="1"/>
    <col min="9" max="9" width="20.140625" customWidth="1"/>
    <col min="10" max="11" width="22.5703125" customWidth="1"/>
    <col min="12" max="12" width="29.140625" customWidth="1"/>
    <col min="13" max="13" width="23.5703125" customWidth="1"/>
    <col min="14" max="14" width="24.140625" customWidth="1"/>
    <col min="15" max="15" width="18.5703125" customWidth="1"/>
    <col min="16" max="17" width="21.140625" customWidth="1"/>
    <col min="18" max="18" width="18.28515625" customWidth="1"/>
    <col min="19" max="19" width="18.140625" bestFit="1" customWidth="1"/>
    <col min="20" max="20" width="32.140625" bestFit="1" customWidth="1"/>
    <col min="21" max="21" width="13.42578125" bestFit="1" customWidth="1"/>
  </cols>
  <sheetData>
    <row r="1" spans="1:20" ht="30" x14ac:dyDescent="0.25">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149999999999999" customHeight="1" x14ac:dyDescent="0.25">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149999999999999" customHeight="1" x14ac:dyDescent="0.25">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149999999999999" customHeight="1" x14ac:dyDescent="0.25">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149999999999999" customHeight="1" x14ac:dyDescent="0.25">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149999999999999" customHeight="1" x14ac:dyDescent="0.25">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149999999999999" customHeight="1" x14ac:dyDescent="0.25">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149999999999999" customHeight="1" x14ac:dyDescent="0.25">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149999999999999" customHeight="1" x14ac:dyDescent="0.25">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25">
      <c r="A10" s="10">
        <v>45663</v>
      </c>
      <c r="B10" s="11">
        <v>110971</v>
      </c>
      <c r="C10" s="11" t="s">
        <v>44</v>
      </c>
      <c r="D10" s="393"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25">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899999999999999" customHeight="1" x14ac:dyDescent="0.25">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25">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25">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25">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25">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25">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25">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25">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25">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25">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25">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25">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25">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25">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25">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25">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25">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25">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25">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25">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25">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25">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25">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25">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25">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25">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25">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25">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25">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25">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25">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25">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25">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25">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25">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25">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25">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25">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25">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25">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25">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25">
      <c r="A53" s="10">
        <v>45681</v>
      </c>
      <c r="B53" s="11">
        <v>118061</v>
      </c>
      <c r="C53" s="11" t="s">
        <v>44</v>
      </c>
      <c r="D53" s="393"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25">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25">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25">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25">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25">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25">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25">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25">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25">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25">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25">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25">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25">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25">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25">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25">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25">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25">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25">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25">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25">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25">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25">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25">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25">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25">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25">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25">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25">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25">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25">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25">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25">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25">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25">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25">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25">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25">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25">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25">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25">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25">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25">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25">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25">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25">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25">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25">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25">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25">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25">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25">
      <c r="A105" s="10">
        <v>45715</v>
      </c>
      <c r="B105" s="11">
        <v>119976</v>
      </c>
      <c r="C105" s="11" t="s">
        <v>44</v>
      </c>
      <c r="D105" s="393"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25">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25">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25">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25">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25">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25">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25">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25">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25">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25">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25">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25">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25">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25">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25">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25">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25">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25">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25">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25">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25">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25">
      <c r="A127" s="10">
        <v>45729</v>
      </c>
      <c r="B127" s="11">
        <v>120505</v>
      </c>
      <c r="C127" s="11" t="s">
        <v>44</v>
      </c>
      <c r="D127" s="393"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25">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25">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25">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25">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25">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25">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25">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25">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25">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25">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25">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25">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25">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25">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25">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25">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25">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25">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25">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25">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25">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25">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25">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25">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25">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25">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25">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25">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25">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25">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25">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25">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25">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25">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25">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25">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25">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25">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25">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25">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25">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25">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25">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25">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25">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25">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25">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25">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25">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25">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25">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25">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25">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25">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25">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25">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25">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25">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25">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25">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25">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25">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25">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25">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25">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25">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25">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25">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25">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25">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25">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25">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25">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25">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25">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25">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25">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25">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25">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25">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25">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25">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25">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25">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25">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25">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25">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25">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25">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25">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25">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25">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25">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25">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25">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25">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25">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25">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25">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25">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25">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25">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25">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25">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25">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25">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25">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25">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25">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25">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25">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25">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25">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25">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25">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25">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25">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25">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25">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25">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25">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25">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25">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25">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25">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25">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25">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25">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25">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25">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25">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25">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25">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25">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25">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25">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25">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25">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25">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25">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25">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25">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25">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25">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25">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25">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25">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25">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25">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25">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25">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25">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25">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25">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25">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25">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25">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25">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25">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25">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25">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25">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25">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25">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25">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25">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25">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25">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25">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25">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25">
      <c r="A298" s="10">
        <v>45854</v>
      </c>
      <c r="B298" s="11" t="s">
        <v>663</v>
      </c>
      <c r="C298" s="11" t="s">
        <v>22</v>
      </c>
      <c r="D298" s="393"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25">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25">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25">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25">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25">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25">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25">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25">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25">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25">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25">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25">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25">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25">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25">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25">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25">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25">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25">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25">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25">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25">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25">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25">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25">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25">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25">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25">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25">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25">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25">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25">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25">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25">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25">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25">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25">
      <c r="A335" s="10">
        <v>45870</v>
      </c>
      <c r="B335" s="11" t="s">
        <v>672</v>
      </c>
      <c r="C335" s="11" t="s">
        <v>44</v>
      </c>
      <c r="D335" s="393"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25">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25">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25">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25">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25">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25">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25">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25">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25">
      <c r="A344" s="10">
        <v>45888</v>
      </c>
      <c r="B344" s="11">
        <v>128860</v>
      </c>
      <c r="C344" s="11" t="s">
        <v>22</v>
      </c>
      <c r="D344" s="393"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25">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25">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25">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25">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25">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25">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25">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25">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25">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25">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25">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25">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25">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25">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25">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25">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25">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25">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25">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25">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25">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25">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25">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25">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25">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25">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25">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25">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25">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25">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25">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25">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25">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25">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25">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25">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25">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25">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25">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25">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25">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25">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25">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25">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25">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25">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25">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25">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25">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25">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25">
      <c r="A395" s="10">
        <v>45924</v>
      </c>
      <c r="B395" s="11">
        <v>130902</v>
      </c>
      <c r="C395" s="11" t="s">
        <v>44</v>
      </c>
      <c r="D395" s="393"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25">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25">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25">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25">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25">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25">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25">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25">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25">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25">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25">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25">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25">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25">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25">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25">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25">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25">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25">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25">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25">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25">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25">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25">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25">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25">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25">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25">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25">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25">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25">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25">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25">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25">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25">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25">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25">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25">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25">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25">
      <c r="A435" s="19">
        <v>45946</v>
      </c>
      <c r="B435" s="11">
        <v>116031</v>
      </c>
      <c r="C435" s="11" t="s">
        <v>44</v>
      </c>
      <c r="D435" s="393"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25">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25">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25">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25">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25">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25">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25">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25">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25">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25">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25">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25">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25">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25">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25">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25">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25">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25">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25">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25">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25">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25">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25">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25">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25">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25">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25">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25">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25">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25">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25">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25">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25">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25">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25">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25">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25">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 customHeight="1" x14ac:dyDescent="0.25">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25">
      <c r="A474" s="26"/>
      <c r="B474" s="27"/>
      <c r="C474" s="27"/>
      <c r="D474" s="27"/>
      <c r="E474" s="27"/>
      <c r="F474" s="27"/>
      <c r="G474" s="28"/>
      <c r="H474" s="29"/>
      <c r="I474" s="29"/>
      <c r="J474" s="30"/>
      <c r="K474" s="30"/>
      <c r="L474" s="29"/>
      <c r="M474" s="29"/>
      <c r="N474" s="29"/>
      <c r="O474" s="27"/>
      <c r="P474" s="27"/>
      <c r="Q474" s="27"/>
      <c r="R474" s="27"/>
      <c r="S474" s="27"/>
    </row>
    <row r="475" spans="1:21" x14ac:dyDescent="0.25">
      <c r="I475" s="33"/>
      <c r="O475" s="32"/>
      <c r="P475" s="32"/>
      <c r="Q475" s="32"/>
      <c r="S475" s="34"/>
      <c r="T475" s="33"/>
      <c r="U475" s="35"/>
    </row>
    <row r="477" spans="1:21" x14ac:dyDescent="0.25">
      <c r="N477" s="33"/>
    </row>
  </sheetData>
  <dataValidations disablePrompts="1"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abSelected="1" topLeftCell="A3" workbookViewId="0">
      <selection activeCell="D36" sqref="D36"/>
    </sheetView>
  </sheetViews>
  <sheetFormatPr defaultRowHeight="15" x14ac:dyDescent="0.25"/>
  <cols>
    <col min="1" max="1" width="22.140625" bestFit="1" customWidth="1"/>
    <col min="2" max="3" width="14.42578125" bestFit="1" customWidth="1"/>
    <col min="4" max="4" width="9.42578125" bestFit="1" customWidth="1"/>
    <col min="6" max="6" width="12.140625" bestFit="1" customWidth="1"/>
  </cols>
  <sheetData>
    <row r="1" spans="1:6" x14ac:dyDescent="0.25">
      <c r="A1" s="1" t="s">
        <v>154</v>
      </c>
      <c r="D1" s="32"/>
    </row>
    <row r="3" spans="1:6" ht="15" customHeight="1" thickBot="1" x14ac:dyDescent="0.3">
      <c r="A3" s="78" t="s">
        <v>155</v>
      </c>
      <c r="B3" s="79" t="s">
        <v>156</v>
      </c>
      <c r="C3" s="79" t="s">
        <v>157</v>
      </c>
      <c r="D3" s="79" t="s">
        <v>158</v>
      </c>
    </row>
    <row r="4" spans="1:6" ht="15.6" customHeight="1" thickTop="1" thickBot="1" x14ac:dyDescent="0.3">
      <c r="A4" s="80" t="s">
        <v>159</v>
      </c>
      <c r="B4" s="81">
        <v>90000</v>
      </c>
      <c r="C4" s="82">
        <v>28871.14</v>
      </c>
      <c r="D4" s="83">
        <f>C4/B4</f>
        <v>0.32079044444444443</v>
      </c>
    </row>
    <row r="5" spans="1:6" ht="15.6" customHeight="1" thickTop="1" thickBot="1" x14ac:dyDescent="0.3">
      <c r="A5" s="80" t="s">
        <v>160</v>
      </c>
      <c r="B5" s="81">
        <v>10000</v>
      </c>
      <c r="C5" s="82">
        <v>427.68</v>
      </c>
      <c r="D5" s="83">
        <f>C5/B5</f>
        <v>4.2768E-2</v>
      </c>
      <c r="F5" s="33"/>
    </row>
    <row r="6" spans="1:6" ht="15.6" customHeight="1" thickTop="1" thickBot="1" x14ac:dyDescent="0.3">
      <c r="A6" s="80"/>
      <c r="B6" s="80"/>
      <c r="C6" s="80"/>
      <c r="D6" s="80"/>
    </row>
    <row r="7" spans="1:6" ht="15.6" customHeight="1" thickTop="1" thickBot="1" x14ac:dyDescent="0.3">
      <c r="A7" s="78" t="s">
        <v>161</v>
      </c>
      <c r="B7" s="80"/>
      <c r="C7" s="80"/>
      <c r="D7" s="80"/>
    </row>
    <row r="8" spans="1:6" ht="15.6" customHeight="1" thickTop="1" thickBot="1" x14ac:dyDescent="0.3">
      <c r="A8" s="80" t="s">
        <v>159</v>
      </c>
      <c r="B8" s="81">
        <v>90000</v>
      </c>
      <c r="C8" s="82">
        <v>6128</v>
      </c>
      <c r="D8" s="83">
        <f>C8/B8</f>
        <v>6.8088888888888893E-2</v>
      </c>
    </row>
    <row r="9" spans="1:6" ht="15.6" customHeight="1" thickTop="1" thickBot="1" x14ac:dyDescent="0.3">
      <c r="A9" s="80" t="s">
        <v>160</v>
      </c>
      <c r="B9" s="81">
        <v>10000</v>
      </c>
      <c r="C9" s="82">
        <v>6210</v>
      </c>
      <c r="D9" s="83">
        <f>C9/B9</f>
        <v>0.621</v>
      </c>
      <c r="F9" s="33"/>
    </row>
    <row r="10" spans="1:6" ht="15.6" customHeight="1" thickTop="1" thickBot="1" x14ac:dyDescent="0.3">
      <c r="A10" s="80"/>
      <c r="B10" s="80"/>
      <c r="C10" s="80"/>
      <c r="D10" s="80"/>
    </row>
    <row r="11" spans="1:6" ht="15" customHeight="1" thickTop="1" x14ac:dyDescent="0.25"/>
    <row r="12" spans="1:6" ht="15" customHeight="1" thickBot="1" x14ac:dyDescent="0.3">
      <c r="A12" s="78" t="s">
        <v>162</v>
      </c>
      <c r="B12" s="79" t="s">
        <v>156</v>
      </c>
      <c r="C12" s="79" t="s">
        <v>157</v>
      </c>
      <c r="D12" s="79" t="s">
        <v>158</v>
      </c>
    </row>
    <row r="13" spans="1:6" ht="15.6" customHeight="1" thickTop="1" thickBot="1" x14ac:dyDescent="0.3">
      <c r="A13" s="80" t="s">
        <v>159</v>
      </c>
      <c r="B13" s="81">
        <v>90000</v>
      </c>
      <c r="C13" s="82">
        <v>97080</v>
      </c>
      <c r="D13" s="83">
        <f>C13/B13</f>
        <v>1.0786666666666667</v>
      </c>
    </row>
    <row r="14" spans="1:6" ht="15.6" customHeight="1" thickTop="1" thickBot="1" x14ac:dyDescent="0.3">
      <c r="A14" s="80" t="s">
        <v>160</v>
      </c>
      <c r="B14" s="81">
        <v>10000</v>
      </c>
      <c r="C14" s="82">
        <v>9200</v>
      </c>
      <c r="D14" s="83">
        <f>C14/B14</f>
        <v>0.92</v>
      </c>
      <c r="F14" s="33"/>
    </row>
    <row r="15" spans="1:6" ht="15" customHeight="1" thickTop="1" x14ac:dyDescent="0.25"/>
    <row r="16" spans="1:6" ht="15" customHeight="1" thickBot="1" x14ac:dyDescent="0.3">
      <c r="A16" s="78" t="s">
        <v>142</v>
      </c>
      <c r="B16" s="79" t="s">
        <v>156</v>
      </c>
      <c r="C16" s="79" t="s">
        <v>157</v>
      </c>
      <c r="D16" s="79" t="s">
        <v>158</v>
      </c>
    </row>
    <row r="17" spans="1:6" ht="15.6" customHeight="1" thickTop="1" thickBot="1" x14ac:dyDescent="0.3">
      <c r="A17" s="80" t="s">
        <v>159</v>
      </c>
      <c r="B17" s="81">
        <v>54000</v>
      </c>
      <c r="C17" s="82">
        <v>0</v>
      </c>
      <c r="D17" s="83">
        <f>C17/B17</f>
        <v>0</v>
      </c>
    </row>
    <row r="18" spans="1:6" ht="15.6" customHeight="1" thickTop="1" thickBot="1" x14ac:dyDescent="0.3">
      <c r="A18" s="80" t="s">
        <v>160</v>
      </c>
      <c r="B18" s="81">
        <v>8000</v>
      </c>
      <c r="C18" s="82">
        <v>0</v>
      </c>
      <c r="D18" s="83">
        <f>C18/B18</f>
        <v>0</v>
      </c>
    </row>
    <row r="19" spans="1:6" ht="15" customHeight="1" thickTop="1" x14ac:dyDescent="0.25"/>
    <row r="20" spans="1:6" ht="15" customHeight="1" thickBot="1" x14ac:dyDescent="0.3">
      <c r="A20" s="78" t="s">
        <v>163</v>
      </c>
      <c r="B20" s="79" t="s">
        <v>156</v>
      </c>
      <c r="C20" s="79" t="s">
        <v>157</v>
      </c>
      <c r="D20" s="79" t="s">
        <v>158</v>
      </c>
      <c r="F20" s="33"/>
    </row>
    <row r="21" spans="1:6" ht="15.6" customHeight="1" thickTop="1" thickBot="1" x14ac:dyDescent="0.3">
      <c r="A21" s="80" t="s">
        <v>159</v>
      </c>
      <c r="B21" s="81">
        <v>90000</v>
      </c>
      <c r="C21" s="82">
        <v>0</v>
      </c>
      <c r="D21" s="83">
        <f>C21/B21</f>
        <v>0</v>
      </c>
    </row>
    <row r="22" spans="1:6" ht="15.6" customHeight="1" thickTop="1" thickBot="1" x14ac:dyDescent="0.3">
      <c r="A22" s="80" t="s">
        <v>160</v>
      </c>
      <c r="B22" s="81">
        <v>10000</v>
      </c>
      <c r="C22" s="82">
        <v>0</v>
      </c>
      <c r="D22" s="83">
        <f>C22/B22</f>
        <v>0</v>
      </c>
    </row>
    <row r="23" spans="1:6" ht="15" customHeight="1" thickTop="1" x14ac:dyDescent="0.25"/>
    <row r="24" spans="1:6" ht="15" customHeight="1" thickBot="1" x14ac:dyDescent="0.3">
      <c r="A24" s="84" t="s">
        <v>164</v>
      </c>
      <c r="B24" s="85">
        <f>90000*4</f>
        <v>360000</v>
      </c>
      <c r="C24" s="85">
        <f>C4+C8+C13+C21+C17</f>
        <v>132079.14000000001</v>
      </c>
      <c r="D24" s="86">
        <f>C24/B24</f>
        <v>0.36688650000000006</v>
      </c>
    </row>
    <row r="25" spans="1:6" ht="15.6" customHeight="1" thickTop="1" thickBot="1" x14ac:dyDescent="0.3">
      <c r="A25" s="84" t="s">
        <v>165</v>
      </c>
      <c r="B25" s="87">
        <f>B9+B14+B18+B5</f>
        <v>38000</v>
      </c>
      <c r="C25" s="87">
        <f>C5+C9+C14+C18</f>
        <v>15837.68</v>
      </c>
      <c r="D25" s="88">
        <f>C25/B25</f>
        <v>0.41678105263157894</v>
      </c>
      <c r="F25" s="189"/>
    </row>
    <row r="26" spans="1:6" ht="15" customHeight="1" thickTop="1" x14ac:dyDescent="0.25">
      <c r="D26" s="33"/>
    </row>
    <row r="27" spans="1:6" ht="15" customHeight="1" thickBot="1" x14ac:dyDescent="0.3">
      <c r="A27" s="78" t="s">
        <v>166</v>
      </c>
      <c r="B27" s="79" t="s">
        <v>156</v>
      </c>
      <c r="C27" s="79" t="s">
        <v>157</v>
      </c>
      <c r="D27" s="79" t="s">
        <v>158</v>
      </c>
    </row>
    <row r="28" spans="1:6" ht="15.6" customHeight="1" thickTop="1" thickBot="1" x14ac:dyDescent="0.3">
      <c r="A28" s="80" t="s">
        <v>159</v>
      </c>
      <c r="B28" s="85">
        <f>90000*4</f>
        <v>360000</v>
      </c>
      <c r="C28" s="89">
        <f>C4+C8+C13+C17</f>
        <v>132079.14000000001</v>
      </c>
      <c r="D28" s="86">
        <f>C28/B28</f>
        <v>0.36688650000000006</v>
      </c>
    </row>
    <row r="29" spans="1:6" ht="15.6" customHeight="1" thickTop="1" thickBot="1" x14ac:dyDescent="0.3">
      <c r="A29" s="80" t="s">
        <v>160</v>
      </c>
      <c r="B29" s="85">
        <f>B25</f>
        <v>38000</v>
      </c>
      <c r="C29" s="89">
        <f>C9+C14+C18+C5</f>
        <v>15837.68</v>
      </c>
      <c r="D29" s="86">
        <f>C29/B29</f>
        <v>0.41678105263157894</v>
      </c>
    </row>
    <row r="30" spans="1:6" ht="15" customHeight="1" thickTop="1" x14ac:dyDescent="0.2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opLeftCell="M1" zoomScale="90" zoomScaleNormal="90" workbookViewId="0">
      <pane xSplit="3" ySplit="1" topLeftCell="Q42" activePane="bottomRight" state="frozen"/>
      <selection activeCell="M1" sqref="M1"/>
      <selection pane="topRight" activeCell="P1" sqref="P1"/>
      <selection pane="bottomLeft" activeCell="M2" sqref="M2"/>
      <selection pane="bottomRight" activeCell="Q70" sqref="Q70"/>
    </sheetView>
  </sheetViews>
  <sheetFormatPr defaultRowHeight="15" x14ac:dyDescent="0.25"/>
  <cols>
    <col min="1" max="1" width="19" hidden="1" customWidth="1"/>
    <col min="2" max="2" width="7.28515625" hidden="1" customWidth="1"/>
    <col min="3" max="3" width="10.7109375" hidden="1" customWidth="1"/>
    <col min="4" max="4" width="14.42578125" hidden="1" customWidth="1"/>
    <col min="5" max="5" width="15.42578125" hidden="1" customWidth="1"/>
    <col min="6" max="6" width="7.28515625" hidden="1" customWidth="1"/>
    <col min="7" max="7" width="12.140625" hidden="1" customWidth="1"/>
    <col min="8" max="8" width="14.42578125" hidden="1" customWidth="1"/>
    <col min="9" max="9" width="15.42578125" hidden="1" customWidth="1"/>
    <col min="10" max="10" width="7.28515625" hidden="1" customWidth="1"/>
    <col min="11" max="11" width="10.7109375" hidden="1" customWidth="1"/>
    <col min="12" max="12" width="14.42578125" hidden="1" customWidth="1"/>
    <col min="13" max="14" width="12.85546875" style="32" bestFit="1" customWidth="1"/>
    <col min="15" max="15" width="17.85546875" bestFit="1" customWidth="1"/>
    <col min="16" max="16" width="10" bestFit="1" customWidth="1"/>
    <col min="17" max="17" width="10.85546875" customWidth="1"/>
    <col min="18" max="18" width="10.7109375" customWidth="1"/>
    <col min="19" max="19" width="14.42578125" customWidth="1"/>
    <col min="20" max="20" width="16.42578125" customWidth="1"/>
    <col min="21" max="21" width="18" bestFit="1" customWidth="1"/>
    <col min="22" max="22" width="12.42578125" bestFit="1" customWidth="1"/>
    <col min="23" max="23" width="14.7109375" customWidth="1"/>
    <col min="24" max="24" width="14" customWidth="1"/>
    <col min="25" max="25" width="17.5703125" customWidth="1"/>
    <col min="26" max="26" width="14.7109375" customWidth="1"/>
    <col min="27" max="27" width="14.140625" bestFit="1" customWidth="1"/>
    <col min="28" max="28" width="13.42578125" bestFit="1" customWidth="1"/>
    <col min="29" max="29" width="12.140625" bestFit="1" customWidth="1"/>
  </cols>
  <sheetData>
    <row r="1" spans="1:30" x14ac:dyDescent="0.25">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25">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25">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25">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25">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25">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25">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25">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25">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25">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25">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25">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25">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25">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25">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25">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25">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25">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25">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25">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25">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25">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25">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25">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25">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25">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25">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25">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25">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25">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25">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25">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25">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25">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25">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25">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25">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25">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25">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25">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25">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25">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25">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25">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25">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25">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25">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25">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25">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25">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25">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25">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25">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25">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25">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25">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25">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91">
        <f>metas[[#This Row],[Meta Individual]]/6500</f>
        <v>1.1787938461538461</v>
      </c>
      <c r="AC57" s="35">
        <f>metas[[#This Row],[Meta Equipe]]/35000/4</f>
        <v>0.17163071428571428</v>
      </c>
    </row>
    <row r="58" spans="1:29" x14ac:dyDescent="0.25">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2">
        <v>17</v>
      </c>
      <c r="R58" s="32">
        <v>12</v>
      </c>
      <c r="S58" s="53">
        <v>720</v>
      </c>
      <c r="T58" s="53">
        <v>2880</v>
      </c>
      <c r="U58" s="53">
        <v>112904</v>
      </c>
      <c r="V58" s="376">
        <v>150</v>
      </c>
      <c r="W58">
        <v>15</v>
      </c>
      <c r="X58">
        <v>12</v>
      </c>
      <c r="Y58" s="236">
        <v>9</v>
      </c>
      <c r="Z58" s="236">
        <v>36</v>
      </c>
      <c r="AA58" s="54">
        <v>90000</v>
      </c>
      <c r="AB58" s="391">
        <f>metas[[#This Row],[Meta Individual]]/9000</f>
        <v>0.08</v>
      </c>
      <c r="AC58" s="391">
        <f>metas[[#This Row],[Meta Equipe]]/36000/4</f>
        <v>0.02</v>
      </c>
    </row>
    <row r="59" spans="1:29" x14ac:dyDescent="0.25">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2">
        <v>14</v>
      </c>
      <c r="R59" s="32">
        <v>15</v>
      </c>
      <c r="S59" s="53">
        <v>0</v>
      </c>
      <c r="T59" s="53">
        <f>T58</f>
        <v>2880</v>
      </c>
      <c r="U59" s="53">
        <v>7042.9</v>
      </c>
      <c r="V59" s="376">
        <v>150</v>
      </c>
      <c r="W59">
        <v>15</v>
      </c>
      <c r="X59">
        <v>12</v>
      </c>
      <c r="Y59" s="236">
        <v>10</v>
      </c>
      <c r="Z59" s="236">
        <v>36</v>
      </c>
      <c r="AA59" s="54">
        <v>90000</v>
      </c>
      <c r="AB59" s="391">
        <f>metas[[#This Row],[Meta Individual]]/10000</f>
        <v>0</v>
      </c>
      <c r="AC59" s="391">
        <f>metas[[#This Row],[Meta Equipe]]/36000/4</f>
        <v>0.02</v>
      </c>
    </row>
    <row r="60" spans="1:29" x14ac:dyDescent="0.25">
      <c r="M60" s="238">
        <v>2026</v>
      </c>
      <c r="N60" s="52">
        <v>46204</v>
      </c>
      <c r="O60" s="32" t="s">
        <v>22</v>
      </c>
      <c r="P60" s="32"/>
      <c r="Q60" s="32">
        <v>0</v>
      </c>
      <c r="R60" s="32">
        <v>0</v>
      </c>
      <c r="S60" s="53">
        <v>2160</v>
      </c>
      <c r="T60" s="53">
        <f>T59</f>
        <v>2880</v>
      </c>
      <c r="U60" s="53">
        <v>12680</v>
      </c>
      <c r="V60" s="376">
        <v>150</v>
      </c>
      <c r="W60">
        <v>15</v>
      </c>
      <c r="X60">
        <v>12</v>
      </c>
      <c r="Y60" s="236">
        <v>10</v>
      </c>
      <c r="Z60" s="236">
        <v>36</v>
      </c>
      <c r="AA60" s="54">
        <v>90000</v>
      </c>
      <c r="AB60" s="391">
        <f>metas[[#This Row],[Meta Individual]]/10000</f>
        <v>0.216</v>
      </c>
      <c r="AC60" s="391">
        <f>metas[[#This Row],[Meta Equipe]]/36000/4</f>
        <v>0.02</v>
      </c>
    </row>
    <row r="61" spans="1:29" x14ac:dyDescent="0.25">
      <c r="A61" s="47" t="s">
        <v>197</v>
      </c>
      <c r="B61" s="47"/>
      <c r="C61" s="47"/>
      <c r="D61" s="47"/>
      <c r="E61" s="47"/>
      <c r="F61" s="47"/>
      <c r="G61" s="47"/>
      <c r="H61" s="47"/>
      <c r="I61" s="47"/>
      <c r="J61" s="47"/>
      <c r="K61" s="47"/>
      <c r="L61" s="47"/>
      <c r="M61" s="238">
        <v>2026</v>
      </c>
      <c r="N61" s="52">
        <v>46204</v>
      </c>
      <c r="O61" t="s">
        <v>142</v>
      </c>
      <c r="P61" s="32"/>
      <c r="Q61" s="32">
        <v>7</v>
      </c>
      <c r="R61" s="32">
        <v>11</v>
      </c>
      <c r="S61" s="53">
        <f>'Metas Quadro'!C18</f>
        <v>0</v>
      </c>
      <c r="T61" s="53">
        <f>T60</f>
        <v>2880</v>
      </c>
      <c r="U61" s="53">
        <f>'Metas Quadro'!C17</f>
        <v>0</v>
      </c>
      <c r="V61" s="376">
        <v>150</v>
      </c>
      <c r="W61">
        <v>15</v>
      </c>
      <c r="X61">
        <v>12</v>
      </c>
      <c r="Y61" s="236">
        <v>7</v>
      </c>
      <c r="Z61" s="236">
        <v>36</v>
      </c>
      <c r="AA61" s="54">
        <v>63000</v>
      </c>
      <c r="AB61" s="391">
        <f>metas[[#This Row],[Meta Individual]]/7000</f>
        <v>0</v>
      </c>
      <c r="AC61" s="391">
        <f>metas[[#This Row],[Meta Equipe]]/36000/4</f>
        <v>0.02</v>
      </c>
    </row>
    <row r="62" spans="1:29" x14ac:dyDescent="0.25">
      <c r="A62" s="47" t="s">
        <v>183</v>
      </c>
      <c r="B62" s="47"/>
      <c r="C62" s="47"/>
      <c r="D62" s="47"/>
      <c r="E62" s="47"/>
      <c r="F62" s="47"/>
      <c r="G62" s="47"/>
      <c r="H62" s="47"/>
      <c r="I62" s="47"/>
      <c r="J62" s="47"/>
      <c r="K62" s="47"/>
      <c r="L62" s="47"/>
      <c r="M62" s="238">
        <v>2026</v>
      </c>
      <c r="N62" s="52">
        <v>46235</v>
      </c>
      <c r="O62" s="52" t="s">
        <v>31</v>
      </c>
      <c r="P62" s="32"/>
      <c r="Q62" s="32">
        <v>15</v>
      </c>
      <c r="R62" s="32">
        <v>11</v>
      </c>
      <c r="S62" s="53">
        <v>320</v>
      </c>
      <c r="T62" s="53">
        <v>768</v>
      </c>
      <c r="U62" s="53">
        <v>48508</v>
      </c>
      <c r="V62" s="376">
        <v>150</v>
      </c>
      <c r="W62">
        <v>15</v>
      </c>
      <c r="X62">
        <v>12</v>
      </c>
      <c r="Y62" s="236">
        <v>9.5</v>
      </c>
      <c r="Z62" s="236">
        <v>37</v>
      </c>
      <c r="AA62" s="54">
        <v>90000</v>
      </c>
      <c r="AB62" s="391">
        <f>metas[[#This Row],[Meta Individual]]/9500</f>
        <v>3.3684210526315789E-2</v>
      </c>
      <c r="AC62" s="391">
        <f>metas[[#This Row],[Meta Equipe]]/37000/4</f>
        <v>5.1891891891891889E-3</v>
      </c>
    </row>
    <row r="63" spans="1:29" x14ac:dyDescent="0.25">
      <c r="A63" s="47" t="s">
        <v>185</v>
      </c>
      <c r="B63" s="47"/>
      <c r="C63" s="47"/>
      <c r="D63" s="47"/>
      <c r="E63" s="47" t="s">
        <v>186</v>
      </c>
      <c r="F63" s="47"/>
      <c r="G63" s="47"/>
      <c r="H63" s="47"/>
      <c r="I63" s="47" t="s">
        <v>187</v>
      </c>
      <c r="J63" s="47"/>
      <c r="K63" s="47"/>
      <c r="L63" s="47"/>
      <c r="M63" s="238">
        <v>2026</v>
      </c>
      <c r="N63" s="52">
        <v>46235</v>
      </c>
      <c r="O63" s="32" t="s">
        <v>44</v>
      </c>
      <c r="P63" s="32"/>
      <c r="Q63" s="32">
        <v>16</v>
      </c>
      <c r="R63" s="32">
        <v>15</v>
      </c>
      <c r="S63" s="53">
        <v>448</v>
      </c>
      <c r="T63" s="53">
        <v>768</v>
      </c>
      <c r="U63" s="53">
        <v>86455.76</v>
      </c>
      <c r="V63" s="376">
        <v>150</v>
      </c>
      <c r="W63">
        <v>15</v>
      </c>
      <c r="X63">
        <v>12</v>
      </c>
      <c r="Y63" s="236">
        <v>10</v>
      </c>
      <c r="Z63" s="236">
        <v>37</v>
      </c>
      <c r="AA63" s="54">
        <v>90000</v>
      </c>
      <c r="AB63" s="391">
        <f>metas[[#This Row],[Meta Individual]]/10000</f>
        <v>4.48E-2</v>
      </c>
      <c r="AC63" s="391">
        <f>metas[[#This Row],[Meta Equipe]]/37000/4</f>
        <v>5.1891891891891889E-3</v>
      </c>
    </row>
    <row r="64" spans="1:29" x14ac:dyDescent="0.25">
      <c r="A64" s="47"/>
      <c r="B64" s="47" t="s">
        <v>156</v>
      </c>
      <c r="C64" s="47" t="s">
        <v>188</v>
      </c>
      <c r="D64" s="47" t="s">
        <v>158</v>
      </c>
      <c r="E64" s="47"/>
      <c r="F64" s="47" t="s">
        <v>156</v>
      </c>
      <c r="G64" s="47" t="s">
        <v>188</v>
      </c>
      <c r="H64" s="47" t="s">
        <v>158</v>
      </c>
      <c r="I64" s="47"/>
      <c r="J64" s="47" t="s">
        <v>156</v>
      </c>
      <c r="K64" s="47" t="s">
        <v>188</v>
      </c>
      <c r="L64" s="47" t="s">
        <v>158</v>
      </c>
      <c r="M64" s="238">
        <v>2026</v>
      </c>
      <c r="N64" s="52">
        <v>46235</v>
      </c>
      <c r="O64" s="32" t="s">
        <v>22</v>
      </c>
      <c r="P64" s="32"/>
      <c r="Q64" s="32">
        <v>9</v>
      </c>
      <c r="R64" s="32">
        <v>3</v>
      </c>
      <c r="S64" s="53">
        <v>0</v>
      </c>
      <c r="T64" s="53">
        <v>768</v>
      </c>
      <c r="U64" s="53">
        <v>0</v>
      </c>
      <c r="V64" s="376">
        <v>150</v>
      </c>
      <c r="W64">
        <v>15</v>
      </c>
      <c r="X64">
        <v>12</v>
      </c>
      <c r="Y64" s="236">
        <v>10</v>
      </c>
      <c r="Z64" s="236">
        <v>37</v>
      </c>
      <c r="AA64" s="54">
        <v>90000</v>
      </c>
      <c r="AB64" s="391">
        <f>metas[[#This Row],[Meta Individual]]/metas[[#This Row],[OB Individual]]</f>
        <v>0</v>
      </c>
      <c r="AC64" s="391">
        <f>metas[[#This Row],[Meta Equipe]]/37000/4</f>
        <v>5.1891891891891889E-3</v>
      </c>
    </row>
    <row r="65" spans="1:29" x14ac:dyDescent="0.25">
      <c r="A65" t="s">
        <v>189</v>
      </c>
      <c r="B65">
        <v>15</v>
      </c>
      <c r="C65">
        <v>22</v>
      </c>
      <c r="D65">
        <v>1.466666666666667</v>
      </c>
      <c r="E65" t="s">
        <v>189</v>
      </c>
      <c r="F65">
        <v>15</v>
      </c>
      <c r="G65">
        <v>17</v>
      </c>
      <c r="H65">
        <v>1.1333333333333331</v>
      </c>
      <c r="I65" t="s">
        <v>189</v>
      </c>
      <c r="J65">
        <v>15</v>
      </c>
      <c r="K65">
        <v>2</v>
      </c>
      <c r="L65">
        <v>0.1333333333333333</v>
      </c>
      <c r="M65" s="238">
        <v>2026</v>
      </c>
      <c r="N65" s="52">
        <v>46235</v>
      </c>
      <c r="O65" t="s">
        <v>142</v>
      </c>
      <c r="P65" s="32"/>
      <c r="Q65" s="32">
        <v>7</v>
      </c>
      <c r="R65" s="32">
        <v>7</v>
      </c>
      <c r="S65" s="53">
        <v>0</v>
      </c>
      <c r="T65" s="53">
        <v>768</v>
      </c>
      <c r="U65" s="53">
        <v>0</v>
      </c>
      <c r="V65" s="376">
        <v>150</v>
      </c>
      <c r="W65">
        <v>15</v>
      </c>
      <c r="X65">
        <v>12</v>
      </c>
      <c r="Y65" s="236">
        <v>7.5</v>
      </c>
      <c r="Z65" s="236">
        <v>37</v>
      </c>
      <c r="AA65" s="54">
        <v>67500</v>
      </c>
      <c r="AB65" s="391">
        <f>metas[[#This Row],[Meta Individual]]/metas[[#This Row],[OB Individual]]</f>
        <v>0</v>
      </c>
      <c r="AC65" s="391">
        <f>metas[[#This Row],[Meta Equipe]]/37000/4</f>
        <v>5.1891891891891889E-3</v>
      </c>
    </row>
    <row r="66" spans="1:29" x14ac:dyDescent="0.25">
      <c r="A66" t="s">
        <v>190</v>
      </c>
      <c r="B66">
        <v>12</v>
      </c>
      <c r="C66">
        <v>14</v>
      </c>
      <c r="D66">
        <v>1.166666666666667</v>
      </c>
      <c r="E66" t="s">
        <v>190</v>
      </c>
      <c r="F66">
        <v>12</v>
      </c>
      <c r="G66">
        <v>12</v>
      </c>
      <c r="H66">
        <v>1</v>
      </c>
      <c r="I66" t="s">
        <v>190</v>
      </c>
      <c r="J66">
        <v>12</v>
      </c>
      <c r="K66">
        <v>1</v>
      </c>
      <c r="L66">
        <v>8.3333333333333329E-2</v>
      </c>
      <c r="M66" s="238">
        <v>2026</v>
      </c>
      <c r="N66" s="52">
        <v>46266</v>
      </c>
      <c r="O66" s="52" t="s">
        <v>31</v>
      </c>
      <c r="P66" s="32"/>
      <c r="Q66" s="377">
        <v>6</v>
      </c>
      <c r="R66" s="377">
        <v>4</v>
      </c>
      <c r="S66" s="53">
        <f>'Metas Quadro'!C9</f>
        <v>6210</v>
      </c>
      <c r="T66" s="53">
        <f>'Metas Quadro'!C29</f>
        <v>15837.68</v>
      </c>
      <c r="U66" s="53">
        <f>'Metas Quadro'!C8</f>
        <v>6128</v>
      </c>
      <c r="V66" s="376">
        <v>150</v>
      </c>
      <c r="W66">
        <v>15</v>
      </c>
      <c r="X66">
        <v>12</v>
      </c>
      <c r="Y66" s="236">
        <v>10</v>
      </c>
      <c r="Z66" s="236">
        <v>38</v>
      </c>
      <c r="AA66" s="54">
        <v>90000</v>
      </c>
      <c r="AB66" s="391">
        <f>metas[[#This Row],[Meta Individual]]/10000</f>
        <v>0.621</v>
      </c>
      <c r="AC66" s="391">
        <f>metas[[#This Row],[Meta Equipe]]/38000/4</f>
        <v>0.10419526315789474</v>
      </c>
    </row>
    <row r="67" spans="1:29" x14ac:dyDescent="0.25">
      <c r="A67" t="s">
        <v>173</v>
      </c>
      <c r="B67">
        <v>10000</v>
      </c>
      <c r="C67">
        <v>1733.34</v>
      </c>
      <c r="D67">
        <v>0.17333399999999999</v>
      </c>
      <c r="E67" t="s">
        <v>173</v>
      </c>
      <c r="F67">
        <v>10000</v>
      </c>
      <c r="G67">
        <v>142.56</v>
      </c>
      <c r="H67">
        <v>1.4256E-2</v>
      </c>
      <c r="I67" t="s">
        <v>173</v>
      </c>
      <c r="J67">
        <v>10000</v>
      </c>
      <c r="K67">
        <v>10000</v>
      </c>
      <c r="L67">
        <v>1</v>
      </c>
      <c r="M67" s="238">
        <v>2026</v>
      </c>
      <c r="N67" s="52">
        <v>46266</v>
      </c>
      <c r="O67" s="32" t="s">
        <v>44</v>
      </c>
      <c r="P67" s="32"/>
      <c r="Q67" s="377">
        <v>0</v>
      </c>
      <c r="R67" s="377">
        <v>2</v>
      </c>
      <c r="S67" s="53">
        <f>'Metas Quadro'!C5</f>
        <v>427.68</v>
      </c>
      <c r="T67" s="53">
        <f>T66</f>
        <v>15837.68</v>
      </c>
      <c r="U67" s="53">
        <f>'Metas Quadro'!C4</f>
        <v>28871.14</v>
      </c>
      <c r="V67" s="376">
        <v>150</v>
      </c>
      <c r="W67">
        <v>15</v>
      </c>
      <c r="X67">
        <v>12</v>
      </c>
      <c r="Y67" s="236">
        <v>10</v>
      </c>
      <c r="Z67" s="236">
        <v>38</v>
      </c>
      <c r="AA67" s="54">
        <v>90000</v>
      </c>
      <c r="AB67" s="391">
        <f>metas[[#This Row],[Meta Individual]]/10000</f>
        <v>4.2768E-2</v>
      </c>
      <c r="AC67" s="391">
        <f>metas[[#This Row],[Meta Equipe]]/38000/4</f>
        <v>0.10419526315789474</v>
      </c>
    </row>
    <row r="68" spans="1:29" x14ac:dyDescent="0.25">
      <c r="A68" t="s">
        <v>166</v>
      </c>
      <c r="B68">
        <v>30000</v>
      </c>
      <c r="C68">
        <v>11875.9</v>
      </c>
      <c r="D68">
        <v>0.39586333333333329</v>
      </c>
      <c r="E68" t="s">
        <v>166</v>
      </c>
      <c r="F68">
        <v>30000</v>
      </c>
      <c r="G68">
        <v>11875.9</v>
      </c>
      <c r="H68">
        <v>0.39586333333333329</v>
      </c>
      <c r="I68" t="s">
        <v>166</v>
      </c>
      <c r="J68">
        <v>30000</v>
      </c>
      <c r="K68">
        <v>11875.9</v>
      </c>
      <c r="L68">
        <v>0.39586333333333329</v>
      </c>
      <c r="M68" s="238">
        <v>2026</v>
      </c>
      <c r="N68" s="52">
        <v>46266</v>
      </c>
      <c r="O68" s="32" t="s">
        <v>22</v>
      </c>
      <c r="P68" s="32"/>
      <c r="Q68" s="377">
        <v>1</v>
      </c>
      <c r="R68" s="377">
        <v>0</v>
      </c>
      <c r="S68" s="53">
        <f>'Metas Quadro'!C14</f>
        <v>9200</v>
      </c>
      <c r="T68" s="53">
        <f>T67</f>
        <v>15837.68</v>
      </c>
      <c r="U68" s="53">
        <f>'Metas Quadro'!C13</f>
        <v>97080</v>
      </c>
      <c r="V68" s="376">
        <v>150</v>
      </c>
      <c r="W68">
        <v>15</v>
      </c>
      <c r="X68">
        <v>12</v>
      </c>
      <c r="Y68" s="236">
        <v>10</v>
      </c>
      <c r="Z68" s="236">
        <v>38</v>
      </c>
      <c r="AA68" s="54">
        <v>90000</v>
      </c>
      <c r="AB68" s="391">
        <f>metas[[#This Row],[Meta Individual]]/10000</f>
        <v>0.92</v>
      </c>
      <c r="AC68" s="391">
        <f>metas[[#This Row],[Meta Equipe]]/38000/4</f>
        <v>0.10419526315789474</v>
      </c>
    </row>
    <row r="69" spans="1:29" x14ac:dyDescent="0.25">
      <c r="A69" t="s">
        <v>174</v>
      </c>
      <c r="B69">
        <v>90000</v>
      </c>
      <c r="C69">
        <v>86932.5</v>
      </c>
      <c r="D69">
        <v>0.96591666666666665</v>
      </c>
      <c r="E69" t="s">
        <v>174</v>
      </c>
      <c r="F69">
        <v>90000</v>
      </c>
      <c r="G69">
        <v>6071.21</v>
      </c>
      <c r="H69">
        <v>6.7457888888888887E-2</v>
      </c>
      <c r="I69" t="s">
        <v>174</v>
      </c>
      <c r="J69">
        <v>90000</v>
      </c>
      <c r="K69">
        <v>90575</v>
      </c>
      <c r="L69">
        <v>1.006388888888889</v>
      </c>
      <c r="M69" s="238">
        <v>2026</v>
      </c>
      <c r="N69" s="52">
        <v>46266</v>
      </c>
      <c r="O69" t="s">
        <v>142</v>
      </c>
      <c r="P69" s="32"/>
      <c r="Q69" s="377">
        <v>2</v>
      </c>
      <c r="R69" s="377">
        <v>0</v>
      </c>
      <c r="S69" s="53">
        <f>'Metas Quadro'!C18</f>
        <v>0</v>
      </c>
      <c r="T69" s="53">
        <f>T68</f>
        <v>15837.68</v>
      </c>
      <c r="U69" s="53">
        <f>'Metas Quadro'!C17</f>
        <v>0</v>
      </c>
      <c r="V69" s="376">
        <v>150</v>
      </c>
      <c r="W69">
        <v>15</v>
      </c>
      <c r="X69">
        <v>12</v>
      </c>
      <c r="Y69" s="236">
        <v>8</v>
      </c>
      <c r="Z69" s="236">
        <v>38</v>
      </c>
      <c r="AA69" s="54">
        <v>72000</v>
      </c>
      <c r="AB69" s="391">
        <f>metas[[#This Row],[Meta Individual]]/10000</f>
        <v>0</v>
      </c>
      <c r="AC69" s="391">
        <f>metas[[#This Row],[Meta Equipe]]/38000/4</f>
        <v>0.10419526315789474</v>
      </c>
    </row>
    <row r="71" spans="1:29" x14ac:dyDescent="0.25">
      <c r="A71" s="47" t="s">
        <v>198</v>
      </c>
      <c r="B71" s="47"/>
      <c r="C71" s="47"/>
      <c r="D71" s="47"/>
      <c r="E71" s="47"/>
      <c r="F71" s="47"/>
      <c r="G71" s="47"/>
      <c r="H71" s="47"/>
      <c r="I71" s="47"/>
      <c r="J71" s="47"/>
      <c r="K71" s="47"/>
      <c r="L71" s="47"/>
    </row>
    <row r="72" spans="1:29" x14ac:dyDescent="0.25">
      <c r="A72" s="47" t="s">
        <v>183</v>
      </c>
      <c r="B72" s="47"/>
      <c r="C72" s="47"/>
      <c r="D72" s="47"/>
      <c r="E72" s="47"/>
      <c r="F72" s="47"/>
      <c r="G72" s="47"/>
      <c r="H72" s="47"/>
      <c r="I72" s="47"/>
      <c r="J72" s="47"/>
      <c r="K72" s="47"/>
      <c r="L72" s="47"/>
    </row>
    <row r="73" spans="1:29" x14ac:dyDescent="0.25">
      <c r="A73" s="47" t="s">
        <v>185</v>
      </c>
      <c r="B73" s="47"/>
      <c r="C73" s="47"/>
      <c r="D73" s="47"/>
      <c r="E73" s="47" t="s">
        <v>186</v>
      </c>
      <c r="F73" s="47"/>
      <c r="G73" s="47"/>
      <c r="H73" s="47"/>
      <c r="I73" s="47" t="s">
        <v>187</v>
      </c>
      <c r="J73" s="47"/>
      <c r="K73" s="47"/>
      <c r="L73" s="47"/>
    </row>
    <row r="74" spans="1:29" x14ac:dyDescent="0.25">
      <c r="A74" s="47"/>
      <c r="B74" s="47" t="s">
        <v>156</v>
      </c>
      <c r="C74" s="47" t="s">
        <v>188</v>
      </c>
      <c r="D74" s="47" t="s">
        <v>158</v>
      </c>
      <c r="E74" s="47"/>
      <c r="F74" s="47" t="s">
        <v>156</v>
      </c>
      <c r="G74" s="47" t="s">
        <v>188</v>
      </c>
      <c r="H74" s="47" t="s">
        <v>158</v>
      </c>
      <c r="I74" s="47"/>
      <c r="J74" s="47" t="s">
        <v>156</v>
      </c>
      <c r="K74" s="47" t="s">
        <v>188</v>
      </c>
      <c r="L74" s="47" t="s">
        <v>158</v>
      </c>
    </row>
    <row r="75" spans="1:29" x14ac:dyDescent="0.25">
      <c r="A75" t="s">
        <v>189</v>
      </c>
      <c r="B75">
        <v>15</v>
      </c>
      <c r="C75">
        <v>25</v>
      </c>
      <c r="D75">
        <v>1.666666666666667</v>
      </c>
      <c r="E75" t="s">
        <v>189</v>
      </c>
      <c r="F75">
        <v>15</v>
      </c>
      <c r="G75">
        <v>16</v>
      </c>
      <c r="H75">
        <v>1.0666666666666671</v>
      </c>
      <c r="I75" t="s">
        <v>189</v>
      </c>
      <c r="J75">
        <v>15</v>
      </c>
      <c r="K75">
        <v>8</v>
      </c>
      <c r="L75">
        <v>0.53333333333333333</v>
      </c>
    </row>
    <row r="76" spans="1:29" x14ac:dyDescent="0.25">
      <c r="A76" t="s">
        <v>190</v>
      </c>
      <c r="B76">
        <v>12</v>
      </c>
      <c r="C76">
        <v>17</v>
      </c>
      <c r="D76">
        <v>1.416666666666667</v>
      </c>
      <c r="E76" t="s">
        <v>190</v>
      </c>
      <c r="F76">
        <v>12</v>
      </c>
      <c r="G76">
        <v>13</v>
      </c>
      <c r="H76">
        <v>1.083333333333333</v>
      </c>
      <c r="I76" t="s">
        <v>190</v>
      </c>
      <c r="J76">
        <v>12</v>
      </c>
      <c r="K76">
        <v>8</v>
      </c>
      <c r="L76">
        <v>0.66666666666666663</v>
      </c>
    </row>
    <row r="77" spans="1:29" x14ac:dyDescent="0.25">
      <c r="A77" t="s">
        <v>173</v>
      </c>
      <c r="B77">
        <v>10000</v>
      </c>
      <c r="C77">
        <v>1667.4</v>
      </c>
      <c r="D77">
        <v>0.16674</v>
      </c>
      <c r="E77" t="s">
        <v>173</v>
      </c>
      <c r="F77">
        <v>10000</v>
      </c>
      <c r="G77">
        <v>5551.4</v>
      </c>
      <c r="H77">
        <v>0.55513999999999997</v>
      </c>
      <c r="I77" t="s">
        <v>173</v>
      </c>
      <c r="J77">
        <v>10000</v>
      </c>
      <c r="K77">
        <v>7361.47</v>
      </c>
      <c r="L77">
        <v>0.736147</v>
      </c>
    </row>
    <row r="78" spans="1:29" x14ac:dyDescent="0.25">
      <c r="A78" t="s">
        <v>166</v>
      </c>
      <c r="B78">
        <v>30000</v>
      </c>
      <c r="C78">
        <v>14580.27</v>
      </c>
      <c r="D78">
        <v>0.48600900000000002</v>
      </c>
      <c r="E78" t="s">
        <v>166</v>
      </c>
      <c r="F78">
        <v>30000</v>
      </c>
      <c r="G78">
        <v>14580.27</v>
      </c>
      <c r="H78">
        <v>0.48600900000000002</v>
      </c>
      <c r="I78" t="s">
        <v>166</v>
      </c>
      <c r="J78">
        <v>30000</v>
      </c>
      <c r="K78">
        <v>14580.27</v>
      </c>
      <c r="L78">
        <v>0.48600900000000002</v>
      </c>
    </row>
    <row r="79" spans="1:29" x14ac:dyDescent="0.25">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25">
      <c r="A81" s="47" t="s">
        <v>199</v>
      </c>
      <c r="B81" s="47"/>
      <c r="C81" s="47"/>
      <c r="D81" s="47"/>
      <c r="E81" s="47"/>
      <c r="F81" s="47"/>
      <c r="G81" s="47"/>
      <c r="H81" s="47"/>
      <c r="I81" s="47"/>
      <c r="J81" s="47"/>
      <c r="K81" s="47"/>
      <c r="L81" s="47"/>
    </row>
    <row r="82" spans="1:12" x14ac:dyDescent="0.25">
      <c r="A82" s="47" t="s">
        <v>183</v>
      </c>
      <c r="B82" s="47"/>
      <c r="C82" s="47"/>
      <c r="D82" s="47"/>
      <c r="E82" s="47"/>
      <c r="F82" s="47"/>
      <c r="G82" s="47"/>
      <c r="H82" s="47"/>
      <c r="I82" s="47"/>
      <c r="J82" s="47"/>
      <c r="K82" s="47"/>
      <c r="L82" s="47"/>
    </row>
    <row r="83" spans="1:12" x14ac:dyDescent="0.25">
      <c r="A83" s="47" t="s">
        <v>185</v>
      </c>
      <c r="B83" s="47"/>
      <c r="C83" s="47"/>
      <c r="D83" s="47"/>
      <c r="E83" s="47" t="s">
        <v>186</v>
      </c>
      <c r="F83" s="47"/>
      <c r="G83" s="47"/>
      <c r="H83" s="47"/>
      <c r="I83" s="47" t="s">
        <v>187</v>
      </c>
      <c r="J83" s="47"/>
      <c r="K83" s="47"/>
      <c r="L83" s="47"/>
    </row>
    <row r="84" spans="1:12" x14ac:dyDescent="0.25">
      <c r="A84" s="47"/>
      <c r="B84" s="47" t="s">
        <v>156</v>
      </c>
      <c r="C84" s="47" t="s">
        <v>188</v>
      </c>
      <c r="D84" s="47" t="s">
        <v>158</v>
      </c>
      <c r="E84" s="47"/>
      <c r="F84" s="47" t="s">
        <v>156</v>
      </c>
      <c r="G84" s="47" t="s">
        <v>188</v>
      </c>
      <c r="H84" s="47" t="s">
        <v>158</v>
      </c>
      <c r="I84" s="47"/>
      <c r="J84" s="47" t="s">
        <v>156</v>
      </c>
      <c r="K84" s="47" t="s">
        <v>188</v>
      </c>
      <c r="L84" s="47" t="s">
        <v>158</v>
      </c>
    </row>
    <row r="85" spans="1:12" x14ac:dyDescent="0.25">
      <c r="A85" t="s">
        <v>189</v>
      </c>
      <c r="B85">
        <v>15</v>
      </c>
      <c r="C85">
        <v>25</v>
      </c>
      <c r="D85">
        <v>1.666666666666667</v>
      </c>
      <c r="E85" t="s">
        <v>189</v>
      </c>
      <c r="F85">
        <v>15</v>
      </c>
      <c r="G85">
        <v>16</v>
      </c>
      <c r="H85">
        <v>1.0666666666666671</v>
      </c>
      <c r="I85" t="s">
        <v>189</v>
      </c>
      <c r="J85">
        <v>15</v>
      </c>
      <c r="K85">
        <v>11</v>
      </c>
      <c r="L85">
        <v>0.73333333333333328</v>
      </c>
    </row>
    <row r="86" spans="1:12" x14ac:dyDescent="0.25">
      <c r="A86" t="s">
        <v>190</v>
      </c>
      <c r="B86">
        <v>12</v>
      </c>
      <c r="C86">
        <v>16</v>
      </c>
      <c r="D86">
        <v>1.333333333333333</v>
      </c>
      <c r="E86" t="s">
        <v>190</v>
      </c>
      <c r="F86">
        <v>12</v>
      </c>
      <c r="G86">
        <v>18</v>
      </c>
      <c r="H86">
        <v>1.5</v>
      </c>
      <c r="I86" t="s">
        <v>190</v>
      </c>
      <c r="J86">
        <v>12</v>
      </c>
      <c r="K86">
        <v>11</v>
      </c>
      <c r="L86">
        <v>0.91666666666666663</v>
      </c>
    </row>
    <row r="87" spans="1:12" x14ac:dyDescent="0.25">
      <c r="A87" t="s">
        <v>173</v>
      </c>
      <c r="B87">
        <v>10000</v>
      </c>
      <c r="C87">
        <v>3619.87</v>
      </c>
      <c r="D87">
        <v>0.361987</v>
      </c>
      <c r="E87" t="s">
        <v>173</v>
      </c>
      <c r="F87">
        <v>10000</v>
      </c>
      <c r="G87">
        <v>6448.22</v>
      </c>
      <c r="H87">
        <v>0.64482200000000001</v>
      </c>
      <c r="I87" t="s">
        <v>173</v>
      </c>
      <c r="J87">
        <v>10000</v>
      </c>
      <c r="K87">
        <v>2857.1</v>
      </c>
      <c r="L87">
        <v>0.28571000000000002</v>
      </c>
    </row>
    <row r="88" spans="1:12" x14ac:dyDescent="0.25">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25">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25">
      <c r="A91" s="55" t="s">
        <v>200</v>
      </c>
      <c r="B91" s="55"/>
      <c r="C91" s="55"/>
      <c r="D91" s="55"/>
      <c r="E91" s="55"/>
      <c r="F91" s="55"/>
      <c r="G91" s="55"/>
      <c r="H91" s="55"/>
      <c r="I91" s="55"/>
      <c r="J91" s="55"/>
      <c r="K91" s="55"/>
      <c r="L91" s="55"/>
    </row>
    <row r="92" spans="1:12" x14ac:dyDescent="0.25">
      <c r="A92" s="55" t="s">
        <v>183</v>
      </c>
      <c r="B92" s="55"/>
      <c r="C92" s="55"/>
      <c r="D92" s="55"/>
      <c r="E92" s="55"/>
      <c r="F92" s="55"/>
      <c r="G92" s="55"/>
      <c r="H92" s="55"/>
      <c r="I92" s="55"/>
      <c r="J92" s="55"/>
      <c r="K92" s="55"/>
      <c r="L92" s="55"/>
    </row>
    <row r="93" spans="1:12" x14ac:dyDescent="0.25">
      <c r="A93" s="55" t="s">
        <v>185</v>
      </c>
      <c r="B93" s="55"/>
      <c r="C93" s="55"/>
      <c r="D93" s="55"/>
      <c r="E93" s="55" t="s">
        <v>186</v>
      </c>
      <c r="F93" s="55"/>
      <c r="G93" s="55"/>
      <c r="H93" s="55"/>
      <c r="I93" s="55" t="s">
        <v>187</v>
      </c>
      <c r="J93" s="55"/>
      <c r="K93" s="55"/>
      <c r="L93" s="55"/>
    </row>
    <row r="94" spans="1:12" x14ac:dyDescent="0.25">
      <c r="A94" s="55"/>
      <c r="B94" s="55" t="s">
        <v>156</v>
      </c>
      <c r="C94" s="55" t="s">
        <v>188</v>
      </c>
      <c r="D94" s="55" t="s">
        <v>158</v>
      </c>
      <c r="E94" s="55"/>
      <c r="F94" s="55" t="s">
        <v>156</v>
      </c>
      <c r="G94" s="55" t="s">
        <v>188</v>
      </c>
      <c r="H94" s="55" t="s">
        <v>158</v>
      </c>
      <c r="I94" s="55"/>
      <c r="J94" s="55" t="s">
        <v>156</v>
      </c>
      <c r="K94" s="55" t="s">
        <v>188</v>
      </c>
      <c r="L94" s="55" t="s">
        <v>158</v>
      </c>
    </row>
    <row r="95" spans="1:12" x14ac:dyDescent="0.25">
      <c r="A95" t="s">
        <v>189</v>
      </c>
      <c r="B95">
        <v>15</v>
      </c>
      <c r="C95">
        <v>15</v>
      </c>
      <c r="D95">
        <v>1</v>
      </c>
      <c r="E95" t="s">
        <v>189</v>
      </c>
      <c r="F95">
        <v>15</v>
      </c>
      <c r="G95">
        <v>15</v>
      </c>
      <c r="H95">
        <v>1</v>
      </c>
      <c r="I95" t="s">
        <v>189</v>
      </c>
      <c r="J95">
        <v>15</v>
      </c>
      <c r="K95">
        <v>15</v>
      </c>
      <c r="L95">
        <v>1</v>
      </c>
    </row>
    <row r="96" spans="1:12" x14ac:dyDescent="0.25">
      <c r="A96" t="s">
        <v>190</v>
      </c>
      <c r="B96">
        <v>12</v>
      </c>
      <c r="C96">
        <v>12</v>
      </c>
      <c r="D96">
        <v>1</v>
      </c>
      <c r="E96" t="s">
        <v>190</v>
      </c>
      <c r="F96">
        <v>12</v>
      </c>
      <c r="G96">
        <v>12</v>
      </c>
      <c r="H96">
        <v>1</v>
      </c>
      <c r="I96" t="s">
        <v>190</v>
      </c>
      <c r="J96">
        <v>12</v>
      </c>
      <c r="K96">
        <v>12</v>
      </c>
      <c r="L96">
        <v>1</v>
      </c>
    </row>
    <row r="97" spans="1:12" x14ac:dyDescent="0.25">
      <c r="A97" t="s">
        <v>173</v>
      </c>
      <c r="B97">
        <v>6000</v>
      </c>
      <c r="C97">
        <v>1927.89</v>
      </c>
      <c r="D97">
        <v>0.32131500000000002</v>
      </c>
      <c r="E97" t="s">
        <v>173</v>
      </c>
      <c r="F97">
        <v>10000</v>
      </c>
      <c r="G97">
        <v>0</v>
      </c>
      <c r="H97">
        <v>0</v>
      </c>
      <c r="I97" t="s">
        <v>173</v>
      </c>
      <c r="J97">
        <v>10000</v>
      </c>
      <c r="K97">
        <v>0</v>
      </c>
      <c r="L97">
        <v>0</v>
      </c>
    </row>
    <row r="98" spans="1:12" x14ac:dyDescent="0.25">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25">
      <c r="A99" t="s">
        <v>174</v>
      </c>
      <c r="B99">
        <v>90000</v>
      </c>
      <c r="C99">
        <v>117851.89</v>
      </c>
      <c r="D99">
        <v>1.309465444444444</v>
      </c>
      <c r="E99" t="s">
        <v>174</v>
      </c>
      <c r="F99">
        <v>90000</v>
      </c>
      <c r="G99">
        <v>39131.15</v>
      </c>
      <c r="H99">
        <v>0.43479055555555562</v>
      </c>
      <c r="I99" t="s">
        <v>174</v>
      </c>
      <c r="J99">
        <v>90000</v>
      </c>
      <c r="K99">
        <v>0</v>
      </c>
      <c r="L99">
        <v>0</v>
      </c>
    </row>
    <row r="101" spans="1:12" x14ac:dyDescent="0.25">
      <c r="A101" s="55" t="s">
        <v>201</v>
      </c>
      <c r="B101" s="55"/>
      <c r="C101" s="55"/>
      <c r="D101" s="55"/>
      <c r="E101" s="55"/>
      <c r="F101" s="55"/>
      <c r="G101" s="55"/>
      <c r="H101" s="55"/>
      <c r="I101" s="55"/>
      <c r="J101" s="55"/>
      <c r="K101" s="55"/>
      <c r="L101" s="55"/>
    </row>
    <row r="102" spans="1:12" x14ac:dyDescent="0.25">
      <c r="A102" s="55" t="s">
        <v>183</v>
      </c>
      <c r="B102" s="55"/>
      <c r="C102" s="55"/>
      <c r="D102" s="55"/>
      <c r="E102" s="55"/>
      <c r="F102" s="55"/>
      <c r="G102" s="55"/>
      <c r="H102" s="55"/>
      <c r="I102" s="55"/>
      <c r="J102" s="55"/>
      <c r="K102" s="55"/>
      <c r="L102" s="55"/>
    </row>
    <row r="103" spans="1:12" x14ac:dyDescent="0.25">
      <c r="A103" s="55" t="s">
        <v>185</v>
      </c>
      <c r="B103" s="55"/>
      <c r="C103" s="55"/>
      <c r="D103" s="55"/>
      <c r="E103" s="55" t="s">
        <v>186</v>
      </c>
      <c r="F103" s="55"/>
      <c r="G103" s="55"/>
      <c r="H103" s="55"/>
      <c r="I103" s="55" t="s">
        <v>187</v>
      </c>
      <c r="J103" s="55"/>
      <c r="K103" s="55"/>
      <c r="L103" s="55"/>
    </row>
    <row r="104" spans="1:12" x14ac:dyDescent="0.25">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25">
      <c r="A105" t="s">
        <v>189</v>
      </c>
      <c r="B105">
        <v>15</v>
      </c>
      <c r="C105">
        <v>20</v>
      </c>
      <c r="D105">
        <v>1.333333333333333</v>
      </c>
      <c r="E105" t="s">
        <v>189</v>
      </c>
      <c r="F105">
        <v>15</v>
      </c>
      <c r="G105">
        <v>15</v>
      </c>
      <c r="H105">
        <v>1</v>
      </c>
      <c r="I105" t="s">
        <v>189</v>
      </c>
      <c r="J105">
        <v>15</v>
      </c>
      <c r="K105">
        <v>12</v>
      </c>
      <c r="L105">
        <v>0.8</v>
      </c>
    </row>
    <row r="106" spans="1:12" x14ac:dyDescent="0.25">
      <c r="A106" t="s">
        <v>190</v>
      </c>
      <c r="B106">
        <v>12</v>
      </c>
      <c r="C106">
        <v>18</v>
      </c>
      <c r="D106">
        <v>1.5</v>
      </c>
      <c r="E106" t="s">
        <v>190</v>
      </c>
      <c r="F106">
        <v>12</v>
      </c>
      <c r="G106">
        <v>13</v>
      </c>
      <c r="H106">
        <v>1.083333333333333</v>
      </c>
      <c r="I106" t="s">
        <v>190</v>
      </c>
      <c r="J106">
        <v>12</v>
      </c>
      <c r="K106">
        <v>12</v>
      </c>
      <c r="L106">
        <v>1</v>
      </c>
    </row>
    <row r="107" spans="1:12" x14ac:dyDescent="0.25">
      <c r="A107" t="s">
        <v>173</v>
      </c>
      <c r="B107">
        <v>6000</v>
      </c>
      <c r="C107">
        <v>285.12</v>
      </c>
      <c r="D107">
        <v>4.752E-2</v>
      </c>
      <c r="E107" t="s">
        <v>173</v>
      </c>
      <c r="F107">
        <v>10000</v>
      </c>
      <c r="G107">
        <v>356.4</v>
      </c>
      <c r="H107">
        <v>3.5639999999999998E-2</v>
      </c>
      <c r="I107" t="s">
        <v>173</v>
      </c>
      <c r="J107">
        <v>10000</v>
      </c>
      <c r="K107">
        <v>0</v>
      </c>
      <c r="L107">
        <v>0</v>
      </c>
    </row>
    <row r="108" spans="1:12" x14ac:dyDescent="0.25">
      <c r="A108" t="s">
        <v>166</v>
      </c>
      <c r="B108">
        <v>30000</v>
      </c>
      <c r="C108">
        <v>641.52</v>
      </c>
      <c r="D108">
        <v>2.1384E-2</v>
      </c>
      <c r="E108" t="s">
        <v>166</v>
      </c>
      <c r="F108">
        <v>30000</v>
      </c>
      <c r="G108">
        <v>641.52</v>
      </c>
      <c r="H108">
        <v>2.1384E-2</v>
      </c>
      <c r="I108" t="s">
        <v>166</v>
      </c>
      <c r="J108">
        <v>30000</v>
      </c>
      <c r="K108">
        <v>641.52</v>
      </c>
      <c r="L108">
        <v>2.1384E-2</v>
      </c>
    </row>
    <row r="109" spans="1:12" x14ac:dyDescent="0.25">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ignoredErrors>
    <ignoredError sqref="AB2:AB62 AB64:AB65 AB63 AB66:AB69" calculatedColumn="1"/>
  </ignoredErrors>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1" zoomScale="85" zoomScaleNormal="85" workbookViewId="0">
      <selection activeCell="Q31" sqref="Q23:Q31"/>
    </sheetView>
  </sheetViews>
  <sheetFormatPr defaultRowHeight="15" x14ac:dyDescent="0.25"/>
  <cols>
    <col min="4" max="4" width="17.85546875" bestFit="1" customWidth="1"/>
    <col min="5" max="5" width="18" bestFit="1" customWidth="1"/>
    <col min="6" max="6" width="8.28515625" bestFit="1" customWidth="1"/>
    <col min="8" max="8" width="17.42578125" bestFit="1" customWidth="1"/>
    <col min="9" max="9" width="14.7109375" bestFit="1" customWidth="1"/>
    <col min="10" max="10" width="8.140625" bestFit="1" customWidth="1"/>
    <col min="14" max="14" width="56.140625" bestFit="1" customWidth="1"/>
    <col min="15" max="15" width="20.140625" bestFit="1" customWidth="1"/>
    <col min="17" max="17" width="30.5703125" bestFit="1" customWidth="1"/>
    <col min="18" max="18" width="14.7109375" bestFit="1" customWidth="1"/>
    <col min="20" max="20" width="25.85546875" bestFit="1" customWidth="1"/>
    <col min="21" max="21" width="14.7109375" bestFit="1" customWidth="1"/>
    <col min="23" max="23" width="17.7109375" bestFit="1" customWidth="1"/>
    <col min="24" max="24" width="21.42578125" bestFit="1" customWidth="1"/>
    <col min="27" max="27" width="25.28515625" bestFit="1" customWidth="1"/>
    <col min="28" max="28" width="20.140625" bestFit="1" customWidth="1"/>
    <col min="30" max="30" width="17.42578125" bestFit="1" customWidth="1"/>
    <col min="31" max="31" width="14.7109375" bestFit="1" customWidth="1"/>
  </cols>
  <sheetData>
    <row r="2" spans="1:1" x14ac:dyDescent="0.25">
      <c r="A2" s="1" t="s">
        <v>202</v>
      </c>
    </row>
    <row r="18" spans="4:31" x14ac:dyDescent="0.25">
      <c r="D18" s="394" t="s">
        <v>203</v>
      </c>
      <c r="E18" s="395"/>
      <c r="F18" s="395"/>
      <c r="H18" s="394" t="s">
        <v>204</v>
      </c>
      <c r="I18" s="395"/>
      <c r="J18" s="395"/>
      <c r="N18" s="394" t="s">
        <v>205</v>
      </c>
      <c r="O18" s="395"/>
      <c r="Q18" s="394" t="s">
        <v>206</v>
      </c>
      <c r="R18" s="395"/>
      <c r="T18" s="394" t="s">
        <v>207</v>
      </c>
      <c r="U18" s="395"/>
      <c r="W18" s="394" t="s">
        <v>208</v>
      </c>
      <c r="X18" s="395"/>
      <c r="AA18" s="394" t="s">
        <v>209</v>
      </c>
      <c r="AB18" s="395"/>
      <c r="AD18" s="394" t="s">
        <v>210</v>
      </c>
      <c r="AE18" s="395"/>
    </row>
    <row r="19" spans="4:31" x14ac:dyDescent="0.25">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25">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25">
      <c r="D21" s="44"/>
      <c r="E21" s="44"/>
      <c r="F21" s="44"/>
    </row>
    <row r="22" spans="4:31" x14ac:dyDescent="0.25">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25">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25">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25">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25">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25">
      <c r="D27" s="235" t="s">
        <v>237</v>
      </c>
      <c r="E27" s="240">
        <v>0.14790624999999999</v>
      </c>
      <c r="F27" s="237">
        <v>8</v>
      </c>
      <c r="H27" s="235" t="s">
        <v>237</v>
      </c>
      <c r="I27" s="240">
        <v>0.27155794117647059</v>
      </c>
      <c r="J27" s="242">
        <v>136</v>
      </c>
      <c r="Q27" s="37" t="s">
        <v>238</v>
      </c>
      <c r="R27">
        <v>1</v>
      </c>
      <c r="AA27" s="37" t="s">
        <v>239</v>
      </c>
      <c r="AB27">
        <v>1</v>
      </c>
    </row>
    <row r="28" spans="4:31" x14ac:dyDescent="0.25">
      <c r="D28" s="235" t="s">
        <v>223</v>
      </c>
      <c r="E28" s="241">
        <v>2.2456901108058611</v>
      </c>
      <c r="F28" s="237">
        <v>35</v>
      </c>
      <c r="H28" s="235" t="s">
        <v>223</v>
      </c>
      <c r="I28" s="240">
        <v>5.0699762883736481</v>
      </c>
      <c r="J28" s="242">
        <v>457</v>
      </c>
      <c r="Q28" s="37" t="s">
        <v>240</v>
      </c>
      <c r="R28">
        <v>1</v>
      </c>
      <c r="AA28" s="37" t="s">
        <v>241</v>
      </c>
      <c r="AB28">
        <v>1</v>
      </c>
    </row>
    <row r="29" spans="4:31" x14ac:dyDescent="0.25">
      <c r="Q29" s="37" t="s">
        <v>242</v>
      </c>
      <c r="R29">
        <v>1</v>
      </c>
      <c r="AA29" s="37" t="s">
        <v>223</v>
      </c>
      <c r="AB29">
        <v>6</v>
      </c>
    </row>
    <row r="30" spans="4:31" x14ac:dyDescent="0.25">
      <c r="Q30" s="37" t="s">
        <v>243</v>
      </c>
      <c r="R30">
        <v>1</v>
      </c>
    </row>
    <row r="31" spans="4:31" x14ac:dyDescent="0.25">
      <c r="Q31" s="37" t="s">
        <v>244</v>
      </c>
      <c r="R31">
        <v>1</v>
      </c>
    </row>
    <row r="32" spans="4:31" x14ac:dyDescent="0.25">
      <c r="Q32" s="37" t="s">
        <v>223</v>
      </c>
      <c r="R32">
        <v>9</v>
      </c>
    </row>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hidden="1" x14ac:dyDescent="0.25"/>
    <row r="978" hidden="1" x14ac:dyDescent="0.25"/>
    <row r="979" hidden="1" x14ac:dyDescent="0.25"/>
    <row r="980" hidden="1" x14ac:dyDescent="0.25"/>
    <row r="981" hidden="1" x14ac:dyDescent="0.25"/>
    <row r="982" hidden="1" x14ac:dyDescent="0.25"/>
    <row r="983" hidden="1" x14ac:dyDescent="0.25"/>
    <row r="984" hidden="1" x14ac:dyDescent="0.25"/>
    <row r="985" hidden="1" x14ac:dyDescent="0.25"/>
    <row r="986" hidden="1" x14ac:dyDescent="0.25"/>
    <row r="987" hidden="1" x14ac:dyDescent="0.25"/>
    <row r="988" hidden="1" x14ac:dyDescent="0.25"/>
    <row r="989" hidden="1" x14ac:dyDescent="0.25"/>
    <row r="990" hidden="1" x14ac:dyDescent="0.25"/>
    <row r="991" hidden="1" x14ac:dyDescent="0.25"/>
    <row r="992" hidden="1" x14ac:dyDescent="0.25"/>
    <row r="993" hidden="1" x14ac:dyDescent="0.25"/>
    <row r="994" hidden="1" x14ac:dyDescent="0.25"/>
    <row r="995" hidden="1" x14ac:dyDescent="0.25"/>
    <row r="996" hidden="1" x14ac:dyDescent="0.25"/>
    <row r="997" hidden="1" x14ac:dyDescent="0.25"/>
    <row r="998" hidden="1" x14ac:dyDescent="0.25"/>
    <row r="999" hidden="1" x14ac:dyDescent="0.25"/>
    <row r="1000" hidden="1" x14ac:dyDescent="0.25"/>
    <row r="1001" hidden="1" x14ac:dyDescent="0.25"/>
    <row r="1002" hidden="1" x14ac:dyDescent="0.25"/>
    <row r="1003" hidden="1" x14ac:dyDescent="0.25"/>
    <row r="1004" hidden="1" x14ac:dyDescent="0.25"/>
    <row r="1005" hidden="1" x14ac:dyDescent="0.25"/>
    <row r="1006" hidden="1" x14ac:dyDescent="0.25"/>
    <row r="1007" hidden="1" x14ac:dyDescent="0.25"/>
    <row r="1008" hidden="1" x14ac:dyDescent="0.25"/>
    <row r="1009" hidden="1" x14ac:dyDescent="0.25"/>
    <row r="1010" hidden="1" x14ac:dyDescent="0.25"/>
    <row r="1011" hidden="1" x14ac:dyDescent="0.25"/>
    <row r="1012" hidden="1" x14ac:dyDescent="0.25"/>
    <row r="1013" hidden="1" x14ac:dyDescent="0.25"/>
    <row r="1014" hidden="1" x14ac:dyDescent="0.25"/>
    <row r="1015" hidden="1" x14ac:dyDescent="0.25"/>
    <row r="1016" hidden="1" x14ac:dyDescent="0.25"/>
    <row r="1017" hidden="1" x14ac:dyDescent="0.25"/>
    <row r="1018" hidden="1" x14ac:dyDescent="0.25"/>
    <row r="1019" hidden="1" x14ac:dyDescent="0.25"/>
    <row r="1020" hidden="1" x14ac:dyDescent="0.25"/>
    <row r="1021" hidden="1" x14ac:dyDescent="0.25"/>
    <row r="1022" hidden="1" x14ac:dyDescent="0.25"/>
    <row r="1023" hidden="1" x14ac:dyDescent="0.25"/>
    <row r="1024" hidden="1" x14ac:dyDescent="0.25"/>
    <row r="1025" hidden="1" x14ac:dyDescent="0.25"/>
    <row r="1026" hidden="1" x14ac:dyDescent="0.25"/>
    <row r="1027" hidden="1" x14ac:dyDescent="0.25"/>
    <row r="1028" hidden="1" x14ac:dyDescent="0.25"/>
    <row r="1029" hidden="1" x14ac:dyDescent="0.25"/>
    <row r="1030" hidden="1" x14ac:dyDescent="0.25"/>
    <row r="1031" hidden="1" x14ac:dyDescent="0.25"/>
    <row r="1032" hidden="1" x14ac:dyDescent="0.25"/>
    <row r="1033" hidden="1" x14ac:dyDescent="0.25"/>
    <row r="1034" hidden="1" x14ac:dyDescent="0.25"/>
    <row r="1035" hidden="1" x14ac:dyDescent="0.25"/>
    <row r="1036" hidden="1" x14ac:dyDescent="0.25"/>
    <row r="1037" hidden="1" x14ac:dyDescent="0.25"/>
    <row r="1038" hidden="1" x14ac:dyDescent="0.25"/>
    <row r="1039" hidden="1" x14ac:dyDescent="0.25"/>
    <row r="1040" hidden="1" x14ac:dyDescent="0.25"/>
    <row r="1041" hidden="1" x14ac:dyDescent="0.25"/>
    <row r="1042" hidden="1" x14ac:dyDescent="0.25"/>
    <row r="1043" hidden="1" x14ac:dyDescent="0.25"/>
    <row r="1044" hidden="1" x14ac:dyDescent="0.25"/>
    <row r="1045" hidden="1" x14ac:dyDescent="0.25"/>
    <row r="1046" hidden="1" x14ac:dyDescent="0.25"/>
    <row r="1047" hidden="1" x14ac:dyDescent="0.25"/>
    <row r="1048" hidden="1" x14ac:dyDescent="0.25"/>
    <row r="1049" hidden="1" x14ac:dyDescent="0.25"/>
    <row r="1050" hidden="1" x14ac:dyDescent="0.25"/>
    <row r="1051" hidden="1" x14ac:dyDescent="0.25"/>
    <row r="1052" hidden="1" x14ac:dyDescent="0.25"/>
    <row r="1053" hidden="1" x14ac:dyDescent="0.25"/>
    <row r="1054" hidden="1" x14ac:dyDescent="0.25"/>
    <row r="1055" hidden="1" x14ac:dyDescent="0.25"/>
    <row r="1056" hidden="1" x14ac:dyDescent="0.25"/>
    <row r="1057" hidden="1" x14ac:dyDescent="0.25"/>
    <row r="1058" hidden="1" x14ac:dyDescent="0.25"/>
    <row r="1059" hidden="1" x14ac:dyDescent="0.25"/>
    <row r="1060" hidden="1" x14ac:dyDescent="0.25"/>
    <row r="1061" hidden="1" x14ac:dyDescent="0.25"/>
    <row r="1062" hidden="1" x14ac:dyDescent="0.25"/>
    <row r="1063" hidden="1" x14ac:dyDescent="0.25"/>
    <row r="1064" hidden="1" x14ac:dyDescent="0.25"/>
    <row r="1065" hidden="1" x14ac:dyDescent="0.25"/>
    <row r="1066" hidden="1" x14ac:dyDescent="0.25"/>
    <row r="1067" hidden="1" x14ac:dyDescent="0.25"/>
    <row r="1068" hidden="1" x14ac:dyDescent="0.25"/>
    <row r="1069" hidden="1" x14ac:dyDescent="0.25"/>
    <row r="1070" hidden="1" x14ac:dyDescent="0.25"/>
    <row r="1071" hidden="1" x14ac:dyDescent="0.25"/>
    <row r="1072" hidden="1" x14ac:dyDescent="0.25"/>
    <row r="1073" hidden="1" x14ac:dyDescent="0.25"/>
    <row r="1074" hidden="1" x14ac:dyDescent="0.25"/>
    <row r="1075" hidden="1" x14ac:dyDescent="0.25"/>
    <row r="1076" hidden="1" x14ac:dyDescent="0.25"/>
    <row r="1077" hidden="1" x14ac:dyDescent="0.25"/>
    <row r="1078" hidden="1" x14ac:dyDescent="0.25"/>
    <row r="1079" hidden="1" x14ac:dyDescent="0.25"/>
    <row r="1080" hidden="1" x14ac:dyDescent="0.25"/>
    <row r="1081" hidden="1" x14ac:dyDescent="0.25"/>
    <row r="1082" hidden="1" x14ac:dyDescent="0.25"/>
    <row r="1083" hidden="1" x14ac:dyDescent="0.25"/>
    <row r="1084" hidden="1" x14ac:dyDescent="0.25"/>
    <row r="1085" hidden="1" x14ac:dyDescent="0.25"/>
    <row r="1086" hidden="1" x14ac:dyDescent="0.25"/>
    <row r="1087" hidden="1" x14ac:dyDescent="0.25"/>
    <row r="1088" hidden="1" x14ac:dyDescent="0.25"/>
    <row r="1089" hidden="1" x14ac:dyDescent="0.25"/>
    <row r="1090" hidden="1" x14ac:dyDescent="0.25"/>
    <row r="1091" hidden="1" x14ac:dyDescent="0.25"/>
    <row r="1092" hidden="1" x14ac:dyDescent="0.25"/>
    <row r="1093" hidden="1" x14ac:dyDescent="0.25"/>
    <row r="1094" hidden="1" x14ac:dyDescent="0.25"/>
    <row r="1095" hidden="1" x14ac:dyDescent="0.25"/>
    <row r="1096" hidden="1" x14ac:dyDescent="0.25"/>
    <row r="1097" hidden="1" x14ac:dyDescent="0.25"/>
    <row r="1098" hidden="1" x14ac:dyDescent="0.25"/>
    <row r="1099" hidden="1" x14ac:dyDescent="0.25"/>
    <row r="1100" hidden="1" x14ac:dyDescent="0.25"/>
    <row r="1101" hidden="1" x14ac:dyDescent="0.25"/>
    <row r="1102" hidden="1" x14ac:dyDescent="0.25"/>
    <row r="1103" hidden="1" x14ac:dyDescent="0.25"/>
    <row r="1104" hidden="1" x14ac:dyDescent="0.25"/>
    <row r="1105" hidden="1" x14ac:dyDescent="0.25"/>
    <row r="1106" hidden="1" x14ac:dyDescent="0.25"/>
    <row r="1107" hidden="1" x14ac:dyDescent="0.25"/>
    <row r="1108" hidden="1" x14ac:dyDescent="0.25"/>
    <row r="1109" hidden="1" x14ac:dyDescent="0.25"/>
    <row r="1110" hidden="1" x14ac:dyDescent="0.25"/>
    <row r="1111" hidden="1" x14ac:dyDescent="0.25"/>
    <row r="1112" hidden="1" x14ac:dyDescent="0.25"/>
    <row r="1113" hidden="1" x14ac:dyDescent="0.25"/>
    <row r="1114" hidden="1" x14ac:dyDescent="0.25"/>
    <row r="1115" hidden="1" x14ac:dyDescent="0.25"/>
    <row r="1116" hidden="1" x14ac:dyDescent="0.25"/>
    <row r="1117" hidden="1" x14ac:dyDescent="0.25"/>
    <row r="1118" hidden="1" x14ac:dyDescent="0.25"/>
    <row r="1119" hidden="1" x14ac:dyDescent="0.25"/>
    <row r="1120" hidden="1" x14ac:dyDescent="0.25"/>
    <row r="1121" hidden="1" x14ac:dyDescent="0.25"/>
    <row r="1122" hidden="1" x14ac:dyDescent="0.25"/>
    <row r="1123" hidden="1" x14ac:dyDescent="0.25"/>
    <row r="1124" hidden="1" x14ac:dyDescent="0.25"/>
    <row r="1125" hidden="1" x14ac:dyDescent="0.25"/>
    <row r="1126" hidden="1" x14ac:dyDescent="0.25"/>
    <row r="1127" hidden="1" x14ac:dyDescent="0.25"/>
    <row r="1128" hidden="1" x14ac:dyDescent="0.25"/>
    <row r="1129" hidden="1" x14ac:dyDescent="0.25"/>
    <row r="1130" hidden="1" x14ac:dyDescent="0.25"/>
    <row r="1131" hidden="1" x14ac:dyDescent="0.25"/>
    <row r="1132" hidden="1" x14ac:dyDescent="0.25"/>
    <row r="1133" hidden="1" x14ac:dyDescent="0.25"/>
    <row r="1134" hidden="1" x14ac:dyDescent="0.25"/>
    <row r="1135" hidden="1" x14ac:dyDescent="0.25"/>
    <row r="1136" hidden="1" x14ac:dyDescent="0.25"/>
    <row r="1137" hidden="1" x14ac:dyDescent="0.25"/>
    <row r="1138" hidden="1" x14ac:dyDescent="0.25"/>
    <row r="1139" hidden="1" x14ac:dyDescent="0.25"/>
    <row r="1140" hidden="1" x14ac:dyDescent="0.25"/>
    <row r="1141" hidden="1" x14ac:dyDescent="0.25"/>
    <row r="1142" hidden="1" x14ac:dyDescent="0.25"/>
    <row r="1143" hidden="1" x14ac:dyDescent="0.25"/>
    <row r="1144" hidden="1" x14ac:dyDescent="0.25"/>
    <row r="1145" hidden="1" x14ac:dyDescent="0.25"/>
    <row r="1146" hidden="1" x14ac:dyDescent="0.25"/>
    <row r="1147" hidden="1" x14ac:dyDescent="0.25"/>
    <row r="1148" hidden="1" x14ac:dyDescent="0.25"/>
    <row r="1149" hidden="1" x14ac:dyDescent="0.25"/>
    <row r="1150" hidden="1" x14ac:dyDescent="0.25"/>
    <row r="1151" hidden="1" x14ac:dyDescent="0.25"/>
    <row r="1152" hidden="1" x14ac:dyDescent="0.25"/>
    <row r="1153" hidden="1" x14ac:dyDescent="0.25"/>
    <row r="1154" hidden="1" x14ac:dyDescent="0.25"/>
    <row r="1155" hidden="1" x14ac:dyDescent="0.25"/>
    <row r="1156" hidden="1" x14ac:dyDescent="0.25"/>
    <row r="1157" hidden="1" x14ac:dyDescent="0.25"/>
    <row r="1158" hidden="1" x14ac:dyDescent="0.25"/>
    <row r="1159" hidden="1" x14ac:dyDescent="0.25"/>
    <row r="1160" hidden="1" x14ac:dyDescent="0.25"/>
    <row r="1161" hidden="1" x14ac:dyDescent="0.25"/>
    <row r="1162" hidden="1" x14ac:dyDescent="0.25"/>
    <row r="1163" hidden="1" x14ac:dyDescent="0.25"/>
    <row r="1164" hidden="1" x14ac:dyDescent="0.25"/>
    <row r="1165" hidden="1" x14ac:dyDescent="0.25"/>
    <row r="1166" hidden="1" x14ac:dyDescent="0.25"/>
    <row r="1167" hidden="1" x14ac:dyDescent="0.25"/>
    <row r="1168" hidden="1" x14ac:dyDescent="0.25"/>
    <row r="1169" hidden="1" x14ac:dyDescent="0.25"/>
    <row r="1170" hidden="1" x14ac:dyDescent="0.25"/>
    <row r="1171" hidden="1" x14ac:dyDescent="0.25"/>
    <row r="1172" hidden="1" x14ac:dyDescent="0.25"/>
    <row r="1173" hidden="1" x14ac:dyDescent="0.25"/>
    <row r="1174" hidden="1" x14ac:dyDescent="0.25"/>
    <row r="1175" hidden="1" x14ac:dyDescent="0.25"/>
    <row r="1176" hidden="1" x14ac:dyDescent="0.25"/>
    <row r="1177" hidden="1" x14ac:dyDescent="0.25"/>
    <row r="1178" hidden="1" x14ac:dyDescent="0.25"/>
    <row r="1179" hidden="1" x14ac:dyDescent="0.25"/>
    <row r="1180" hidden="1" x14ac:dyDescent="0.25"/>
    <row r="1181" hidden="1" x14ac:dyDescent="0.25"/>
    <row r="1182" hidden="1" x14ac:dyDescent="0.25"/>
    <row r="1183" hidden="1" x14ac:dyDescent="0.25"/>
    <row r="1184" hidden="1" x14ac:dyDescent="0.25"/>
    <row r="1185" hidden="1" x14ac:dyDescent="0.25"/>
    <row r="1186" hidden="1" x14ac:dyDescent="0.25"/>
    <row r="1187" hidden="1" x14ac:dyDescent="0.25"/>
    <row r="1188" hidden="1" x14ac:dyDescent="0.25"/>
    <row r="1189" hidden="1" x14ac:dyDescent="0.25"/>
    <row r="1190" hidden="1" x14ac:dyDescent="0.25"/>
    <row r="1191" hidden="1" x14ac:dyDescent="0.25"/>
    <row r="1192" hidden="1" x14ac:dyDescent="0.25"/>
    <row r="1193" hidden="1" x14ac:dyDescent="0.25"/>
    <row r="1194" hidden="1" x14ac:dyDescent="0.25"/>
    <row r="1195" hidden="1" x14ac:dyDescent="0.25"/>
    <row r="1196" hidden="1" x14ac:dyDescent="0.25"/>
    <row r="1197" hidden="1" x14ac:dyDescent="0.25"/>
    <row r="1198" hidden="1" x14ac:dyDescent="0.25"/>
    <row r="1199" hidden="1" x14ac:dyDescent="0.25"/>
    <row r="1200" hidden="1" x14ac:dyDescent="0.25"/>
    <row r="1201" hidden="1" x14ac:dyDescent="0.25"/>
    <row r="1202" hidden="1" x14ac:dyDescent="0.25"/>
    <row r="1203" hidden="1" x14ac:dyDescent="0.25"/>
    <row r="1204" hidden="1" x14ac:dyDescent="0.25"/>
    <row r="1205" hidden="1" x14ac:dyDescent="0.25"/>
    <row r="1206" hidden="1" x14ac:dyDescent="0.25"/>
    <row r="1207" hidden="1" x14ac:dyDescent="0.25"/>
    <row r="1208" hidden="1" x14ac:dyDescent="0.25"/>
    <row r="1209" hidden="1" x14ac:dyDescent="0.25"/>
    <row r="1210" hidden="1" x14ac:dyDescent="0.25"/>
    <row r="1211" hidden="1" x14ac:dyDescent="0.25"/>
    <row r="1212" hidden="1" x14ac:dyDescent="0.25"/>
    <row r="1213" hidden="1" x14ac:dyDescent="0.25"/>
    <row r="1214" hidden="1" x14ac:dyDescent="0.25"/>
    <row r="1215" hidden="1" x14ac:dyDescent="0.25"/>
    <row r="1216" hidden="1" x14ac:dyDescent="0.25"/>
    <row r="1217" hidden="1" x14ac:dyDescent="0.25"/>
    <row r="1218" hidden="1" x14ac:dyDescent="0.25"/>
    <row r="1219" hidden="1" x14ac:dyDescent="0.25"/>
    <row r="1220" hidden="1" x14ac:dyDescent="0.25"/>
    <row r="1221" hidden="1" x14ac:dyDescent="0.25"/>
    <row r="1222" hidden="1" x14ac:dyDescent="0.25"/>
    <row r="1223" hidden="1" x14ac:dyDescent="0.25"/>
    <row r="1224" hidden="1" x14ac:dyDescent="0.25"/>
    <row r="1225" hidden="1" x14ac:dyDescent="0.25"/>
    <row r="1226" hidden="1" x14ac:dyDescent="0.25"/>
    <row r="1227" hidden="1" x14ac:dyDescent="0.25"/>
    <row r="1228" hidden="1" x14ac:dyDescent="0.25"/>
    <row r="1229" hidden="1" x14ac:dyDescent="0.25"/>
    <row r="1230" hidden="1" x14ac:dyDescent="0.25"/>
    <row r="1231" hidden="1" x14ac:dyDescent="0.25"/>
    <row r="1232" hidden="1" x14ac:dyDescent="0.25"/>
    <row r="1233" hidden="1" x14ac:dyDescent="0.25"/>
    <row r="1234" hidden="1" x14ac:dyDescent="0.25"/>
    <row r="1235" hidden="1" x14ac:dyDescent="0.25"/>
    <row r="1236" hidden="1" x14ac:dyDescent="0.25"/>
    <row r="1237" hidden="1" x14ac:dyDescent="0.25"/>
    <row r="1238" hidden="1" x14ac:dyDescent="0.25"/>
    <row r="1239" hidden="1" x14ac:dyDescent="0.25"/>
    <row r="1240" hidden="1" x14ac:dyDescent="0.25"/>
    <row r="1241" hidden="1" x14ac:dyDescent="0.25"/>
    <row r="1242" hidden="1" x14ac:dyDescent="0.25"/>
    <row r="1243" hidden="1" x14ac:dyDescent="0.25"/>
    <row r="1244" hidden="1" x14ac:dyDescent="0.25"/>
    <row r="1245" hidden="1" x14ac:dyDescent="0.25"/>
    <row r="1246" hidden="1" x14ac:dyDescent="0.25"/>
    <row r="1247" hidden="1" x14ac:dyDescent="0.25"/>
    <row r="1248" hidden="1" x14ac:dyDescent="0.25"/>
    <row r="1249" hidden="1" x14ac:dyDescent="0.25"/>
    <row r="1250" hidden="1" x14ac:dyDescent="0.25"/>
    <row r="1251" hidden="1" x14ac:dyDescent="0.25"/>
    <row r="1252" hidden="1" x14ac:dyDescent="0.25"/>
    <row r="1253" hidden="1" x14ac:dyDescent="0.25"/>
    <row r="1254" hidden="1" x14ac:dyDescent="0.25"/>
    <row r="1255" hidden="1" x14ac:dyDescent="0.25"/>
    <row r="1256" hidden="1" x14ac:dyDescent="0.25"/>
    <row r="1257" hidden="1" x14ac:dyDescent="0.25"/>
    <row r="1258" hidden="1" x14ac:dyDescent="0.25"/>
    <row r="1259" hidden="1" x14ac:dyDescent="0.25"/>
    <row r="1260" hidden="1" x14ac:dyDescent="0.25"/>
    <row r="1261" hidden="1" x14ac:dyDescent="0.25"/>
    <row r="1262" hidden="1" x14ac:dyDescent="0.25"/>
    <row r="1263" hidden="1" x14ac:dyDescent="0.25"/>
    <row r="1264" hidden="1" x14ac:dyDescent="0.25"/>
    <row r="1265" hidden="1" x14ac:dyDescent="0.25"/>
    <row r="1266" hidden="1" x14ac:dyDescent="0.25"/>
    <row r="1267" hidden="1" x14ac:dyDescent="0.25"/>
    <row r="1268" hidden="1" x14ac:dyDescent="0.25"/>
    <row r="1269" hidden="1" x14ac:dyDescent="0.25"/>
    <row r="1270" hidden="1" x14ac:dyDescent="0.25"/>
    <row r="1271" hidden="1" x14ac:dyDescent="0.25"/>
    <row r="1272" hidden="1" x14ac:dyDescent="0.25"/>
    <row r="1273" hidden="1" x14ac:dyDescent="0.25"/>
    <row r="1274" hidden="1" x14ac:dyDescent="0.25"/>
    <row r="1275" hidden="1" x14ac:dyDescent="0.25"/>
    <row r="1276" hidden="1" x14ac:dyDescent="0.25"/>
    <row r="1277" hidden="1" x14ac:dyDescent="0.25"/>
    <row r="1278" hidden="1" x14ac:dyDescent="0.25"/>
    <row r="1279" hidden="1" x14ac:dyDescent="0.25"/>
    <row r="1280" hidden="1" x14ac:dyDescent="0.25"/>
    <row r="1281" hidden="1" x14ac:dyDescent="0.25"/>
    <row r="1282" hidden="1" x14ac:dyDescent="0.25"/>
    <row r="1283" hidden="1" x14ac:dyDescent="0.25"/>
    <row r="1284" hidden="1" x14ac:dyDescent="0.25"/>
    <row r="1285" hidden="1" x14ac:dyDescent="0.25"/>
    <row r="1286" hidden="1" x14ac:dyDescent="0.25"/>
    <row r="1287" hidden="1" x14ac:dyDescent="0.25"/>
    <row r="1288" hidden="1" x14ac:dyDescent="0.25"/>
    <row r="1289" hidden="1" x14ac:dyDescent="0.25"/>
    <row r="1290" hidden="1" x14ac:dyDescent="0.25"/>
    <row r="1291" hidden="1" x14ac:dyDescent="0.25"/>
    <row r="1292" hidden="1" x14ac:dyDescent="0.25"/>
    <row r="1293" hidden="1" x14ac:dyDescent="0.25"/>
    <row r="1294" hidden="1" x14ac:dyDescent="0.25"/>
    <row r="1295" hidden="1" x14ac:dyDescent="0.25"/>
    <row r="1296" hidden="1" x14ac:dyDescent="0.25"/>
    <row r="1297" hidden="1" x14ac:dyDescent="0.25"/>
    <row r="1298" hidden="1" x14ac:dyDescent="0.25"/>
    <row r="1299" hidden="1" x14ac:dyDescent="0.25"/>
    <row r="1300" hidden="1" x14ac:dyDescent="0.25"/>
    <row r="1301" hidden="1" x14ac:dyDescent="0.25"/>
    <row r="1302" hidden="1" x14ac:dyDescent="0.25"/>
    <row r="1303" hidden="1" x14ac:dyDescent="0.25"/>
    <row r="1304" hidden="1" x14ac:dyDescent="0.25"/>
    <row r="1305" hidden="1" x14ac:dyDescent="0.25"/>
    <row r="1306" hidden="1" x14ac:dyDescent="0.25"/>
    <row r="1307" hidden="1" x14ac:dyDescent="0.25"/>
    <row r="1308" hidden="1" x14ac:dyDescent="0.25"/>
    <row r="1309" hidden="1" x14ac:dyDescent="0.25"/>
    <row r="1310" hidden="1" x14ac:dyDescent="0.25"/>
    <row r="1311" hidden="1" x14ac:dyDescent="0.25"/>
    <row r="1312" hidden="1" x14ac:dyDescent="0.25"/>
    <row r="1313" hidden="1" x14ac:dyDescent="0.25"/>
    <row r="1314" hidden="1" x14ac:dyDescent="0.25"/>
    <row r="1315" hidden="1" x14ac:dyDescent="0.25"/>
    <row r="1316" hidden="1" x14ac:dyDescent="0.25"/>
    <row r="1317" hidden="1" x14ac:dyDescent="0.25"/>
    <row r="1318" hidden="1" x14ac:dyDescent="0.25"/>
    <row r="1319" hidden="1" x14ac:dyDescent="0.25"/>
    <row r="1320" hidden="1" x14ac:dyDescent="0.25"/>
    <row r="1321" hidden="1" x14ac:dyDescent="0.25"/>
    <row r="1322" hidden="1" x14ac:dyDescent="0.25"/>
    <row r="1323" hidden="1" x14ac:dyDescent="0.25"/>
    <row r="1324" hidden="1" x14ac:dyDescent="0.25"/>
    <row r="1325" hidden="1" x14ac:dyDescent="0.25"/>
    <row r="1326" hidden="1" x14ac:dyDescent="0.25"/>
    <row r="1327" hidden="1" x14ac:dyDescent="0.25"/>
    <row r="1330" spans="14:31" x14ac:dyDescent="0.25">
      <c r="N1330" s="394" t="s">
        <v>245</v>
      </c>
      <c r="O1330" s="395"/>
      <c r="Q1330" s="394" t="s">
        <v>246</v>
      </c>
      <c r="R1330" s="395"/>
      <c r="T1330" s="394" t="s">
        <v>247</v>
      </c>
      <c r="U1330" s="395"/>
      <c r="W1330" s="394" t="s">
        <v>248</v>
      </c>
      <c r="X1330" s="395"/>
      <c r="AA1330" s="394" t="s">
        <v>245</v>
      </c>
      <c r="AB1330" s="395"/>
      <c r="AD1330" s="394" t="s">
        <v>247</v>
      </c>
      <c r="AE1330" s="395"/>
    </row>
    <row r="1331" spans="14:31" x14ac:dyDescent="0.25">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25">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25">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25">
      <c r="N1335" s="37" t="s">
        <v>250</v>
      </c>
      <c r="O1335">
        <v>1</v>
      </c>
      <c r="Q1335" s="37" t="s">
        <v>227</v>
      </c>
      <c r="R1335">
        <v>1</v>
      </c>
      <c r="T1335" s="37" t="s">
        <v>251</v>
      </c>
      <c r="U1335">
        <v>1</v>
      </c>
      <c r="W1335" s="37" t="s">
        <v>228</v>
      </c>
      <c r="X1335">
        <v>1</v>
      </c>
      <c r="AA1335" s="37" t="s">
        <v>229</v>
      </c>
      <c r="AB1335">
        <v>1</v>
      </c>
      <c r="AD1335" s="37" t="s">
        <v>223</v>
      </c>
    </row>
    <row r="1336" spans="14:31" x14ac:dyDescent="0.25">
      <c r="N1336" s="37" t="s">
        <v>252</v>
      </c>
      <c r="O1336">
        <v>1</v>
      </c>
      <c r="Q1336" s="37" t="s">
        <v>231</v>
      </c>
      <c r="R1336">
        <v>1</v>
      </c>
      <c r="T1336" s="37" t="s">
        <v>223</v>
      </c>
      <c r="U1336">
        <v>1</v>
      </c>
      <c r="W1336" s="37" t="s">
        <v>223</v>
      </c>
      <c r="X1336">
        <v>1</v>
      </c>
      <c r="AA1336" s="37" t="s">
        <v>225</v>
      </c>
      <c r="AB1336">
        <v>1</v>
      </c>
    </row>
    <row r="1337" spans="14:31" x14ac:dyDescent="0.25">
      <c r="N1337" s="37" t="s">
        <v>223</v>
      </c>
      <c r="O1337">
        <v>2</v>
      </c>
      <c r="Q1337" s="37" t="s">
        <v>253</v>
      </c>
      <c r="R1337">
        <v>1</v>
      </c>
      <c r="AA1337" s="37" t="s">
        <v>233</v>
      </c>
      <c r="AB1337">
        <v>1</v>
      </c>
    </row>
    <row r="1338" spans="14:31" x14ac:dyDescent="0.25">
      <c r="Q1338" s="37" t="s">
        <v>238</v>
      </c>
      <c r="R1338">
        <v>1</v>
      </c>
      <c r="AA1338" s="37" t="s">
        <v>236</v>
      </c>
      <c r="AB1338">
        <v>1</v>
      </c>
    </row>
    <row r="1339" spans="14:31" x14ac:dyDescent="0.25">
      <c r="Q1339" s="37" t="s">
        <v>240</v>
      </c>
      <c r="R1339">
        <v>1</v>
      </c>
      <c r="AA1339" s="37" t="s">
        <v>239</v>
      </c>
      <c r="AB1339">
        <v>1</v>
      </c>
    </row>
    <row r="1340" spans="14:31" x14ac:dyDescent="0.25">
      <c r="Q1340" s="37" t="s">
        <v>254</v>
      </c>
      <c r="R1340">
        <v>1</v>
      </c>
      <c r="AA1340" s="37" t="s">
        <v>255</v>
      </c>
      <c r="AB1340">
        <v>1</v>
      </c>
    </row>
    <row r="1341" spans="14:31" x14ac:dyDescent="0.25">
      <c r="Q1341" s="37" t="s">
        <v>256</v>
      </c>
      <c r="R1341">
        <v>1</v>
      </c>
      <c r="AA1341" s="37" t="s">
        <v>241</v>
      </c>
      <c r="AB1341">
        <v>1</v>
      </c>
    </row>
    <row r="1342" spans="14:31" x14ac:dyDescent="0.25">
      <c r="Q1342" s="37" t="s">
        <v>243</v>
      </c>
      <c r="R1342">
        <v>1</v>
      </c>
      <c r="AA1342" s="37" t="s">
        <v>223</v>
      </c>
      <c r="AB1342">
        <v>7</v>
      </c>
    </row>
    <row r="1343" spans="14:31" x14ac:dyDescent="0.25">
      <c r="Q1343" s="37" t="s">
        <v>244</v>
      </c>
      <c r="R1343">
        <v>1</v>
      </c>
    </row>
    <row r="1344" spans="14:31" x14ac:dyDescent="0.25">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topLeftCell="A19" workbookViewId="0">
      <selection activeCell="B23" sqref="B23"/>
    </sheetView>
  </sheetViews>
  <sheetFormatPr defaultRowHeight="15" x14ac:dyDescent="0.25"/>
  <cols>
    <col min="1" max="1" width="7.42578125" bestFit="1" customWidth="1"/>
    <col min="2" max="2" width="43.28515625" bestFit="1" customWidth="1"/>
    <col min="3" max="3" width="24.5703125" bestFit="1" customWidth="1"/>
    <col min="4" max="4" width="17.85546875" bestFit="1" customWidth="1"/>
    <col min="5" max="5" width="14.42578125" style="65" bestFit="1" customWidth="1"/>
    <col min="6" max="6" width="15.42578125" style="65" customWidth="1"/>
    <col min="7" max="7" width="14.42578125" style="66" bestFit="1" customWidth="1"/>
    <col min="8" max="8" width="10.140625" customWidth="1"/>
    <col min="9" max="9" width="14" customWidth="1"/>
  </cols>
  <sheetData>
    <row r="1" spans="1:9" x14ac:dyDescent="0.25">
      <c r="A1" s="57" t="s">
        <v>6</v>
      </c>
      <c r="B1" s="57" t="s">
        <v>3</v>
      </c>
      <c r="C1" s="57" t="s">
        <v>4</v>
      </c>
      <c r="D1" s="57" t="s">
        <v>212</v>
      </c>
      <c r="E1" s="63" t="s">
        <v>257</v>
      </c>
      <c r="F1" s="63" t="s">
        <v>30</v>
      </c>
      <c r="G1" s="64" t="s">
        <v>258</v>
      </c>
      <c r="H1" s="57" t="s">
        <v>259</v>
      </c>
      <c r="I1" s="57" t="s">
        <v>260</v>
      </c>
    </row>
    <row r="2" spans="1:9" x14ac:dyDescent="0.25">
      <c r="A2">
        <v>1</v>
      </c>
      <c r="B2" s="1" t="s">
        <v>261</v>
      </c>
      <c r="C2" t="s">
        <v>63</v>
      </c>
      <c r="D2" t="s">
        <v>44</v>
      </c>
      <c r="E2" s="65">
        <v>33920</v>
      </c>
      <c r="F2" s="65">
        <v>3768</v>
      </c>
      <c r="G2" s="66">
        <v>160</v>
      </c>
      <c r="H2" t="s">
        <v>262</v>
      </c>
      <c r="I2" s="56">
        <v>0.5</v>
      </c>
    </row>
    <row r="3" spans="1:9" x14ac:dyDescent="0.25">
      <c r="A3">
        <v>1</v>
      </c>
      <c r="B3" s="1" t="s">
        <v>263</v>
      </c>
      <c r="C3" t="s">
        <v>63</v>
      </c>
      <c r="D3" t="s">
        <v>44</v>
      </c>
      <c r="E3" s="65">
        <v>55713</v>
      </c>
      <c r="F3" s="65">
        <v>6391</v>
      </c>
      <c r="G3" s="66">
        <v>292</v>
      </c>
      <c r="H3" t="s">
        <v>262</v>
      </c>
      <c r="I3" s="56">
        <v>0.3</v>
      </c>
    </row>
    <row r="4" spans="1:9" x14ac:dyDescent="0.25">
      <c r="A4">
        <v>1</v>
      </c>
      <c r="B4" s="1" t="s">
        <v>264</v>
      </c>
      <c r="C4" t="s">
        <v>69</v>
      </c>
      <c r="D4" t="s">
        <v>44</v>
      </c>
      <c r="E4" s="65">
        <v>26200</v>
      </c>
      <c r="F4" s="65">
        <v>3000</v>
      </c>
      <c r="G4" s="66">
        <v>80</v>
      </c>
      <c r="H4" t="s">
        <v>262</v>
      </c>
      <c r="I4" s="56">
        <v>0.9</v>
      </c>
    </row>
    <row r="5" spans="1:9" x14ac:dyDescent="0.25">
      <c r="A5">
        <v>1</v>
      </c>
      <c r="B5" s="1" t="s">
        <v>265</v>
      </c>
      <c r="C5" t="s">
        <v>47</v>
      </c>
      <c r="D5" t="s">
        <v>44</v>
      </c>
      <c r="E5" s="65">
        <v>51300</v>
      </c>
      <c r="F5" s="65">
        <v>1734</v>
      </c>
      <c r="G5" s="66">
        <v>270</v>
      </c>
      <c r="H5" t="s">
        <v>262</v>
      </c>
      <c r="I5" s="56">
        <v>0.9</v>
      </c>
    </row>
    <row r="6" spans="1:9" x14ac:dyDescent="0.25">
      <c r="A6">
        <v>1</v>
      </c>
      <c r="B6" s="1" t="s">
        <v>266</v>
      </c>
      <c r="C6" t="s">
        <v>53</v>
      </c>
      <c r="D6" t="s">
        <v>44</v>
      </c>
      <c r="E6" s="65">
        <v>1600</v>
      </c>
      <c r="F6" s="65">
        <v>2568</v>
      </c>
      <c r="G6" s="66">
        <v>16</v>
      </c>
      <c r="H6" t="s">
        <v>262</v>
      </c>
      <c r="I6" s="56">
        <v>0.8</v>
      </c>
    </row>
    <row r="7" spans="1:9" x14ac:dyDescent="0.25">
      <c r="A7">
        <v>1</v>
      </c>
      <c r="B7" s="1" t="s">
        <v>267</v>
      </c>
      <c r="C7" t="s">
        <v>47</v>
      </c>
      <c r="D7" t="s">
        <v>44</v>
      </c>
      <c r="E7" s="65">
        <v>81786</v>
      </c>
      <c r="F7" s="65">
        <v>7965</v>
      </c>
      <c r="G7" s="66">
        <v>430</v>
      </c>
      <c r="H7" t="s">
        <v>262</v>
      </c>
      <c r="I7" s="56">
        <v>0.5</v>
      </c>
    </row>
    <row r="8" spans="1:9" x14ac:dyDescent="0.25">
      <c r="A8">
        <v>1</v>
      </c>
      <c r="B8" s="1" t="s">
        <v>268</v>
      </c>
      <c r="C8" t="s">
        <v>53</v>
      </c>
      <c r="D8" t="s">
        <v>44</v>
      </c>
      <c r="E8" s="65">
        <v>1600</v>
      </c>
      <c r="F8" s="65">
        <v>3356</v>
      </c>
      <c r="G8" s="66">
        <v>16</v>
      </c>
      <c r="H8" t="s">
        <v>262</v>
      </c>
      <c r="I8" s="56">
        <v>0.5</v>
      </c>
    </row>
    <row r="9" spans="1:9" x14ac:dyDescent="0.25">
      <c r="A9">
        <v>1</v>
      </c>
      <c r="B9" s="1" t="s">
        <v>269</v>
      </c>
      <c r="C9" t="s">
        <v>270</v>
      </c>
      <c r="D9" t="s">
        <v>44</v>
      </c>
      <c r="E9" s="65">
        <v>0</v>
      </c>
      <c r="F9" s="65">
        <v>356.4</v>
      </c>
      <c r="G9" s="66">
        <v>0</v>
      </c>
      <c r="H9" t="s">
        <v>262</v>
      </c>
      <c r="I9" s="56">
        <v>0.5</v>
      </c>
    </row>
    <row r="10" spans="1:9" x14ac:dyDescent="0.25">
      <c r="A10">
        <v>1</v>
      </c>
      <c r="B10" s="1" t="s">
        <v>271</v>
      </c>
      <c r="C10" t="s">
        <v>47</v>
      </c>
      <c r="D10" t="s">
        <v>44</v>
      </c>
      <c r="E10" s="65">
        <v>118908</v>
      </c>
      <c r="F10" s="65">
        <v>13048</v>
      </c>
      <c r="G10" s="66">
        <v>540</v>
      </c>
      <c r="H10" t="s">
        <v>262</v>
      </c>
      <c r="I10" s="56">
        <v>0.8</v>
      </c>
    </row>
    <row r="11" spans="1:9" x14ac:dyDescent="0.25">
      <c r="A11">
        <v>1</v>
      </c>
      <c r="B11" s="1" t="s">
        <v>272</v>
      </c>
      <c r="C11" t="s">
        <v>53</v>
      </c>
      <c r="D11" t="s">
        <v>44</v>
      </c>
      <c r="E11" s="65">
        <v>1600</v>
      </c>
      <c r="F11" s="65">
        <v>6846</v>
      </c>
      <c r="G11" s="66">
        <v>16</v>
      </c>
      <c r="H11" t="s">
        <v>262</v>
      </c>
      <c r="I11" s="56">
        <v>0.8</v>
      </c>
    </row>
    <row r="12" spans="1:9" x14ac:dyDescent="0.25">
      <c r="A12">
        <v>1</v>
      </c>
      <c r="B12" s="1" t="s">
        <v>273</v>
      </c>
      <c r="C12" t="s">
        <v>47</v>
      </c>
      <c r="D12" t="s">
        <v>44</v>
      </c>
      <c r="E12" s="65">
        <v>38380</v>
      </c>
      <c r="F12" s="65">
        <v>1075</v>
      </c>
      <c r="G12" s="66">
        <v>190</v>
      </c>
      <c r="H12" t="s">
        <v>262</v>
      </c>
      <c r="I12" s="56">
        <v>0.3</v>
      </c>
    </row>
    <row r="13" spans="1:9" x14ac:dyDescent="0.25">
      <c r="A13">
        <v>1</v>
      </c>
      <c r="B13" s="1" t="s">
        <v>274</v>
      </c>
      <c r="C13" t="s">
        <v>53</v>
      </c>
      <c r="D13" t="s">
        <v>44</v>
      </c>
      <c r="E13" s="65">
        <v>1600</v>
      </c>
      <c r="F13" s="65">
        <v>2174</v>
      </c>
      <c r="G13" s="66">
        <v>16</v>
      </c>
      <c r="H13" t="s">
        <v>262</v>
      </c>
      <c r="I13" s="56">
        <v>0.3</v>
      </c>
    </row>
    <row r="14" spans="1:9" x14ac:dyDescent="0.25">
      <c r="A14">
        <v>1</v>
      </c>
      <c r="B14" s="1" t="s">
        <v>275</v>
      </c>
      <c r="C14" t="s">
        <v>54</v>
      </c>
      <c r="D14" t="s">
        <v>44</v>
      </c>
      <c r="E14" s="65">
        <v>23584</v>
      </c>
      <c r="F14" s="65">
        <v>142.56</v>
      </c>
      <c r="G14" s="66">
        <v>124</v>
      </c>
      <c r="H14" t="s">
        <v>262</v>
      </c>
      <c r="I14" s="56">
        <v>0.5</v>
      </c>
    </row>
    <row r="15" spans="1:9" x14ac:dyDescent="0.25">
      <c r="A15">
        <v>1</v>
      </c>
      <c r="B15" s="1" t="s">
        <v>276</v>
      </c>
      <c r="C15" t="s">
        <v>47</v>
      </c>
      <c r="D15" t="s">
        <v>44</v>
      </c>
      <c r="E15" s="65">
        <v>44000</v>
      </c>
      <c r="F15" s="65">
        <v>1378</v>
      </c>
      <c r="G15" s="66">
        <v>220</v>
      </c>
      <c r="H15" t="s">
        <v>262</v>
      </c>
      <c r="I15" s="56">
        <v>0.5</v>
      </c>
    </row>
    <row r="16" spans="1:9" x14ac:dyDescent="0.25">
      <c r="A16">
        <v>1</v>
      </c>
      <c r="B16" s="1" t="s">
        <v>277</v>
      </c>
      <c r="C16" t="s">
        <v>63</v>
      </c>
      <c r="D16" t="s">
        <v>44</v>
      </c>
      <c r="E16" s="65">
        <v>8000</v>
      </c>
      <c r="F16" s="65">
        <v>1964</v>
      </c>
      <c r="G16" s="66">
        <v>40</v>
      </c>
      <c r="H16" t="s">
        <v>262</v>
      </c>
      <c r="I16" s="56">
        <v>0.5</v>
      </c>
    </row>
    <row r="17" spans="1:9" x14ac:dyDescent="0.25">
      <c r="A17">
        <v>1</v>
      </c>
      <c r="B17" s="1" t="s">
        <v>278</v>
      </c>
      <c r="C17" t="s">
        <v>53</v>
      </c>
      <c r="D17" t="s">
        <v>44</v>
      </c>
      <c r="E17" s="65">
        <v>1600</v>
      </c>
      <c r="F17" s="65">
        <v>3442</v>
      </c>
      <c r="G17" s="66">
        <v>16</v>
      </c>
      <c r="H17" t="s">
        <v>262</v>
      </c>
      <c r="I17" s="56">
        <v>0.5</v>
      </c>
    </row>
    <row r="18" spans="1:9" x14ac:dyDescent="0.25">
      <c r="A18">
        <v>1</v>
      </c>
      <c r="B18" s="1" t="s">
        <v>279</v>
      </c>
      <c r="C18" t="s">
        <v>47</v>
      </c>
      <c r="D18" t="s">
        <v>44</v>
      </c>
      <c r="E18" s="65">
        <v>72000</v>
      </c>
      <c r="F18" s="65">
        <v>4215</v>
      </c>
      <c r="G18" s="66">
        <v>360</v>
      </c>
      <c r="H18" t="s">
        <v>262</v>
      </c>
      <c r="I18" s="56">
        <v>0.5</v>
      </c>
    </row>
    <row r="19" spans="1:9" x14ac:dyDescent="0.25">
      <c r="A19">
        <v>1</v>
      </c>
      <c r="B19" s="1" t="s">
        <v>280</v>
      </c>
      <c r="C19" t="s">
        <v>63</v>
      </c>
      <c r="D19" t="s">
        <v>44</v>
      </c>
      <c r="E19" s="65">
        <f>40*180</f>
        <v>7200</v>
      </c>
      <c r="F19" s="65">
        <v>1964.2</v>
      </c>
      <c r="G19" s="66">
        <v>8</v>
      </c>
      <c r="H19" t="s">
        <v>262</v>
      </c>
      <c r="I19" s="56">
        <v>0.5</v>
      </c>
    </row>
    <row r="20" spans="1:9" x14ac:dyDescent="0.25">
      <c r="A20">
        <v>1</v>
      </c>
      <c r="B20" s="1" t="s">
        <v>281</v>
      </c>
      <c r="C20" t="s">
        <v>53</v>
      </c>
      <c r="D20" t="s">
        <v>44</v>
      </c>
      <c r="E20" s="65">
        <v>1600</v>
      </c>
      <c r="F20" s="65">
        <v>5242</v>
      </c>
      <c r="G20" s="66">
        <v>16</v>
      </c>
      <c r="H20" t="s">
        <v>262</v>
      </c>
      <c r="I20" s="56">
        <v>0.5</v>
      </c>
    </row>
    <row r="21" spans="1:9" x14ac:dyDescent="0.25">
      <c r="A21">
        <v>1</v>
      </c>
      <c r="B21" s="1" t="s">
        <v>282</v>
      </c>
      <c r="C21" t="s">
        <v>69</v>
      </c>
      <c r="D21" t="s">
        <v>44</v>
      </c>
      <c r="E21" s="65">
        <v>26200</v>
      </c>
      <c r="F21" s="65">
        <v>3400</v>
      </c>
      <c r="G21" s="66">
        <v>80</v>
      </c>
      <c r="H21" t="s">
        <v>262</v>
      </c>
      <c r="I21" s="56">
        <v>0.3</v>
      </c>
    </row>
    <row r="22" spans="1:9" x14ac:dyDescent="0.25">
      <c r="A22">
        <v>1</v>
      </c>
      <c r="B22" s="1" t="s">
        <v>283</v>
      </c>
      <c r="C22" t="s">
        <v>284</v>
      </c>
      <c r="D22" t="s">
        <v>44</v>
      </c>
      <c r="E22" s="65">
        <v>3392</v>
      </c>
      <c r="F22" s="65">
        <v>356.4</v>
      </c>
      <c r="G22" s="66">
        <v>16</v>
      </c>
      <c r="H22" t="s">
        <v>262</v>
      </c>
      <c r="I22" s="56">
        <v>0.5</v>
      </c>
    </row>
    <row r="23" spans="1:9" x14ac:dyDescent="0.25">
      <c r="A23">
        <v>1</v>
      </c>
      <c r="B23" s="1" t="s">
        <v>285</v>
      </c>
      <c r="C23" t="s">
        <v>47</v>
      </c>
      <c r="D23" t="s">
        <v>44</v>
      </c>
      <c r="E23" s="65">
        <v>44000</v>
      </c>
      <c r="F23" s="65">
        <v>1102</v>
      </c>
      <c r="G23" s="66">
        <v>220</v>
      </c>
      <c r="H23" t="s">
        <v>262</v>
      </c>
      <c r="I23" s="56">
        <v>0.3</v>
      </c>
    </row>
    <row r="24" spans="1:9" x14ac:dyDescent="0.25">
      <c r="A24">
        <v>1</v>
      </c>
      <c r="B24" s="1" t="s">
        <v>286</v>
      </c>
      <c r="C24" t="s">
        <v>63</v>
      </c>
      <c r="D24" t="s">
        <v>44</v>
      </c>
      <c r="E24" s="65">
        <v>8000</v>
      </c>
      <c r="F24" s="65">
        <v>1865</v>
      </c>
      <c r="G24" s="66">
        <v>40</v>
      </c>
      <c r="H24" t="s">
        <v>262</v>
      </c>
      <c r="I24" s="56">
        <v>0.3</v>
      </c>
    </row>
    <row r="25" spans="1:9" x14ac:dyDescent="0.25">
      <c r="A25">
        <v>1</v>
      </c>
      <c r="B25" s="1" t="s">
        <v>287</v>
      </c>
      <c r="C25" t="s">
        <v>288</v>
      </c>
      <c r="D25" t="s">
        <v>44</v>
      </c>
      <c r="E25" s="65" t="s">
        <v>289</v>
      </c>
      <c r="F25" s="65" t="s">
        <v>289</v>
      </c>
      <c r="G25" s="65" t="s">
        <v>289</v>
      </c>
      <c r="H25" t="s">
        <v>262</v>
      </c>
      <c r="I25" s="56">
        <v>0.3</v>
      </c>
    </row>
    <row r="26" spans="1:9" x14ac:dyDescent="0.25">
      <c r="A26">
        <v>1</v>
      </c>
      <c r="B26" s="1" t="s">
        <v>290</v>
      </c>
      <c r="C26" t="s">
        <v>288</v>
      </c>
      <c r="D26" t="s">
        <v>44</v>
      </c>
      <c r="E26" s="65" t="s">
        <v>289</v>
      </c>
      <c r="F26" s="65" t="s">
        <v>289</v>
      </c>
      <c r="G26" s="66" t="s">
        <v>289</v>
      </c>
      <c r="H26" t="s">
        <v>262</v>
      </c>
      <c r="I26" s="56">
        <v>0.3</v>
      </c>
    </row>
    <row r="27" spans="1:9" x14ac:dyDescent="0.25">
      <c r="A27">
        <v>1</v>
      </c>
      <c r="B27" s="1" t="s">
        <v>291</v>
      </c>
      <c r="C27" t="s">
        <v>288</v>
      </c>
      <c r="D27" t="s">
        <v>44</v>
      </c>
      <c r="E27" s="65" t="s">
        <v>289</v>
      </c>
      <c r="F27" s="65" t="s">
        <v>289</v>
      </c>
      <c r="G27" s="66" t="s">
        <v>289</v>
      </c>
      <c r="H27" t="s">
        <v>262</v>
      </c>
      <c r="I27" s="56">
        <v>0.3</v>
      </c>
    </row>
    <row r="28" spans="1:9" x14ac:dyDescent="0.25">
      <c r="A28">
        <v>1</v>
      </c>
      <c r="B28" s="1" t="s">
        <v>292</v>
      </c>
      <c r="C28" t="s">
        <v>288</v>
      </c>
      <c r="D28" t="s">
        <v>44</v>
      </c>
      <c r="E28" s="65" t="s">
        <v>293</v>
      </c>
      <c r="F28" s="65" t="s">
        <v>293</v>
      </c>
      <c r="G28" s="65" t="s">
        <v>293</v>
      </c>
      <c r="H28" t="s">
        <v>262</v>
      </c>
      <c r="I28" s="56">
        <v>0.3</v>
      </c>
    </row>
    <row r="29" spans="1:9" x14ac:dyDescent="0.25">
      <c r="A29">
        <v>1</v>
      </c>
      <c r="B29" s="1" t="s">
        <v>294</v>
      </c>
      <c r="C29" t="s">
        <v>288</v>
      </c>
      <c r="D29" t="s">
        <v>44</v>
      </c>
      <c r="E29" s="65" t="s">
        <v>293</v>
      </c>
      <c r="F29" s="65" t="s">
        <v>293</v>
      </c>
      <c r="G29" s="65" t="s">
        <v>293</v>
      </c>
      <c r="H29" t="s">
        <v>262</v>
      </c>
      <c r="I29" s="56">
        <v>0.3</v>
      </c>
    </row>
    <row r="30" spans="1:9" x14ac:dyDescent="0.25">
      <c r="A30">
        <v>1</v>
      </c>
      <c r="B30" s="1" t="s">
        <v>295</v>
      </c>
      <c r="C30" t="s">
        <v>47</v>
      </c>
      <c r="D30" t="s">
        <v>22</v>
      </c>
      <c r="E30" s="65" t="s">
        <v>289</v>
      </c>
      <c r="F30" s="65" t="s">
        <v>289</v>
      </c>
      <c r="G30" s="65" t="s">
        <v>289</v>
      </c>
      <c r="H30" t="s">
        <v>262</v>
      </c>
      <c r="I30" s="56">
        <v>0.5</v>
      </c>
    </row>
    <row r="31" spans="1:9" x14ac:dyDescent="0.25">
      <c r="A31">
        <v>1</v>
      </c>
      <c r="B31" s="1" t="s">
        <v>296</v>
      </c>
      <c r="C31" t="s">
        <v>63</v>
      </c>
      <c r="D31" t="s">
        <v>22</v>
      </c>
      <c r="E31" s="65">
        <v>16000</v>
      </c>
      <c r="F31" s="65">
        <v>1558</v>
      </c>
      <c r="G31" s="66">
        <v>80</v>
      </c>
      <c r="H31" t="s">
        <v>262</v>
      </c>
      <c r="I31" s="56">
        <v>0.5</v>
      </c>
    </row>
    <row r="32" spans="1:9" x14ac:dyDescent="0.25">
      <c r="A32">
        <v>1</v>
      </c>
      <c r="B32" s="1" t="s">
        <v>297</v>
      </c>
      <c r="C32" t="s">
        <v>47</v>
      </c>
      <c r="D32" t="s">
        <v>22</v>
      </c>
      <c r="E32" s="65">
        <v>153599</v>
      </c>
      <c r="F32" s="65">
        <v>9247.44</v>
      </c>
      <c r="G32" s="66">
        <v>768</v>
      </c>
      <c r="H32" t="s">
        <v>262</v>
      </c>
      <c r="I32" s="56">
        <v>0.3</v>
      </c>
    </row>
    <row r="33" spans="1:11" x14ac:dyDescent="0.25">
      <c r="A33">
        <v>1</v>
      </c>
      <c r="B33" s="1" t="s">
        <v>298</v>
      </c>
      <c r="C33" t="s">
        <v>47</v>
      </c>
      <c r="D33" t="s">
        <v>22</v>
      </c>
      <c r="E33" s="65">
        <v>254760</v>
      </c>
      <c r="F33" s="65">
        <v>15786</v>
      </c>
      <c r="G33" s="66">
        <v>1158</v>
      </c>
      <c r="H33" t="s">
        <v>262</v>
      </c>
      <c r="I33" s="56">
        <v>0.3</v>
      </c>
    </row>
    <row r="34" spans="1:11" x14ac:dyDescent="0.25">
      <c r="A34">
        <v>1</v>
      </c>
      <c r="B34" s="1" t="s">
        <v>299</v>
      </c>
      <c r="C34" t="s">
        <v>63</v>
      </c>
      <c r="D34" t="s">
        <v>22</v>
      </c>
      <c r="E34" s="65">
        <v>20000</v>
      </c>
      <c r="F34" s="65">
        <v>5880</v>
      </c>
      <c r="G34" s="66">
        <v>80</v>
      </c>
      <c r="H34" t="s">
        <v>262</v>
      </c>
      <c r="I34" s="56">
        <v>0.3</v>
      </c>
    </row>
    <row r="35" spans="1:11" x14ac:dyDescent="0.25">
      <c r="A35">
        <v>1</v>
      </c>
      <c r="B35" s="1" t="s">
        <v>300</v>
      </c>
      <c r="C35" t="s">
        <v>301</v>
      </c>
      <c r="D35" t="s">
        <v>22</v>
      </c>
      <c r="E35" s="65">
        <v>130600</v>
      </c>
      <c r="F35" s="65">
        <v>16809</v>
      </c>
      <c r="G35" s="66">
        <v>653</v>
      </c>
      <c r="H35" t="s">
        <v>262</v>
      </c>
      <c r="I35" s="56">
        <v>0.3</v>
      </c>
      <c r="K35" s="56"/>
    </row>
    <row r="36" spans="1:11" x14ac:dyDescent="0.25">
      <c r="A36">
        <v>1</v>
      </c>
      <c r="B36" s="1" t="s">
        <v>302</v>
      </c>
      <c r="C36" t="s">
        <v>63</v>
      </c>
      <c r="D36" t="s">
        <v>22</v>
      </c>
      <c r="E36" s="65">
        <v>16000</v>
      </c>
      <c r="F36" s="65">
        <v>5880</v>
      </c>
      <c r="G36" s="66">
        <v>80</v>
      </c>
      <c r="H36" t="s">
        <v>262</v>
      </c>
      <c r="I36" s="56">
        <v>0.9</v>
      </c>
      <c r="K36" s="56"/>
    </row>
    <row r="37" spans="1:11" x14ac:dyDescent="0.25">
      <c r="A37">
        <v>1</v>
      </c>
      <c r="B37" s="1" t="s">
        <v>303</v>
      </c>
      <c r="C37" t="s">
        <v>304</v>
      </c>
      <c r="D37" t="s">
        <v>22</v>
      </c>
      <c r="E37" s="65">
        <v>72000</v>
      </c>
      <c r="F37" s="65">
        <v>8045</v>
      </c>
      <c r="G37" s="66">
        <v>360</v>
      </c>
      <c r="H37" t="s">
        <v>262</v>
      </c>
      <c r="I37" s="56">
        <v>0.3</v>
      </c>
      <c r="K37" s="56"/>
    </row>
    <row r="38" spans="1:11" x14ac:dyDescent="0.25">
      <c r="A38">
        <v>1</v>
      </c>
      <c r="B38" s="1" t="s">
        <v>305</v>
      </c>
      <c r="C38" t="s">
        <v>47</v>
      </c>
      <c r="D38" t="s">
        <v>22</v>
      </c>
      <c r="E38" s="65" t="s">
        <v>289</v>
      </c>
      <c r="F38" s="65" t="s">
        <v>289</v>
      </c>
      <c r="G38" s="65" t="s">
        <v>289</v>
      </c>
      <c r="H38" t="s">
        <v>262</v>
      </c>
      <c r="I38" s="56">
        <v>0.3</v>
      </c>
      <c r="K38" s="56"/>
    </row>
    <row r="39" spans="1:11" x14ac:dyDescent="0.25">
      <c r="A39">
        <v>1</v>
      </c>
      <c r="B39" s="1" t="s">
        <v>306</v>
      </c>
      <c r="C39" t="s">
        <v>63</v>
      </c>
      <c r="D39" t="s">
        <v>22</v>
      </c>
      <c r="E39" s="65" t="s">
        <v>289</v>
      </c>
      <c r="F39" s="65" t="s">
        <v>289</v>
      </c>
      <c r="G39" s="65" t="s">
        <v>289</v>
      </c>
      <c r="H39" t="s">
        <v>262</v>
      </c>
      <c r="I39" s="56">
        <v>0.3</v>
      </c>
      <c r="K39" s="56"/>
    </row>
    <row r="40" spans="1:11" x14ac:dyDescent="0.25">
      <c r="A40">
        <v>1</v>
      </c>
      <c r="B40" s="1" t="s">
        <v>307</v>
      </c>
      <c r="C40" t="s">
        <v>308</v>
      </c>
      <c r="D40" t="s">
        <v>22</v>
      </c>
      <c r="E40" s="65" t="s">
        <v>289</v>
      </c>
      <c r="F40" s="65" t="s">
        <v>289</v>
      </c>
      <c r="G40" s="65" t="s">
        <v>289</v>
      </c>
      <c r="H40" t="s">
        <v>262</v>
      </c>
      <c r="I40" s="56">
        <v>0.3</v>
      </c>
      <c r="K40" s="56"/>
    </row>
    <row r="41" spans="1:11" x14ac:dyDescent="0.25">
      <c r="A41">
        <v>1</v>
      </c>
      <c r="B41" s="1" t="s">
        <v>309</v>
      </c>
      <c r="C41" t="s">
        <v>47</v>
      </c>
      <c r="D41" t="s">
        <v>22</v>
      </c>
      <c r="E41" s="65">
        <v>315000</v>
      </c>
      <c r="F41" s="65">
        <v>32575</v>
      </c>
      <c r="G41" s="66">
        <v>1500</v>
      </c>
      <c r="H41" t="s">
        <v>262</v>
      </c>
      <c r="I41" s="56">
        <v>0.3</v>
      </c>
      <c r="K41" s="56"/>
    </row>
    <row r="42" spans="1:11" x14ac:dyDescent="0.25">
      <c r="A42">
        <v>1</v>
      </c>
      <c r="B42" s="1" t="s">
        <v>310</v>
      </c>
      <c r="C42" t="s">
        <v>47</v>
      </c>
      <c r="D42" t="s">
        <v>22</v>
      </c>
      <c r="E42" s="65">
        <v>47200</v>
      </c>
      <c r="F42" s="65">
        <v>2298.1</v>
      </c>
      <c r="G42" s="66">
        <v>236</v>
      </c>
      <c r="H42" t="s">
        <v>262</v>
      </c>
      <c r="I42" s="56">
        <v>0.3</v>
      </c>
      <c r="K42" s="56"/>
    </row>
    <row r="43" spans="1:11" x14ac:dyDescent="0.25">
      <c r="A43">
        <v>1</v>
      </c>
      <c r="B43" s="1" t="s">
        <v>311</v>
      </c>
      <c r="C43" t="s">
        <v>69</v>
      </c>
      <c r="D43" t="s">
        <v>22</v>
      </c>
      <c r="E43" s="65" t="s">
        <v>289</v>
      </c>
      <c r="F43" s="65" t="s">
        <v>289</v>
      </c>
      <c r="G43" s="65" t="s">
        <v>289</v>
      </c>
      <c r="H43" t="s">
        <v>262</v>
      </c>
      <c r="I43" s="56">
        <v>0.3</v>
      </c>
      <c r="K43" s="56"/>
    </row>
    <row r="44" spans="1:11" x14ac:dyDescent="0.25">
      <c r="A44">
        <v>1</v>
      </c>
      <c r="B44" s="1" t="s">
        <v>312</v>
      </c>
      <c r="C44" t="s">
        <v>47</v>
      </c>
      <c r="D44" t="s">
        <v>22</v>
      </c>
      <c r="E44" s="65" t="s">
        <v>289</v>
      </c>
      <c r="F44" s="65" t="s">
        <v>289</v>
      </c>
      <c r="G44" s="65" t="s">
        <v>289</v>
      </c>
      <c r="H44" t="s">
        <v>262</v>
      </c>
      <c r="I44" s="56">
        <v>0.3</v>
      </c>
      <c r="K44" s="56"/>
    </row>
    <row r="45" spans="1:11" x14ac:dyDescent="0.25">
      <c r="A45">
        <v>1</v>
      </c>
      <c r="B45" s="1" t="s">
        <v>313</v>
      </c>
      <c r="C45" t="s">
        <v>47</v>
      </c>
      <c r="D45" t="s">
        <v>22</v>
      </c>
      <c r="E45" s="65" t="s">
        <v>289</v>
      </c>
      <c r="F45" s="65" t="s">
        <v>289</v>
      </c>
      <c r="G45" s="65" t="s">
        <v>289</v>
      </c>
      <c r="H45" t="s">
        <v>262</v>
      </c>
      <c r="I45" s="56">
        <v>0.3</v>
      </c>
      <c r="K45" s="56"/>
    </row>
    <row r="46" spans="1:11" x14ac:dyDescent="0.25">
      <c r="A46">
        <v>1</v>
      </c>
      <c r="B46" s="1" t="s">
        <v>314</v>
      </c>
      <c r="C46" t="s">
        <v>47</v>
      </c>
      <c r="D46" t="s">
        <v>22</v>
      </c>
      <c r="E46" s="65" t="s">
        <v>289</v>
      </c>
      <c r="F46" s="65" t="s">
        <v>289</v>
      </c>
      <c r="G46" s="65" t="s">
        <v>289</v>
      </c>
      <c r="H46" t="s">
        <v>262</v>
      </c>
      <c r="I46" s="56">
        <v>0.3</v>
      </c>
      <c r="K46" s="56"/>
    </row>
    <row r="47" spans="1:11" x14ac:dyDescent="0.25">
      <c r="A47">
        <v>1</v>
      </c>
      <c r="B47" s="1" t="s">
        <v>315</v>
      </c>
      <c r="C47" t="s">
        <v>316</v>
      </c>
      <c r="D47" t="s">
        <v>22</v>
      </c>
      <c r="E47" s="65">
        <v>0</v>
      </c>
      <c r="F47" s="65">
        <v>66</v>
      </c>
      <c r="G47" s="66">
        <v>0</v>
      </c>
      <c r="H47" t="s">
        <v>262</v>
      </c>
      <c r="I47" s="56">
        <v>0.9</v>
      </c>
      <c r="K47" s="56"/>
    </row>
    <row r="48" spans="1:11" x14ac:dyDescent="0.25">
      <c r="A48">
        <v>1</v>
      </c>
      <c r="B48" s="1" t="s">
        <v>317</v>
      </c>
      <c r="C48" t="s">
        <v>318</v>
      </c>
      <c r="D48" t="s">
        <v>22</v>
      </c>
      <c r="E48" s="65">
        <v>63200</v>
      </c>
      <c r="F48" s="65">
        <v>0</v>
      </c>
      <c r="G48" s="66">
        <v>316</v>
      </c>
      <c r="H48" t="s">
        <v>319</v>
      </c>
      <c r="I48" s="56">
        <v>0.5</v>
      </c>
      <c r="K48" s="56"/>
    </row>
    <row r="49" spans="1:11" x14ac:dyDescent="0.25">
      <c r="A49">
        <v>1</v>
      </c>
      <c r="B49" s="1" t="s">
        <v>320</v>
      </c>
      <c r="C49" t="s">
        <v>47</v>
      </c>
      <c r="D49" t="s">
        <v>22</v>
      </c>
      <c r="E49" s="65" t="s">
        <v>289</v>
      </c>
      <c r="F49" s="65" t="s">
        <v>289</v>
      </c>
      <c r="G49" s="65" t="s">
        <v>289</v>
      </c>
      <c r="H49" t="s">
        <v>262</v>
      </c>
      <c r="I49" s="56">
        <v>0.3</v>
      </c>
      <c r="K49" s="56"/>
    </row>
    <row r="50" spans="1:11" x14ac:dyDescent="0.25">
      <c r="A50">
        <v>1</v>
      </c>
      <c r="B50" s="1" t="s">
        <v>51</v>
      </c>
      <c r="C50" t="s">
        <v>321</v>
      </c>
      <c r="D50" t="s">
        <v>22</v>
      </c>
      <c r="E50" s="65">
        <v>72000</v>
      </c>
      <c r="F50" s="65">
        <v>8241</v>
      </c>
      <c r="G50" s="66">
        <v>360</v>
      </c>
      <c r="H50" t="s">
        <v>262</v>
      </c>
      <c r="I50" s="56">
        <v>0.3</v>
      </c>
      <c r="K50" s="56"/>
    </row>
    <row r="51" spans="1:11" x14ac:dyDescent="0.25">
      <c r="A51">
        <v>1</v>
      </c>
      <c r="B51" s="1" t="s">
        <v>322</v>
      </c>
      <c r="C51" t="s">
        <v>63</v>
      </c>
      <c r="D51" t="s">
        <v>22</v>
      </c>
      <c r="E51" s="65">
        <v>16000</v>
      </c>
      <c r="F51" s="65">
        <v>18330</v>
      </c>
      <c r="G51" s="66">
        <v>80</v>
      </c>
      <c r="H51" t="s">
        <v>262</v>
      </c>
      <c r="I51" s="56">
        <v>0.9</v>
      </c>
      <c r="K51" s="56"/>
    </row>
    <row r="52" spans="1:11" x14ac:dyDescent="0.25">
      <c r="A52">
        <v>1</v>
      </c>
      <c r="B52" s="1" t="s">
        <v>323</v>
      </c>
      <c r="C52" t="s">
        <v>288</v>
      </c>
      <c r="D52" t="s">
        <v>22</v>
      </c>
      <c r="E52" s="65" t="s">
        <v>293</v>
      </c>
      <c r="F52" s="65" t="s">
        <v>293</v>
      </c>
      <c r="G52" s="65" t="s">
        <v>293</v>
      </c>
      <c r="H52" t="s">
        <v>262</v>
      </c>
      <c r="I52" s="56">
        <v>0.3</v>
      </c>
      <c r="K52" s="56"/>
    </row>
    <row r="53" spans="1:11" x14ac:dyDescent="0.25">
      <c r="A53">
        <v>1</v>
      </c>
      <c r="B53" s="1" t="s">
        <v>324</v>
      </c>
      <c r="C53" t="s">
        <v>288</v>
      </c>
      <c r="D53" t="s">
        <v>22</v>
      </c>
      <c r="E53" s="65" t="s">
        <v>289</v>
      </c>
      <c r="F53" s="65" t="s">
        <v>289</v>
      </c>
      <c r="G53" s="65" t="s">
        <v>289</v>
      </c>
      <c r="H53" t="s">
        <v>262</v>
      </c>
      <c r="I53" s="56">
        <v>0.3</v>
      </c>
      <c r="K53" s="56"/>
    </row>
    <row r="54" spans="1:11" x14ac:dyDescent="0.25">
      <c r="A54">
        <v>1</v>
      </c>
      <c r="B54" s="1" t="s">
        <v>325</v>
      </c>
      <c r="C54" t="s">
        <v>288</v>
      </c>
      <c r="D54" t="s">
        <v>22</v>
      </c>
      <c r="E54" s="65" t="s">
        <v>289</v>
      </c>
      <c r="F54" s="65" t="s">
        <v>289</v>
      </c>
      <c r="G54" s="65" t="s">
        <v>289</v>
      </c>
      <c r="H54" t="s">
        <v>262</v>
      </c>
      <c r="I54" s="56">
        <v>0.3</v>
      </c>
      <c r="K54" s="56"/>
    </row>
    <row r="55" spans="1:11" x14ac:dyDescent="0.25">
      <c r="A55">
        <v>1</v>
      </c>
      <c r="B55" s="1" t="s">
        <v>326</v>
      </c>
      <c r="C55" t="s">
        <v>288</v>
      </c>
      <c r="D55" t="s">
        <v>22</v>
      </c>
      <c r="E55" s="65" t="s">
        <v>293</v>
      </c>
      <c r="F55" s="65" t="s">
        <v>293</v>
      </c>
      <c r="G55" s="65" t="s">
        <v>293</v>
      </c>
      <c r="H55" t="s">
        <v>262</v>
      </c>
      <c r="I55" s="56">
        <v>0.3</v>
      </c>
      <c r="K55" s="56"/>
    </row>
    <row r="56" spans="1:11" x14ac:dyDescent="0.25">
      <c r="A56">
        <v>1</v>
      </c>
      <c r="B56" s="1" t="s">
        <v>327</v>
      </c>
      <c r="C56" t="s">
        <v>288</v>
      </c>
      <c r="D56" t="s">
        <v>22</v>
      </c>
      <c r="H56" t="s">
        <v>262</v>
      </c>
      <c r="I56" s="56">
        <v>0.3</v>
      </c>
      <c r="K56" s="56"/>
    </row>
    <row r="57" spans="1:11" x14ac:dyDescent="0.25">
      <c r="A57">
        <v>1</v>
      </c>
      <c r="B57" s="1" t="s">
        <v>328</v>
      </c>
      <c r="C57" t="s">
        <v>329</v>
      </c>
      <c r="D57" t="s">
        <v>31</v>
      </c>
      <c r="E57" s="65">
        <v>46200</v>
      </c>
      <c r="F57" s="65">
        <v>1460.47</v>
      </c>
      <c r="G57" s="66">
        <v>220</v>
      </c>
      <c r="H57" t="s">
        <v>262</v>
      </c>
      <c r="I57" s="56">
        <v>0.5</v>
      </c>
      <c r="K57" s="56"/>
    </row>
    <row r="58" spans="1:11" x14ac:dyDescent="0.25">
      <c r="A58">
        <v>1</v>
      </c>
      <c r="B58" s="1" t="s">
        <v>330</v>
      </c>
      <c r="C58" t="s">
        <v>47</v>
      </c>
      <c r="D58" t="s">
        <v>31</v>
      </c>
      <c r="E58" s="65" t="s">
        <v>289</v>
      </c>
      <c r="F58" s="65" t="s">
        <v>289</v>
      </c>
      <c r="G58" s="65" t="s">
        <v>289</v>
      </c>
      <c r="H58" t="s">
        <v>262</v>
      </c>
      <c r="I58" s="56">
        <v>0.3</v>
      </c>
      <c r="K58" s="56"/>
    </row>
    <row r="59" spans="1:11" x14ac:dyDescent="0.25">
      <c r="A59">
        <v>1</v>
      </c>
      <c r="B59" s="1" t="s">
        <v>331</v>
      </c>
      <c r="C59" t="s">
        <v>321</v>
      </c>
      <c r="D59" t="s">
        <v>31</v>
      </c>
      <c r="E59" s="65" t="s">
        <v>289</v>
      </c>
      <c r="F59" s="65" t="s">
        <v>289</v>
      </c>
      <c r="G59" s="66" t="s">
        <v>289</v>
      </c>
      <c r="H59" t="s">
        <v>262</v>
      </c>
      <c r="I59" s="56">
        <v>0.3</v>
      </c>
    </row>
    <row r="60" spans="1:11" x14ac:dyDescent="0.25">
      <c r="A60">
        <v>1</v>
      </c>
      <c r="B60" s="1" t="s">
        <v>332</v>
      </c>
      <c r="C60" t="s">
        <v>47</v>
      </c>
      <c r="D60" t="s">
        <v>31</v>
      </c>
      <c r="E60" s="65" t="s">
        <v>289</v>
      </c>
      <c r="F60" s="65" t="s">
        <v>289</v>
      </c>
      <c r="G60" s="66" t="s">
        <v>289</v>
      </c>
      <c r="H60" t="s">
        <v>262</v>
      </c>
      <c r="I60" s="56">
        <v>0.3</v>
      </c>
    </row>
    <row r="61" spans="1:11" x14ac:dyDescent="0.25">
      <c r="A61">
        <v>1</v>
      </c>
      <c r="B61" s="1" t="s">
        <v>333</v>
      </c>
      <c r="C61" t="s">
        <v>288</v>
      </c>
      <c r="D61" t="s">
        <v>31</v>
      </c>
      <c r="E61" s="65" t="s">
        <v>293</v>
      </c>
      <c r="F61" s="65" t="s">
        <v>293</v>
      </c>
      <c r="G61" s="65" t="s">
        <v>293</v>
      </c>
      <c r="H61" t="s">
        <v>262</v>
      </c>
      <c r="I61" s="56">
        <v>0.3</v>
      </c>
    </row>
    <row r="62" spans="1:11" x14ac:dyDescent="0.25">
      <c r="A62">
        <v>1</v>
      </c>
      <c r="B62" s="1" t="s">
        <v>334</v>
      </c>
      <c r="C62" t="s">
        <v>288</v>
      </c>
      <c r="D62" t="s">
        <v>31</v>
      </c>
      <c r="E62" s="65" t="s">
        <v>293</v>
      </c>
      <c r="F62" s="65" t="s">
        <v>293</v>
      </c>
      <c r="G62" s="65" t="s">
        <v>293</v>
      </c>
      <c r="H62" t="s">
        <v>262</v>
      </c>
      <c r="I62" s="56">
        <v>0.3</v>
      </c>
    </row>
    <row r="63" spans="1:11" x14ac:dyDescent="0.25">
      <c r="A63">
        <v>1</v>
      </c>
      <c r="B63" s="1" t="s">
        <v>335</v>
      </c>
      <c r="C63" t="s">
        <v>288</v>
      </c>
      <c r="D63" t="s">
        <v>31</v>
      </c>
      <c r="E63" s="65" t="s">
        <v>293</v>
      </c>
      <c r="F63" s="65" t="s">
        <v>293</v>
      </c>
      <c r="G63" s="65" t="s">
        <v>293</v>
      </c>
      <c r="H63" t="s">
        <v>262</v>
      </c>
      <c r="I63" s="56">
        <v>0.3</v>
      </c>
    </row>
    <row r="64" spans="1:11" x14ac:dyDescent="0.25">
      <c r="A64">
        <v>1</v>
      </c>
      <c r="B64" s="1" t="s">
        <v>336</v>
      </c>
      <c r="C64" t="s">
        <v>288</v>
      </c>
      <c r="D64" t="s">
        <v>31</v>
      </c>
      <c r="E64" s="65" t="s">
        <v>293</v>
      </c>
      <c r="F64" s="65" t="s">
        <v>293</v>
      </c>
      <c r="G64" s="65" t="s">
        <v>293</v>
      </c>
      <c r="H64" t="s">
        <v>262</v>
      </c>
      <c r="I64" s="56">
        <v>0.3</v>
      </c>
    </row>
    <row r="65" spans="1:9" x14ac:dyDescent="0.25">
      <c r="A65">
        <v>1</v>
      </c>
      <c r="B65" s="1" t="s">
        <v>337</v>
      </c>
      <c r="C65" t="s">
        <v>288</v>
      </c>
      <c r="D65" t="s">
        <v>31</v>
      </c>
      <c r="E65" s="65" t="s">
        <v>293</v>
      </c>
      <c r="F65" s="65" t="s">
        <v>293</v>
      </c>
      <c r="G65" s="65" t="s">
        <v>293</v>
      </c>
      <c r="H65" t="s">
        <v>262</v>
      </c>
      <c r="I65" s="56">
        <v>0.3</v>
      </c>
    </row>
    <row r="66" spans="1:9" x14ac:dyDescent="0.25">
      <c r="A66">
        <v>1</v>
      </c>
      <c r="B66" s="1" t="s">
        <v>338</v>
      </c>
      <c r="C66" t="s">
        <v>288</v>
      </c>
      <c r="D66" t="s">
        <v>31</v>
      </c>
      <c r="E66" s="65" t="s">
        <v>293</v>
      </c>
      <c r="F66" s="65" t="s">
        <v>293</v>
      </c>
      <c r="G66" s="65" t="s">
        <v>293</v>
      </c>
      <c r="H66" t="s">
        <v>262</v>
      </c>
      <c r="I66" s="56">
        <v>0.3</v>
      </c>
    </row>
    <row r="67" spans="1:9" x14ac:dyDescent="0.25">
      <c r="A67">
        <v>1</v>
      </c>
      <c r="B67" s="1" t="s">
        <v>339</v>
      </c>
      <c r="C67" t="s">
        <v>340</v>
      </c>
      <c r="D67" t="s">
        <v>31</v>
      </c>
      <c r="E67" s="65">
        <v>3360</v>
      </c>
      <c r="F67" s="65">
        <v>712.8</v>
      </c>
      <c r="G67" s="66">
        <v>16</v>
      </c>
      <c r="H67" t="s">
        <v>319</v>
      </c>
      <c r="I67" s="56">
        <v>0.3</v>
      </c>
    </row>
    <row r="68" spans="1:9" x14ac:dyDescent="0.25">
      <c r="A68">
        <v>1</v>
      </c>
      <c r="B68" s="1" t="s">
        <v>341</v>
      </c>
      <c r="C68" t="s">
        <v>342</v>
      </c>
      <c r="D68" t="s">
        <v>31</v>
      </c>
      <c r="E68" s="65">
        <v>16200</v>
      </c>
      <c r="F68" s="65">
        <v>712.8</v>
      </c>
      <c r="G68" s="66">
        <v>80</v>
      </c>
      <c r="H68" t="s">
        <v>319</v>
      </c>
      <c r="I68" s="56">
        <v>0.5</v>
      </c>
    </row>
    <row r="69" spans="1:9" x14ac:dyDescent="0.25">
      <c r="A69">
        <v>1</v>
      </c>
      <c r="B69" s="1" t="s">
        <v>343</v>
      </c>
      <c r="C69" t="s">
        <v>102</v>
      </c>
      <c r="D69" t="s">
        <v>31</v>
      </c>
      <c r="E69" s="65">
        <v>1600</v>
      </c>
      <c r="F69" s="65">
        <v>4718.3</v>
      </c>
      <c r="G69" s="66">
        <v>8</v>
      </c>
      <c r="H69" t="s">
        <v>319</v>
      </c>
      <c r="I69" s="56">
        <v>0.8</v>
      </c>
    </row>
    <row r="70" spans="1:9" x14ac:dyDescent="0.25">
      <c r="A70">
        <v>1</v>
      </c>
      <c r="B70" s="1" t="s">
        <v>344</v>
      </c>
      <c r="C70" t="s">
        <v>345</v>
      </c>
      <c r="D70" t="s">
        <v>31</v>
      </c>
      <c r="E70" s="65" t="s">
        <v>289</v>
      </c>
      <c r="F70" s="65" t="s">
        <v>289</v>
      </c>
      <c r="G70" s="66" t="s">
        <v>289</v>
      </c>
      <c r="H70" t="s">
        <v>319</v>
      </c>
      <c r="I70" s="56">
        <v>0.3</v>
      </c>
    </row>
    <row r="71" spans="1:9" x14ac:dyDescent="0.25">
      <c r="A71">
        <v>1</v>
      </c>
      <c r="B71" s="1" t="s">
        <v>346</v>
      </c>
      <c r="C71" t="s">
        <v>48</v>
      </c>
      <c r="D71" t="s">
        <v>31</v>
      </c>
      <c r="E71" s="65">
        <v>3360</v>
      </c>
      <c r="F71" s="65">
        <v>356.4</v>
      </c>
      <c r="G71" s="66">
        <v>16</v>
      </c>
      <c r="H71" t="s">
        <v>319</v>
      </c>
      <c r="I71" s="56">
        <v>0.3</v>
      </c>
    </row>
    <row r="72" spans="1:9" x14ac:dyDescent="0.25">
      <c r="A72">
        <v>1</v>
      </c>
      <c r="B72" s="1" t="s">
        <v>347</v>
      </c>
      <c r="C72" t="s">
        <v>348</v>
      </c>
      <c r="D72" t="s">
        <v>31</v>
      </c>
      <c r="E72" s="65">
        <v>25200</v>
      </c>
      <c r="F72" s="65">
        <v>1045.44</v>
      </c>
      <c r="G72" s="66">
        <v>120</v>
      </c>
      <c r="H72" t="s">
        <v>319</v>
      </c>
      <c r="I72" s="56">
        <v>0.3</v>
      </c>
    </row>
    <row r="73" spans="1:9" x14ac:dyDescent="0.25">
      <c r="A73">
        <v>1</v>
      </c>
      <c r="B73" s="1" t="s">
        <v>349</v>
      </c>
      <c r="C73" t="s">
        <v>144</v>
      </c>
      <c r="D73" t="s">
        <v>31</v>
      </c>
      <c r="E73" s="65">
        <v>3360</v>
      </c>
      <c r="F73" s="65">
        <v>712.8</v>
      </c>
      <c r="G73" s="66">
        <v>16</v>
      </c>
      <c r="H73" t="s">
        <v>319</v>
      </c>
      <c r="I73" s="56">
        <v>0.3</v>
      </c>
    </row>
    <row r="74" spans="1:9" x14ac:dyDescent="0.25">
      <c r="A74">
        <v>1</v>
      </c>
      <c r="B74" s="1" t="s">
        <v>350</v>
      </c>
      <c r="C74" t="s">
        <v>63</v>
      </c>
      <c r="D74" t="s">
        <v>31</v>
      </c>
      <c r="E74" s="65">
        <v>3360</v>
      </c>
      <c r="F74" s="65">
        <v>196.42</v>
      </c>
      <c r="G74" s="66">
        <v>16</v>
      </c>
      <c r="H74" t="s">
        <v>319</v>
      </c>
      <c r="I74" s="56">
        <v>0.5</v>
      </c>
    </row>
    <row r="75" spans="1:9" x14ac:dyDescent="0.25">
      <c r="A75">
        <v>1</v>
      </c>
      <c r="B75" s="1" t="s">
        <v>351</v>
      </c>
      <c r="C75" t="s">
        <v>352</v>
      </c>
      <c r="D75" t="s">
        <v>31</v>
      </c>
      <c r="E75" s="65">
        <v>5040</v>
      </c>
      <c r="F75" s="65">
        <v>1140.48</v>
      </c>
      <c r="G75" s="66">
        <v>24</v>
      </c>
      <c r="H75" t="s">
        <v>319</v>
      </c>
      <c r="I75" s="56">
        <v>0.8</v>
      </c>
    </row>
    <row r="76" spans="1:9" x14ac:dyDescent="0.25">
      <c r="A76">
        <v>1</v>
      </c>
      <c r="B76" s="1" t="s">
        <v>353</v>
      </c>
      <c r="C76" t="s">
        <v>117</v>
      </c>
      <c r="D76" t="s">
        <v>31</v>
      </c>
      <c r="E76" s="65">
        <v>0</v>
      </c>
      <c r="F76" s="65">
        <v>2613.6</v>
      </c>
      <c r="G76" s="66">
        <v>0</v>
      </c>
      <c r="H76" t="s">
        <v>319</v>
      </c>
      <c r="I76" s="56">
        <v>0.3</v>
      </c>
    </row>
    <row r="77" spans="1:9" x14ac:dyDescent="0.25">
      <c r="A77">
        <v>1</v>
      </c>
      <c r="B77" s="1" t="s">
        <v>354</v>
      </c>
      <c r="C77" t="s">
        <v>24</v>
      </c>
      <c r="D77" t="s">
        <v>31</v>
      </c>
      <c r="E77" s="65">
        <v>3360</v>
      </c>
      <c r="F77" s="65">
        <v>0</v>
      </c>
      <c r="G77" s="66">
        <v>16</v>
      </c>
      <c r="H77" t="s">
        <v>319</v>
      </c>
      <c r="I77" s="56">
        <v>0.3</v>
      </c>
    </row>
    <row r="78" spans="1:9" x14ac:dyDescent="0.25">
      <c r="A78">
        <v>1</v>
      </c>
      <c r="B78" s="1" t="s">
        <v>355</v>
      </c>
      <c r="C78" t="s">
        <v>69</v>
      </c>
      <c r="D78" t="s">
        <v>31</v>
      </c>
      <c r="E78" s="65">
        <v>13100</v>
      </c>
      <c r="F78" s="65">
        <v>1700</v>
      </c>
      <c r="G78" s="66">
        <v>80</v>
      </c>
      <c r="H78" t="s">
        <v>319</v>
      </c>
      <c r="I78" s="56">
        <v>0.3</v>
      </c>
    </row>
    <row r="79" spans="1:9" x14ac:dyDescent="0.25">
      <c r="A79">
        <v>1</v>
      </c>
      <c r="B79" s="1" t="s">
        <v>356</v>
      </c>
      <c r="C79" t="s">
        <v>52</v>
      </c>
      <c r="D79" t="s">
        <v>31</v>
      </c>
      <c r="E79" s="65" t="s">
        <v>289</v>
      </c>
      <c r="F79" s="65" t="s">
        <v>289</v>
      </c>
      <c r="G79" s="65" t="s">
        <v>289</v>
      </c>
      <c r="H79" t="s">
        <v>319</v>
      </c>
      <c r="I79" s="56">
        <v>0.3</v>
      </c>
    </row>
    <row r="80" spans="1:9" x14ac:dyDescent="0.25">
      <c r="A80">
        <v>1</v>
      </c>
      <c r="B80" s="1" t="s">
        <v>357</v>
      </c>
      <c r="C80" t="s">
        <v>40</v>
      </c>
      <c r="D80" t="s">
        <v>31</v>
      </c>
      <c r="E80" s="65">
        <v>10671</v>
      </c>
      <c r="F80" s="65">
        <v>1680</v>
      </c>
      <c r="G80" s="66">
        <v>8</v>
      </c>
      <c r="H80" t="s">
        <v>319</v>
      </c>
      <c r="I80" s="56">
        <v>0.3</v>
      </c>
    </row>
    <row r="81" spans="1:9" x14ac:dyDescent="0.25">
      <c r="A81">
        <v>1</v>
      </c>
      <c r="B81" s="1" t="s">
        <v>358</v>
      </c>
      <c r="C81" t="s">
        <v>52</v>
      </c>
      <c r="D81" t="s">
        <v>31</v>
      </c>
      <c r="E81" s="65">
        <v>8100</v>
      </c>
      <c r="F81" s="65">
        <v>1080</v>
      </c>
      <c r="G81" s="66">
        <v>60</v>
      </c>
      <c r="H81" t="s">
        <v>319</v>
      </c>
      <c r="I81" s="56">
        <v>0.3</v>
      </c>
    </row>
    <row r="82" spans="1:9" x14ac:dyDescent="0.25">
      <c r="A82">
        <v>1</v>
      </c>
      <c r="B82" s="1" t="s">
        <v>359</v>
      </c>
      <c r="C82" t="s">
        <v>54</v>
      </c>
      <c r="D82" t="s">
        <v>31</v>
      </c>
      <c r="E82" s="65">
        <v>29400</v>
      </c>
      <c r="F82" s="65">
        <v>0</v>
      </c>
      <c r="G82" s="66">
        <v>160</v>
      </c>
      <c r="H82" t="s">
        <v>319</v>
      </c>
      <c r="I82" s="56">
        <v>0.3</v>
      </c>
    </row>
    <row r="83" spans="1:9" x14ac:dyDescent="0.25">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5" x14ac:dyDescent="0.25"/>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DE1" workbookViewId="0">
      <selection activeCell="DQ18" sqref="DQ18"/>
    </sheetView>
  </sheetViews>
  <sheetFormatPr defaultRowHeight="15" outlineLevelCol="1" x14ac:dyDescent="0.25"/>
  <cols>
    <col min="1" max="1" width="29.140625" hidden="1" customWidth="1" outlineLevel="1"/>
    <col min="2" max="2" width="15.5703125" hidden="1" customWidth="1" outlineLevel="1"/>
    <col min="3" max="3" width="11.7109375" hidden="1" customWidth="1" outlineLevel="1"/>
    <col min="4" max="4" width="15.85546875" hidden="1" customWidth="1" outlineLevel="1"/>
    <col min="5" max="5" width="5.7109375" hidden="1" customWidth="1" outlineLevel="1"/>
    <col min="6" max="6" width="13.5703125" hidden="1" customWidth="1" outlineLevel="1"/>
    <col min="7" max="7" width="10.7109375" hidden="1" customWidth="1" outlineLevel="1"/>
    <col min="8" max="8" width="12.42578125" hidden="1" customWidth="1" outlineLevel="1"/>
    <col min="9" max="10" width="13.5703125" hidden="1" customWidth="1" outlineLevel="1"/>
    <col min="11" max="11" width="12.85546875" hidden="1" customWidth="1" outlineLevel="1"/>
    <col min="12" max="12" width="5" hidden="1" customWidth="1" outlineLevel="1"/>
    <col min="13" max="13" width="11.42578125" hidden="1" customWidth="1" outlineLevel="1"/>
    <col min="14" max="15" width="12.42578125" hidden="1" customWidth="1" outlineLevel="1"/>
    <col min="16" max="16" width="15.5703125" hidden="1" customWidth="1" outlineLevel="1"/>
    <col min="17" max="17" width="35.42578125" hidden="1" customWidth="1" outlineLevel="1"/>
    <col min="18" max="19" width="10.7109375" hidden="1" customWidth="1" outlineLevel="1"/>
    <col min="20" max="21" width="7.85546875" hidden="1" customWidth="1" outlineLevel="1"/>
    <col min="22" max="22" width="5.7109375" hidden="1" customWidth="1" outlineLevel="1"/>
    <col min="23" max="23" width="10.42578125" hidden="1" customWidth="1" outlineLevel="1"/>
    <col min="24" max="24" width="7" hidden="1" customWidth="1" outlineLevel="1"/>
    <col min="25" max="25" width="10.7109375" hidden="1" customWidth="1" outlineLevel="1"/>
    <col min="26" max="26" width="14.7109375" hidden="1" customWidth="1" outlineLevel="1"/>
    <col min="27" max="27" width="7.42578125" hidden="1" customWidth="1" outlineLevel="1"/>
    <col min="28" max="28" width="24.5703125" hidden="1" customWidth="1" outlineLevel="1"/>
    <col min="29" max="29" width="5" hidden="1" customWidth="1" outlineLevel="1"/>
    <col min="30" max="30" width="12.42578125" hidden="1" customWidth="1" outlineLevel="1"/>
    <col min="31" max="32" width="13.5703125" hidden="1" customWidth="1" outlineLevel="1"/>
    <col min="33" max="33" width="5.7109375" style="72" hidden="1" customWidth="1" outlineLevel="1"/>
    <col min="34" max="34" width="35.42578125" hidden="1" customWidth="1" outlineLevel="1"/>
    <col min="35" max="35" width="15.5703125" hidden="1" customWidth="1" outlineLevel="1"/>
    <col min="36" max="36" width="10.7109375" hidden="1" customWidth="1" outlineLevel="1"/>
    <col min="37" max="37" width="7.85546875" hidden="1" customWidth="1" outlineLevel="1"/>
    <col min="38" max="38" width="5.7109375" hidden="1" customWidth="1" outlineLevel="1"/>
    <col min="39" max="39" width="10.42578125" hidden="1" customWidth="1" outlineLevel="1"/>
    <col min="40" max="40" width="14.42578125" hidden="1" customWidth="1" outlineLevel="1"/>
    <col min="41" max="41" width="10.5703125" hidden="1" customWidth="1" outlineLevel="1"/>
    <col min="42" max="42" width="8" hidden="1" customWidth="1" outlineLevel="1"/>
    <col min="43" max="43" width="19.5703125" hidden="1" customWidth="1" outlineLevel="1"/>
    <col min="44" max="44" width="24.5703125" hidden="1" customWidth="1" outlineLevel="1"/>
    <col min="45" max="45" width="5" hidden="1" customWidth="1" outlineLevel="1"/>
    <col min="46" max="46" width="12.42578125" hidden="1" customWidth="1" outlineLevel="1"/>
    <col min="47" max="48" width="13.5703125" hidden="1" customWidth="1" outlineLevel="1"/>
    <col min="49" max="49" width="8.85546875" hidden="1" customWidth="1" outlineLevel="1"/>
    <col min="50" max="50" width="9.140625" customWidth="1" collapsed="1"/>
    <col min="51" max="51" width="29.140625" hidden="1" customWidth="1" outlineLevel="1"/>
    <col min="52" max="52" width="15.5703125" hidden="1" customWidth="1" outlineLevel="1"/>
    <col min="53" max="53" width="11.7109375" hidden="1" customWidth="1" outlineLevel="1"/>
    <col min="54" max="54" width="15.85546875" hidden="1" customWidth="1" outlineLevel="1"/>
    <col min="55" max="55" width="5.7109375" hidden="1" customWidth="1" outlineLevel="1"/>
    <col min="56" max="56" width="13.5703125" hidden="1" customWidth="1" outlineLevel="1"/>
    <col min="57" max="57" width="10.7109375" hidden="1" customWidth="1" outlineLevel="1"/>
    <col min="58" max="58" width="16.5703125" hidden="1" customWidth="1" outlineLevel="1"/>
    <col min="59" max="60" width="13.5703125" hidden="1" customWidth="1" outlineLevel="1"/>
    <col min="61" max="61" width="12.85546875" hidden="1" customWidth="1" outlineLevel="1"/>
    <col min="62" max="62" width="5" hidden="1" customWidth="1" outlineLevel="1"/>
    <col min="63" max="63" width="11.42578125" hidden="1" customWidth="1" outlineLevel="1"/>
    <col min="64" max="65" width="12.42578125" hidden="1" customWidth="1" outlineLevel="1"/>
    <col min="66" max="66" width="15.5703125" hidden="1" customWidth="1" outlineLevel="1"/>
    <col min="67" max="67" width="35.42578125" hidden="1" customWidth="1" outlineLevel="1"/>
    <col min="68" max="69" width="10.7109375" hidden="1" customWidth="1" outlineLevel="1"/>
    <col min="70" max="71" width="7.85546875" hidden="1" customWidth="1" outlineLevel="1"/>
    <col min="72" max="72" width="5.7109375" hidden="1" customWidth="1" outlineLevel="1"/>
    <col min="73" max="73" width="10.42578125" hidden="1" customWidth="1" outlineLevel="1"/>
    <col min="74" max="74" width="7" hidden="1" customWidth="1" outlineLevel="1"/>
    <col min="75" max="75" width="10.7109375" hidden="1" customWidth="1" outlineLevel="1"/>
    <col min="76" max="76" width="14.7109375" hidden="1" customWidth="1" outlineLevel="1"/>
    <col min="77" max="77" width="7.42578125" hidden="1" customWidth="1" outlineLevel="1"/>
    <col min="78" max="78" width="24.5703125" hidden="1" customWidth="1" outlineLevel="1"/>
    <col min="79" max="79" width="5" hidden="1" customWidth="1" outlineLevel="1"/>
    <col min="80" max="80" width="12.42578125" hidden="1" customWidth="1" outlineLevel="1"/>
    <col min="81" max="82" width="13.5703125" hidden="1" customWidth="1" outlineLevel="1"/>
    <col min="83" max="83" width="5.7109375" style="72" hidden="1" customWidth="1" outlineLevel="1"/>
    <col min="84" max="84" width="35.42578125" hidden="1" customWidth="1" outlineLevel="1"/>
    <col min="85" max="85" width="15.5703125" hidden="1" customWidth="1" outlineLevel="1"/>
    <col min="86" max="86" width="10.7109375" hidden="1" customWidth="1" outlineLevel="1"/>
    <col min="87" max="87" width="7.85546875" hidden="1" customWidth="1" outlineLevel="1"/>
    <col min="88" max="88" width="5.7109375" hidden="1" customWidth="1" outlineLevel="1"/>
    <col min="89" max="89" width="10.42578125" hidden="1" customWidth="1" outlineLevel="1"/>
    <col min="90" max="90" width="14.42578125" hidden="1" customWidth="1" outlineLevel="1"/>
    <col min="91" max="91" width="10.5703125" hidden="1" customWidth="1" outlineLevel="1"/>
    <col min="92" max="92" width="8" hidden="1" customWidth="1" outlineLevel="1"/>
    <col min="93" max="93" width="19.5703125" hidden="1" customWidth="1" outlineLevel="1"/>
    <col min="94" max="94" width="24.5703125" hidden="1" customWidth="1" outlineLevel="1"/>
    <col min="95" max="95" width="5" hidden="1" customWidth="1" outlineLevel="1"/>
    <col min="96" max="96" width="12.42578125" hidden="1" customWidth="1" outlineLevel="1"/>
    <col min="97" max="98" width="13.5703125" hidden="1" customWidth="1" outlineLevel="1"/>
    <col min="99" max="99" width="8.85546875" customWidth="1" collapsed="1"/>
    <col min="101" max="101" width="46.28515625" bestFit="1" customWidth="1"/>
    <col min="102" max="103" width="12.28515625" bestFit="1" customWidth="1"/>
    <col min="104" max="104" width="7.85546875" bestFit="1" customWidth="1"/>
    <col min="106" max="106" width="10.42578125" bestFit="1" customWidth="1"/>
    <col min="107" max="107" width="7.140625" bestFit="1" customWidth="1"/>
    <col min="108" max="108" width="17.85546875" bestFit="1" customWidth="1"/>
    <col min="109" max="109" width="10" bestFit="1" customWidth="1"/>
    <col min="110" max="110" width="8.5703125" bestFit="1" customWidth="1"/>
    <col min="111" max="111" width="26.85546875" bestFit="1" customWidth="1"/>
    <col min="112" max="112" width="5.140625" bestFit="1" customWidth="1"/>
    <col min="113" max="115" width="13" bestFit="1" customWidth="1"/>
    <col min="117" max="117" width="46.28515625" bestFit="1" customWidth="1"/>
    <col min="118" max="119" width="10.42578125" bestFit="1" customWidth="1"/>
    <col min="120" max="120" width="7.7109375" bestFit="1" customWidth="1"/>
    <col min="123" max="123" width="10.28515625" bestFit="1" customWidth="1"/>
    <col min="124" max="124" width="7" bestFit="1" customWidth="1"/>
    <col min="125" max="125" width="11.7109375" bestFit="1" customWidth="1"/>
    <col min="126" max="126" width="11" bestFit="1" customWidth="1"/>
    <col min="127" max="127" width="7.28515625" bestFit="1" customWidth="1"/>
    <col min="128" max="128" width="26.85546875" bestFit="1" customWidth="1"/>
    <col min="129" max="129" width="5" bestFit="1" customWidth="1"/>
    <col min="130" max="132" width="12.85546875" bestFit="1" customWidth="1"/>
    <col min="134" max="134" width="46.28515625" bestFit="1" customWidth="1"/>
    <col min="135" max="136" width="10.42578125" bestFit="1" customWidth="1"/>
    <col min="137" max="137" width="7.7109375" bestFit="1" customWidth="1"/>
    <col min="139" max="139" width="10.28515625" bestFit="1" customWidth="1"/>
    <col min="140" max="140" width="7" bestFit="1" customWidth="1"/>
    <col min="141" max="141" width="11.5703125" bestFit="1" customWidth="1"/>
    <col min="142" max="142" width="10" bestFit="1" customWidth="1"/>
    <col min="143" max="143" width="14.28515625" bestFit="1" customWidth="1"/>
    <col min="144" max="144" width="26.85546875" bestFit="1" customWidth="1"/>
    <col min="145" max="145" width="5" bestFit="1" customWidth="1"/>
    <col min="146" max="148" width="12.85546875" bestFit="1" customWidth="1"/>
  </cols>
  <sheetData>
    <row r="1" spans="1:148" x14ac:dyDescent="0.25">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25">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25">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25">
      <c r="P4" s="72"/>
      <c r="V4" s="72"/>
      <c r="BN4" s="72"/>
      <c r="BT4" s="72"/>
      <c r="DR4" s="72"/>
    </row>
    <row r="5" spans="1:148" x14ac:dyDescent="0.25">
      <c r="A5" s="396" t="s">
        <v>185</v>
      </c>
      <c r="B5" s="395"/>
      <c r="C5" s="395"/>
      <c r="D5" s="395"/>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6" t="s">
        <v>185</v>
      </c>
      <c r="AZ5" s="395"/>
      <c r="BA5" s="395"/>
      <c r="BB5" s="395"/>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7" t="s">
        <v>185</v>
      </c>
      <c r="CX5" s="395"/>
      <c r="CY5" s="395"/>
      <c r="CZ5" s="395"/>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25">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25">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25">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25">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25">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25">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25">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25">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25">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25">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25">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25">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25">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25">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25">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25">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25">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25">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25">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25">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25">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25">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25">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25">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25">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25">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25">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25">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25">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25">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25">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25">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25">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25">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25">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25">
      <c r="A46" s="260" t="s">
        <v>510</v>
      </c>
      <c r="B46" s="260" t="s">
        <v>511</v>
      </c>
      <c r="C46" s="263">
        <v>1</v>
      </c>
      <c r="BA46" s="32"/>
    </row>
    <row r="47" spans="1:119" x14ac:dyDescent="0.25">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12" workbookViewId="0">
      <selection activeCell="D130" sqref="D130"/>
    </sheetView>
  </sheetViews>
  <sheetFormatPr defaultColWidth="9.140625" defaultRowHeight="12.75" x14ac:dyDescent="0.2"/>
  <cols>
    <col min="1" max="1" width="10.42578125" style="246" bestFit="1" customWidth="1"/>
    <col min="2" max="2" width="14.42578125" style="248" bestFit="1" customWidth="1"/>
    <col min="3" max="3" width="32.42578125" style="246" bestFit="1" customWidth="1"/>
    <col min="4" max="4" width="15.85546875" style="246" bestFit="1" customWidth="1"/>
    <col min="5" max="5" width="19.5703125" style="246" bestFit="1" customWidth="1"/>
    <col min="6" max="6" width="24.5703125" style="246" bestFit="1" customWidth="1"/>
    <col min="7" max="7" width="11.85546875" style="246" bestFit="1" customWidth="1"/>
    <col min="8" max="8" width="12.42578125" style="246" bestFit="1" customWidth="1"/>
    <col min="9" max="10" width="13.5703125" style="246" bestFit="1" customWidth="1"/>
    <col min="11" max="11" width="16.42578125" style="246" bestFit="1" customWidth="1"/>
    <col min="12" max="12" width="20.42578125" style="246" bestFit="1" customWidth="1"/>
    <col min="13" max="13" width="14.140625" style="246" bestFit="1" customWidth="1"/>
    <col min="14" max="15" width="19" style="246" bestFit="1" customWidth="1"/>
    <col min="16" max="16" width="9.7109375" style="246" bestFit="1" customWidth="1"/>
    <col min="17" max="17" width="22.5703125" style="246" bestFit="1" customWidth="1"/>
    <col min="18" max="18" width="6.28515625" style="246" customWidth="1"/>
    <col min="19" max="19" width="9.5703125" style="246" bestFit="1" customWidth="1"/>
    <col min="20" max="20" width="10.28515625" style="246" bestFit="1" customWidth="1"/>
    <col min="21" max="21" width="18.42578125" style="246" bestFit="1" customWidth="1"/>
    <col min="22" max="22" width="9.140625" style="246" customWidth="1"/>
    <col min="23" max="16384" width="9.140625" style="246"/>
  </cols>
  <sheetData>
    <row r="1" spans="1:21" x14ac:dyDescent="0.2">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2">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2">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2">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2">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2">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2">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2">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2">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2">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2">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2">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2">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2">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2">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2">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2">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2">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2">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2">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2">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2">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2">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2">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2">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2">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2">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2">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2">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2">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2">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2">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2">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2">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2">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2">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2">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2">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2">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2">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2">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2">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2">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2">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2">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2">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2">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2">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2">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2">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2">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2">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2">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2">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2">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2">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2">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2">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2">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2">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2">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2">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ht="13.5" x14ac:dyDescent="0.25">
      <c r="C65" s="110" t="s">
        <v>512</v>
      </c>
      <c r="D65" s="111"/>
      <c r="E65" s="111"/>
      <c r="F65" s="111"/>
      <c r="G65" s="111"/>
      <c r="H65" s="111"/>
      <c r="I65" s="111"/>
      <c r="J65" s="111"/>
      <c r="K65" s="111"/>
      <c r="L65" s="111"/>
      <c r="M65" s="111"/>
      <c r="N65" s="111"/>
    </row>
    <row r="66" spans="3:14" x14ac:dyDescent="0.2">
      <c r="C66" s="112" t="s">
        <v>183</v>
      </c>
      <c r="D66" s="112"/>
      <c r="E66" s="112"/>
      <c r="F66" s="112"/>
      <c r="G66" s="112"/>
      <c r="H66" s="112"/>
      <c r="I66" s="112"/>
      <c r="J66" s="112"/>
      <c r="K66" s="112"/>
      <c r="L66" s="112"/>
      <c r="M66" s="112"/>
      <c r="N66" s="112"/>
    </row>
    <row r="67" spans="3:14" x14ac:dyDescent="0.2">
      <c r="C67" s="408" t="s">
        <v>185</v>
      </c>
      <c r="D67" s="404"/>
      <c r="E67" s="404"/>
      <c r="F67" s="404"/>
      <c r="G67" s="409" t="s">
        <v>186</v>
      </c>
      <c r="H67" s="404"/>
      <c r="I67" s="404"/>
      <c r="J67" s="404"/>
      <c r="K67" s="403" t="s">
        <v>187</v>
      </c>
      <c r="L67" s="404"/>
      <c r="M67" s="404"/>
      <c r="N67" s="404"/>
    </row>
    <row r="68" spans="3:14" x14ac:dyDescent="0.2">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2">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2">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2">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2">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2">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2">
      <c r="C75" s="411" t="s">
        <v>513</v>
      </c>
      <c r="D75" s="404"/>
      <c r="E75" s="404"/>
      <c r="F75" s="404"/>
      <c r="G75" s="404"/>
      <c r="H75" s="404"/>
      <c r="I75" s="404"/>
      <c r="J75" s="404"/>
    </row>
    <row r="76" spans="3:14" x14ac:dyDescent="0.2">
      <c r="C76" s="123"/>
      <c r="D76" s="115"/>
      <c r="E76" s="115"/>
      <c r="F76" s="115"/>
      <c r="G76" s="117"/>
      <c r="H76" s="124"/>
      <c r="I76" s="124"/>
      <c r="J76" s="124"/>
    </row>
    <row r="77" spans="3:14" x14ac:dyDescent="0.2">
      <c r="C77" s="124"/>
      <c r="D77" s="124"/>
      <c r="E77" s="124"/>
      <c r="F77" s="124"/>
      <c r="G77" s="117"/>
      <c r="H77" s="124"/>
      <c r="I77" s="124"/>
      <c r="J77" s="124"/>
    </row>
    <row r="78" spans="3:14" x14ac:dyDescent="0.2">
      <c r="C78" s="124"/>
      <c r="D78" s="124"/>
      <c r="E78" s="125" t="s">
        <v>514</v>
      </c>
      <c r="F78" s="114"/>
      <c r="G78" s="114"/>
      <c r="H78" s="126"/>
      <c r="I78" s="124"/>
      <c r="J78" s="124"/>
    </row>
    <row r="79" spans="3:14" x14ac:dyDescent="0.2">
      <c r="C79" s="124"/>
      <c r="D79" s="124"/>
      <c r="E79" s="125"/>
      <c r="F79" s="114" t="s">
        <v>515</v>
      </c>
      <c r="G79" s="114" t="s">
        <v>516</v>
      </c>
      <c r="H79" s="127" t="s">
        <v>30</v>
      </c>
      <c r="I79" s="124"/>
      <c r="J79" s="124"/>
    </row>
    <row r="80" spans="3:14" x14ac:dyDescent="0.2">
      <c r="C80" s="124"/>
      <c r="D80" s="124"/>
      <c r="E80" s="128" t="s">
        <v>517</v>
      </c>
      <c r="F80" s="129">
        <v>0.1</v>
      </c>
      <c r="G80" s="130">
        <v>7.0000000000000001E-3</v>
      </c>
      <c r="H80" s="130">
        <v>0.1</v>
      </c>
      <c r="I80" s="124"/>
      <c r="J80" s="124"/>
    </row>
    <row r="81" spans="3:13" x14ac:dyDescent="0.2">
      <c r="C81" s="124"/>
      <c r="D81" s="124"/>
      <c r="E81" s="128" t="s">
        <v>518</v>
      </c>
      <c r="F81" s="129">
        <v>0.1</v>
      </c>
      <c r="G81" s="130">
        <v>7.0000000000000001E-3</v>
      </c>
      <c r="H81" s="130">
        <v>0.1</v>
      </c>
      <c r="I81" s="124"/>
      <c r="J81" s="124"/>
    </row>
    <row r="82" spans="3:13" x14ac:dyDescent="0.2">
      <c r="C82" s="128"/>
      <c r="D82" s="131"/>
      <c r="E82" s="132" t="s">
        <v>519</v>
      </c>
      <c r="F82" s="133">
        <v>0.1</v>
      </c>
      <c r="G82" s="134">
        <v>7.0000000000000001E-3</v>
      </c>
      <c r="H82" s="134">
        <v>0.1</v>
      </c>
      <c r="I82" s="124"/>
      <c r="J82" s="124"/>
    </row>
    <row r="84" spans="3:13" ht="14.45" customHeight="1" x14ac:dyDescent="0.2">
      <c r="C84" s="407" t="s">
        <v>520</v>
      </c>
      <c r="D84" s="404"/>
      <c r="E84" s="404"/>
      <c r="F84" s="404"/>
      <c r="G84" s="404"/>
      <c r="H84" s="404"/>
      <c r="I84" s="404"/>
      <c r="J84" s="404"/>
    </row>
    <row r="85" spans="3:13" ht="14.45" customHeight="1" x14ac:dyDescent="0.2"/>
    <row r="86" spans="3:13" ht="14.45" customHeight="1" x14ac:dyDescent="0.2">
      <c r="D86" s="135" t="s">
        <v>521</v>
      </c>
      <c r="E86" s="136" t="s">
        <v>522</v>
      </c>
      <c r="F86" s="137" t="s">
        <v>523</v>
      </c>
      <c r="G86" s="137" t="s">
        <v>524</v>
      </c>
      <c r="H86" s="137" t="s">
        <v>525</v>
      </c>
      <c r="I86" s="136" t="s">
        <v>526</v>
      </c>
      <c r="J86" s="136" t="s">
        <v>527</v>
      </c>
      <c r="K86" s="137" t="s">
        <v>528</v>
      </c>
      <c r="L86" s="137" t="s">
        <v>529</v>
      </c>
    </row>
    <row r="87" spans="3:13" ht="14.45" customHeight="1" x14ac:dyDescent="0.2">
      <c r="D87" s="138" t="s">
        <v>258</v>
      </c>
      <c r="E87" s="139">
        <v>97230</v>
      </c>
      <c r="F87" s="139">
        <v>5646.1</v>
      </c>
      <c r="G87" s="139">
        <f>F87*0.1</f>
        <v>564.61</v>
      </c>
      <c r="H87" s="139">
        <v>0</v>
      </c>
      <c r="I87" s="400" t="str">
        <f>IF(J71&lt;100%,"NÃO BATEU","CUMPRIU")</f>
        <v>CUMPRIU</v>
      </c>
      <c r="J87" s="400" t="str">
        <f>IF(J72&lt;100%,"NÃO BATEU","CUMPRIU")</f>
        <v>CUMPRIU</v>
      </c>
      <c r="K87" s="140">
        <f>E87/E106</f>
        <v>0.17525246954035295</v>
      </c>
      <c r="L87" s="141">
        <f>G106*K87</f>
        <v>1138.7060753828953</v>
      </c>
    </row>
    <row r="88" spans="3:13" ht="14.45" customHeight="1" x14ac:dyDescent="0.2">
      <c r="D88" s="138" t="s">
        <v>30</v>
      </c>
      <c r="E88" s="139">
        <v>13507.5</v>
      </c>
      <c r="F88" s="139">
        <v>13507.5</v>
      </c>
      <c r="G88" s="139">
        <f>F88*0.1</f>
        <v>1350.75</v>
      </c>
      <c r="H88" s="139">
        <v>0</v>
      </c>
      <c r="I88" s="402"/>
      <c r="J88" s="402"/>
      <c r="K88" s="140">
        <f>IFERROR(E88/E107,0)</f>
        <v>0.19126213468507483</v>
      </c>
      <c r="L88" s="141">
        <f>G107*K88</f>
        <v>1350.75</v>
      </c>
    </row>
    <row r="89" spans="3:13" ht="14.45" customHeight="1" x14ac:dyDescent="0.25">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5" customHeight="1" x14ac:dyDescent="0.2"/>
    <row r="91" spans="3:13" ht="14.45" customHeight="1" x14ac:dyDescent="0.2">
      <c r="D91" s="135" t="s">
        <v>185</v>
      </c>
      <c r="E91" s="136" t="s">
        <v>530</v>
      </c>
      <c r="F91" s="137" t="s">
        <v>523</v>
      </c>
      <c r="G91" s="137" t="s">
        <v>524</v>
      </c>
      <c r="H91" s="137" t="s">
        <v>525</v>
      </c>
      <c r="I91" s="136" t="s">
        <v>526</v>
      </c>
      <c r="J91" s="136" t="s">
        <v>527</v>
      </c>
      <c r="K91" s="137" t="s">
        <v>528</v>
      </c>
      <c r="L91" s="137" t="s">
        <v>529</v>
      </c>
    </row>
    <row r="92" spans="3:13" ht="14.45" customHeight="1" x14ac:dyDescent="0.2">
      <c r="D92" s="138" t="s">
        <v>258</v>
      </c>
      <c r="E92" s="139">
        <v>31944</v>
      </c>
      <c r="F92" s="147">
        <v>7518.24</v>
      </c>
      <c r="G92" s="139">
        <v>0</v>
      </c>
      <c r="H92" s="139">
        <f>F92*0.1</f>
        <v>751.82400000000007</v>
      </c>
      <c r="I92" s="400" t="str">
        <f>IF(F71&lt;100%,"NÃO BATEU","CUMPRIU")</f>
        <v>NÃO BATEU</v>
      </c>
      <c r="J92" s="400" t="str">
        <f>IF(F72&lt;100%,"NÃO BATEU","CUMPRIU")</f>
        <v>CUMPRIU</v>
      </c>
      <c r="K92" s="140">
        <f>E92/E106</f>
        <v>5.75775469196445E-2</v>
      </c>
      <c r="L92" s="141">
        <f>K92*G106</f>
        <v>374.11114750623477</v>
      </c>
    </row>
    <row r="93" spans="3:13" ht="14.45" customHeight="1" x14ac:dyDescent="0.2">
      <c r="D93" s="138" t="s">
        <v>30</v>
      </c>
      <c r="E93" s="148">
        <v>2011.4</v>
      </c>
      <c r="F93" s="147">
        <v>2011.4</v>
      </c>
      <c r="G93" s="139">
        <v>0</v>
      </c>
      <c r="H93" s="139">
        <f>F93*0.1</f>
        <v>201.14000000000001</v>
      </c>
      <c r="I93" s="401"/>
      <c r="J93" s="401"/>
      <c r="K93" s="140">
        <f>E93/E107</f>
        <v>2.848081863450376E-2</v>
      </c>
      <c r="L93" s="141">
        <f>K93*G107</f>
        <v>201.14000000000001</v>
      </c>
    </row>
    <row r="94" spans="3:13" ht="14.45" customHeight="1" x14ac:dyDescent="0.2">
      <c r="D94" s="138" t="s">
        <v>35</v>
      </c>
      <c r="E94" s="149">
        <v>58464</v>
      </c>
      <c r="F94" s="150">
        <v>547.44000000000005</v>
      </c>
      <c r="G94" s="151">
        <v>0</v>
      </c>
      <c r="H94" s="139">
        <f>F94*0.1</f>
        <v>54.744000000000007</v>
      </c>
      <c r="I94" s="402"/>
      <c r="J94" s="402"/>
      <c r="K94" s="140">
        <f>E94/E106</f>
        <v>0.10537859075601352</v>
      </c>
      <c r="L94" s="141">
        <f>K94*G106</f>
        <v>684.6992902518316</v>
      </c>
    </row>
    <row r="95" spans="3:13" ht="14.45" customHeight="1" x14ac:dyDescent="0.25">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5" customHeight="1" x14ac:dyDescent="0.2"/>
    <row r="97" spans="4:14" ht="14.45" customHeight="1" x14ac:dyDescent="0.2">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5" customHeight="1" x14ac:dyDescent="0.2">
      <c r="D98" s="138" t="s">
        <v>258</v>
      </c>
      <c r="E98" s="139">
        <v>367161.59999999998</v>
      </c>
      <c r="F98" s="139">
        <v>51263.4</v>
      </c>
      <c r="G98" s="139">
        <f>F98*0.1</f>
        <v>5126.34</v>
      </c>
      <c r="H98" s="141">
        <v>0</v>
      </c>
      <c r="I98" s="400" t="str">
        <f>IF(N71&lt;100%,"NÃO BATEU","CUMPRIU")</f>
        <v>CUMPRIU</v>
      </c>
      <c r="J98" s="400" t="str">
        <f>IF(N72&lt;100%,"NÃO BATEU","CUMPRIU")</f>
        <v>CUMPRIU</v>
      </c>
      <c r="K98" s="140">
        <f>E98/E106</f>
        <v>0.66179139278398902</v>
      </c>
      <c r="L98" s="253">
        <f>K98*G106</f>
        <v>4300.0014868590397</v>
      </c>
      <c r="M98" s="156">
        <f>G89*0.1</f>
        <v>191.53600000000003</v>
      </c>
      <c r="N98" s="141">
        <v>3291.09</v>
      </c>
    </row>
    <row r="99" spans="4:14" ht="14.45" customHeight="1" x14ac:dyDescent="0.2">
      <c r="D99" s="138" t="s">
        <v>30</v>
      </c>
      <c r="E99" s="139">
        <v>55104.07</v>
      </c>
      <c r="F99" s="139">
        <v>55104.07</v>
      </c>
      <c r="G99" s="139">
        <f>F99*0.1</f>
        <v>5510.4070000000002</v>
      </c>
      <c r="H99" s="141">
        <v>0</v>
      </c>
      <c r="I99" s="401"/>
      <c r="J99" s="401"/>
      <c r="K99" s="140">
        <f>E99/E107</f>
        <v>0.7802570466804214</v>
      </c>
      <c r="L99" s="253">
        <f>K99*G107</f>
        <v>5510.4070000000002</v>
      </c>
      <c r="M99" s="156">
        <f>H95*0.25</f>
        <v>-251.92700000000002</v>
      </c>
      <c r="N99" s="157">
        <v>3879.73</v>
      </c>
    </row>
    <row r="100" spans="4:14" ht="14.45" customHeight="1" x14ac:dyDescent="0.2">
      <c r="D100" s="138" t="s">
        <v>35</v>
      </c>
      <c r="E100" s="139">
        <v>0</v>
      </c>
      <c r="F100" s="139">
        <v>0</v>
      </c>
      <c r="G100" s="139">
        <f>F100*0.1</f>
        <v>0</v>
      </c>
      <c r="H100" s="141">
        <v>0</v>
      </c>
      <c r="I100" s="401"/>
      <c r="J100" s="401"/>
      <c r="K100" s="140">
        <f>E100/E106</f>
        <v>0</v>
      </c>
      <c r="L100" s="253">
        <f>K100*G106</f>
        <v>0</v>
      </c>
      <c r="M100" s="156">
        <f>K100*G106</f>
        <v>0</v>
      </c>
      <c r="N100" s="141">
        <v>116.16</v>
      </c>
    </row>
    <row r="101" spans="4:14" ht="14.45" customHeight="1" x14ac:dyDescent="0.25">
      <c r="D101" s="138"/>
      <c r="E101" s="142">
        <f>SUM(E98:E100)</f>
        <v>422265.67</v>
      </c>
      <c r="F101" s="158">
        <f>SUM(F98:F100)</f>
        <v>106367.47</v>
      </c>
      <c r="G101" s="143">
        <f>SUM(G98:G100)</f>
        <v>10636.746999999999</v>
      </c>
      <c r="H101" s="159">
        <f>SUM(H98:H100)*-1</f>
        <v>0</v>
      </c>
      <c r="I101" s="402"/>
      <c r="J101" s="402"/>
      <c r="L101" s="252">
        <f>SUM(L98:L100)</f>
        <v>9810.4084868590398</v>
      </c>
      <c r="M101" s="161">
        <f>SUM(M98:M100)</f>
        <v>-60.390999999999991</v>
      </c>
      <c r="N101" s="162">
        <f>SUM(N98:N100)</f>
        <v>7286.98</v>
      </c>
    </row>
    <row r="102" spans="4:14" ht="14.45" customHeight="1" x14ac:dyDescent="0.25">
      <c r="N102" s="254">
        <f>G101+H101+N101+M101+L101</f>
        <v>27673.744486859039</v>
      </c>
    </row>
    <row r="103" spans="4:14" ht="14.45" customHeight="1" x14ac:dyDescent="0.2">
      <c r="G103" s="164" t="s">
        <v>533</v>
      </c>
    </row>
    <row r="104" spans="4:14" ht="14.45" customHeight="1" x14ac:dyDescent="0.25">
      <c r="F104" s="2" t="s">
        <v>534</v>
      </c>
      <c r="G104" s="164" t="s">
        <v>535</v>
      </c>
    </row>
    <row r="105" spans="4:14" ht="14.45" customHeight="1" x14ac:dyDescent="0.25">
      <c r="D105" s="165" t="s">
        <v>534</v>
      </c>
      <c r="E105" s="166">
        <f>E89+E95+E101</f>
        <v>625422.56999999995</v>
      </c>
      <c r="F105" s="166">
        <f>F89+F95+F101</f>
        <v>135598.15</v>
      </c>
      <c r="G105" s="167">
        <f>G106+G107</f>
        <v>13559.815000000002</v>
      </c>
    </row>
    <row r="106" spans="4:14" ht="14.45" customHeight="1" x14ac:dyDescent="0.25">
      <c r="D106" s="165" t="s">
        <v>536</v>
      </c>
      <c r="E106" s="166">
        <f>E87+E92+E98+E94+E100</f>
        <v>554799.6</v>
      </c>
      <c r="F106" s="166">
        <f>F87+F92+F98+F94+F100</f>
        <v>64975.180000000008</v>
      </c>
      <c r="G106" s="167">
        <f>IF(F107&gt;26500,(F106*0.1),0)</f>
        <v>6497.5180000000009</v>
      </c>
    </row>
    <row r="107" spans="4:14" ht="14.45" customHeight="1" x14ac:dyDescent="0.25">
      <c r="D107" s="165" t="s">
        <v>537</v>
      </c>
      <c r="E107" s="166">
        <f>E88+E93+E99</f>
        <v>70622.97</v>
      </c>
      <c r="F107" s="166">
        <f>F88+F93+F99</f>
        <v>70622.97</v>
      </c>
      <c r="G107" s="167">
        <f>IF(F107&gt;26500,(F107*0.1),0)</f>
        <v>7062.2970000000005</v>
      </c>
    </row>
    <row r="108" spans="4:14" ht="14.45" customHeight="1" thickBot="1" x14ac:dyDescent="0.25"/>
    <row r="109" spans="4:14" ht="15.6" customHeight="1" x14ac:dyDescent="0.25">
      <c r="D109" s="412" t="s">
        <v>538</v>
      </c>
      <c r="E109" s="413"/>
      <c r="F109" s="414"/>
    </row>
    <row r="110" spans="4:14" ht="15.6" customHeight="1" x14ac:dyDescent="0.25">
      <c r="D110" s="168" t="s">
        <v>2</v>
      </c>
      <c r="E110" s="410" t="s">
        <v>539</v>
      </c>
      <c r="F110" s="406"/>
    </row>
    <row r="111" spans="4:14" ht="15.6" customHeight="1" x14ac:dyDescent="0.25">
      <c r="D111" s="169" t="s">
        <v>540</v>
      </c>
      <c r="E111" s="405">
        <f>M89</f>
        <v>4404.8160753828961</v>
      </c>
      <c r="F111" s="406"/>
    </row>
    <row r="112" spans="4:14" ht="15.6" customHeight="1" x14ac:dyDescent="0.25">
      <c r="D112" s="169" t="s">
        <v>541</v>
      </c>
      <c r="E112" s="405">
        <f>M95</f>
        <v>252.24243775806644</v>
      </c>
      <c r="F112" s="406"/>
    </row>
    <row r="113" spans="4:10" ht="16.149999999999999" customHeight="1" thickBot="1" x14ac:dyDescent="0.3">
      <c r="D113" s="170" t="s">
        <v>22</v>
      </c>
      <c r="E113" s="398">
        <f>N102</f>
        <v>27673.744486859039</v>
      </c>
      <c r="F113" s="399"/>
    </row>
    <row r="114" spans="4:10" ht="15" customHeight="1" thickBot="1" x14ac:dyDescent="0.25"/>
    <row r="115" spans="4:10" ht="15.6" customHeight="1" x14ac:dyDescent="0.25">
      <c r="D115" s="171" t="s">
        <v>542</v>
      </c>
      <c r="E115" s="172"/>
      <c r="F115" s="173"/>
    </row>
    <row r="116" spans="4:10" ht="18" customHeight="1" x14ac:dyDescent="0.3">
      <c r="D116" s="174" t="s">
        <v>543</v>
      </c>
      <c r="E116" s="175"/>
      <c r="F116" s="176">
        <f>E106</f>
        <v>554799.6</v>
      </c>
    </row>
    <row r="117" spans="4:10" ht="18" customHeight="1" x14ac:dyDescent="0.3">
      <c r="D117" s="174" t="s">
        <v>544</v>
      </c>
      <c r="E117" s="175"/>
      <c r="F117" s="177">
        <f>F106/F116</f>
        <v>0.11711468429321148</v>
      </c>
      <c r="J117" s="255"/>
    </row>
    <row r="118" spans="4:10" ht="15.6" customHeight="1" x14ac:dyDescent="0.25">
      <c r="D118" s="174"/>
      <c r="E118" s="175"/>
      <c r="F118" s="178"/>
    </row>
    <row r="119" spans="4:10" ht="15.6" customHeight="1" x14ac:dyDescent="0.25">
      <c r="D119" s="179" t="s">
        <v>160</v>
      </c>
      <c r="E119" s="175"/>
      <c r="F119" s="178"/>
    </row>
    <row r="120" spans="4:10" ht="18" customHeight="1" x14ac:dyDescent="0.3">
      <c r="D120" s="174" t="s">
        <v>545</v>
      </c>
      <c r="E120" s="175"/>
      <c r="F120" s="176">
        <f>E107</f>
        <v>70622.97</v>
      </c>
    </row>
    <row r="121" spans="4:10" ht="18.600000000000001" customHeight="1" thickBot="1" x14ac:dyDescent="0.35">
      <c r="D121" s="180" t="s">
        <v>544</v>
      </c>
      <c r="E121" s="181"/>
      <c r="F121" s="182">
        <f>(F107+N99)/F120</f>
        <v>1.0549358091283898</v>
      </c>
    </row>
  </sheetData>
  <mergeCells count="16">
    <mergeCell ref="K67:N67"/>
    <mergeCell ref="E111:F111"/>
    <mergeCell ref="E112:F112"/>
    <mergeCell ref="J87:J88"/>
    <mergeCell ref="C84:J84"/>
    <mergeCell ref="C67:F67"/>
    <mergeCell ref="G67:J67"/>
    <mergeCell ref="E110:F110"/>
    <mergeCell ref="C75:J75"/>
    <mergeCell ref="D109:F109"/>
    <mergeCell ref="J98:J101"/>
    <mergeCell ref="E113:F113"/>
    <mergeCell ref="I92:I94"/>
    <mergeCell ref="J92:J94"/>
    <mergeCell ref="I87:I88"/>
    <mergeCell ref="I98:I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workbookViewId="0">
      <selection activeCell="D58" sqref="D58"/>
    </sheetView>
  </sheetViews>
  <sheetFormatPr defaultRowHeight="15" x14ac:dyDescent="0.25"/>
  <cols>
    <col min="1" max="1" width="10.140625" bestFit="1" customWidth="1"/>
    <col min="2" max="2" width="20.140625" bestFit="1" customWidth="1"/>
    <col min="3" max="3" width="15.28515625" bestFit="1" customWidth="1"/>
    <col min="4" max="4" width="34.28515625" bestFit="1" customWidth="1"/>
    <col min="5" max="5" width="18.5703125" bestFit="1" customWidth="1"/>
    <col min="6" max="6" width="23.28515625" bestFit="1" customWidth="1"/>
    <col min="7" max="7" width="10.5703125" bestFit="1" customWidth="1"/>
    <col min="8" max="8" width="13.7109375" bestFit="1" customWidth="1"/>
    <col min="9" max="9" width="11.85546875" bestFit="1" customWidth="1"/>
    <col min="10" max="10" width="14.5703125" bestFit="1" customWidth="1"/>
    <col min="11" max="11" width="23.140625" bestFit="1" customWidth="1"/>
    <col min="12" max="12" width="9.85546875" bestFit="1" customWidth="1"/>
    <col min="13" max="13" width="20.85546875" bestFit="1" customWidth="1"/>
    <col min="14" max="14" width="21.5703125" bestFit="1" customWidth="1"/>
    <col min="15" max="15" width="12.5703125" bestFit="1" customWidth="1"/>
    <col min="16" max="16" width="23.7109375" bestFit="1" customWidth="1"/>
    <col min="17" max="17" width="8.7109375" bestFit="1" customWidth="1"/>
    <col min="18" max="18" width="12.140625" bestFit="1" customWidth="1"/>
    <col min="19" max="19" width="12.28515625" bestFit="1" customWidth="1"/>
    <col min="20" max="20" width="20.85546875" bestFit="1" customWidth="1"/>
  </cols>
  <sheetData>
    <row r="1" spans="1:20" s="153" customFormat="1" ht="13.9" customHeight="1" x14ac:dyDescent="0.25">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 customHeight="1" x14ac:dyDescent="0.25">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 customHeight="1" x14ac:dyDescent="0.25">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 customHeight="1" x14ac:dyDescent="0.25">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 customHeight="1" x14ac:dyDescent="0.25">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 customHeight="1" x14ac:dyDescent="0.25">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 customHeight="1" x14ac:dyDescent="0.25">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 customHeight="1" x14ac:dyDescent="0.25">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 customHeight="1" x14ac:dyDescent="0.25">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 customHeight="1" x14ac:dyDescent="0.25">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 customHeight="1" x14ac:dyDescent="0.25">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 customHeight="1" x14ac:dyDescent="0.25">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 customHeight="1" x14ac:dyDescent="0.25">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 customHeight="1" x14ac:dyDescent="0.25">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 customHeight="1" x14ac:dyDescent="0.25">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 customHeight="1" x14ac:dyDescent="0.25">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 customHeight="1" x14ac:dyDescent="0.25">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 customHeight="1" x14ac:dyDescent="0.25">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 customHeight="1" x14ac:dyDescent="0.25">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 customHeight="1" x14ac:dyDescent="0.25">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 customHeight="1" x14ac:dyDescent="0.25">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 customHeight="1" x14ac:dyDescent="0.25">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 customHeight="1" x14ac:dyDescent="0.25">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 customHeight="1" x14ac:dyDescent="0.25">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 customHeight="1" x14ac:dyDescent="0.25">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 customHeight="1" x14ac:dyDescent="0.25">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 customHeight="1" x14ac:dyDescent="0.25">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 customHeight="1" x14ac:dyDescent="0.25">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 customHeight="1" x14ac:dyDescent="0.25">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 customHeight="1" x14ac:dyDescent="0.25">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 customHeight="1" x14ac:dyDescent="0.25">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 customHeight="1" x14ac:dyDescent="0.25">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 customHeight="1" x14ac:dyDescent="0.25">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 customHeight="1" x14ac:dyDescent="0.25">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 customHeight="1" x14ac:dyDescent="0.25">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 customHeight="1" x14ac:dyDescent="0.25">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 customHeight="1" x14ac:dyDescent="0.25">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 customHeight="1" x14ac:dyDescent="0.25">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 customHeight="1" x14ac:dyDescent="0.25">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 customHeight="1" x14ac:dyDescent="0.25">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25">
      <c r="C42" s="110" t="s">
        <v>546</v>
      </c>
      <c r="D42" s="111"/>
      <c r="E42" s="111"/>
      <c r="F42" s="111"/>
      <c r="G42" s="111"/>
      <c r="H42" s="111"/>
      <c r="I42" s="111"/>
      <c r="J42" s="111"/>
      <c r="K42" s="111"/>
      <c r="L42" s="111"/>
      <c r="M42" s="111"/>
      <c r="N42" s="111"/>
    </row>
    <row r="43" spans="1:20" x14ac:dyDescent="0.25">
      <c r="C43" s="112" t="s">
        <v>183</v>
      </c>
      <c r="D43" s="112"/>
      <c r="E43" s="112"/>
      <c r="F43" s="112"/>
      <c r="G43" s="112"/>
      <c r="H43" s="112"/>
      <c r="I43" s="112"/>
      <c r="J43" s="112"/>
      <c r="K43" s="112"/>
      <c r="L43" s="112"/>
      <c r="M43" s="112"/>
      <c r="N43" s="112"/>
    </row>
    <row r="44" spans="1:20" x14ac:dyDescent="0.25">
      <c r="C44" s="408" t="s">
        <v>185</v>
      </c>
      <c r="D44" s="395"/>
      <c r="E44" s="395"/>
      <c r="F44" s="395"/>
      <c r="G44" s="409" t="s">
        <v>186</v>
      </c>
      <c r="H44" s="395"/>
      <c r="I44" s="395"/>
      <c r="J44" s="395"/>
      <c r="K44" s="403" t="s">
        <v>187</v>
      </c>
      <c r="L44" s="395"/>
      <c r="M44" s="395"/>
      <c r="N44" s="395"/>
    </row>
    <row r="45" spans="1:20" x14ac:dyDescent="0.25">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25">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25">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25">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25">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25">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25">
      <c r="C52" s="411" t="s">
        <v>513</v>
      </c>
      <c r="D52" s="395"/>
      <c r="E52" s="395"/>
      <c r="F52" s="395"/>
      <c r="G52" s="395"/>
      <c r="H52" s="395"/>
      <c r="I52" s="395"/>
      <c r="J52" s="395"/>
    </row>
    <row r="53" spans="3:14" x14ac:dyDescent="0.25">
      <c r="C53" s="123"/>
      <c r="D53" s="115"/>
      <c r="E53" s="115"/>
      <c r="F53" s="115"/>
      <c r="G53" s="117"/>
      <c r="H53" s="124"/>
      <c r="I53" s="124"/>
      <c r="J53" s="124"/>
    </row>
    <row r="54" spans="3:14" x14ac:dyDescent="0.25">
      <c r="C54" s="124"/>
      <c r="D54" s="124"/>
      <c r="E54" s="124"/>
      <c r="F54" s="124"/>
      <c r="G54" s="117"/>
      <c r="H54" s="124"/>
      <c r="I54" s="124"/>
      <c r="J54" s="124"/>
    </row>
    <row r="55" spans="3:14" x14ac:dyDescent="0.25">
      <c r="C55" s="124"/>
      <c r="D55" s="124"/>
      <c r="E55" s="125" t="s">
        <v>514</v>
      </c>
      <c r="F55" s="114"/>
      <c r="G55" s="114"/>
      <c r="H55" s="126"/>
      <c r="I55" s="124"/>
      <c r="J55" s="124"/>
    </row>
    <row r="56" spans="3:14" x14ac:dyDescent="0.25">
      <c r="C56" s="124"/>
      <c r="D56" s="124"/>
      <c r="E56" s="125"/>
      <c r="F56" s="114" t="s">
        <v>515</v>
      </c>
      <c r="G56" s="114" t="s">
        <v>516</v>
      </c>
      <c r="H56" s="127" t="s">
        <v>30</v>
      </c>
      <c r="I56" s="124"/>
      <c r="J56" s="124"/>
    </row>
    <row r="57" spans="3:14" x14ac:dyDescent="0.25">
      <c r="C57" s="124"/>
      <c r="D57" s="124"/>
      <c r="E57" s="128" t="s">
        <v>517</v>
      </c>
      <c r="F57" s="129">
        <v>0.1</v>
      </c>
      <c r="G57" s="130">
        <v>7.0000000000000001E-3</v>
      </c>
      <c r="H57" s="130">
        <v>0.1</v>
      </c>
      <c r="I57" s="124"/>
      <c r="J57" s="124"/>
    </row>
    <row r="58" spans="3:14" x14ac:dyDescent="0.25">
      <c r="C58" s="124"/>
      <c r="D58" s="124"/>
      <c r="E58" s="128" t="s">
        <v>518</v>
      </c>
      <c r="F58" s="129">
        <v>0.1</v>
      </c>
      <c r="G58" s="130">
        <v>7.0000000000000001E-3</v>
      </c>
      <c r="H58" s="130">
        <v>0.1</v>
      </c>
      <c r="I58" s="124"/>
      <c r="J58" s="124"/>
    </row>
    <row r="59" spans="3:14" x14ac:dyDescent="0.25">
      <c r="C59" s="128"/>
      <c r="D59" s="131"/>
      <c r="E59" s="132" t="s">
        <v>519</v>
      </c>
      <c r="F59" s="133">
        <v>0.1</v>
      </c>
      <c r="G59" s="134">
        <v>7.0000000000000001E-3</v>
      </c>
      <c r="H59" s="134">
        <v>0.1</v>
      </c>
      <c r="I59" s="124"/>
      <c r="J59" s="124"/>
    </row>
    <row r="60" spans="3:14" x14ac:dyDescent="0.25">
      <c r="C60" s="124"/>
      <c r="D60" s="124"/>
      <c r="E60" s="124"/>
      <c r="F60" s="124"/>
      <c r="G60" s="124"/>
      <c r="H60" s="124"/>
      <c r="I60" s="124"/>
      <c r="J60" s="124"/>
    </row>
    <row r="61" spans="3:14" x14ac:dyDescent="0.25">
      <c r="C61" s="407" t="s">
        <v>520</v>
      </c>
      <c r="D61" s="395"/>
      <c r="E61" s="395"/>
      <c r="F61" s="395"/>
      <c r="G61" s="395"/>
      <c r="H61" s="395"/>
      <c r="I61" s="395"/>
      <c r="J61" s="395"/>
    </row>
    <row r="63" spans="3:14" ht="22.15" customHeight="1" x14ac:dyDescent="0.25">
      <c r="D63" s="135" t="s">
        <v>521</v>
      </c>
      <c r="E63" s="136" t="s">
        <v>522</v>
      </c>
      <c r="F63" s="137" t="s">
        <v>523</v>
      </c>
      <c r="G63" s="137" t="s">
        <v>524</v>
      </c>
      <c r="H63" s="137" t="s">
        <v>525</v>
      </c>
      <c r="I63" s="136" t="s">
        <v>526</v>
      </c>
      <c r="J63" s="136" t="s">
        <v>527</v>
      </c>
      <c r="K63" s="137" t="s">
        <v>528</v>
      </c>
      <c r="L63" s="137" t="s">
        <v>529</v>
      </c>
    </row>
    <row r="64" spans="3:14" x14ac:dyDescent="0.25">
      <c r="D64" s="138" t="s">
        <v>258</v>
      </c>
      <c r="E64" s="139">
        <v>101301</v>
      </c>
      <c r="F64" s="139">
        <v>6091.05</v>
      </c>
      <c r="G64" s="139">
        <v>0</v>
      </c>
      <c r="H64" s="139">
        <f>F64*0.1</f>
        <v>609.10500000000002</v>
      </c>
      <c r="I64" s="400" t="str">
        <f>IF(J48&lt;100%,"NÃO BATEU","CUMPRIU")</f>
        <v>NÃO BATEU</v>
      </c>
      <c r="J64" s="400" t="str">
        <f>IF(J49&lt;100%,"NÃO BATEU","CUMPRIU")</f>
        <v>NÃO BATEU</v>
      </c>
      <c r="K64" s="140">
        <f>E64/E83</f>
        <v>0.39312829392076754</v>
      </c>
      <c r="L64" s="141">
        <f>G83*K64</f>
        <v>0</v>
      </c>
    </row>
    <row r="65" spans="4:14" x14ac:dyDescent="0.25">
      <c r="D65" s="138" t="s">
        <v>30</v>
      </c>
      <c r="E65" s="139">
        <v>4434.5</v>
      </c>
      <c r="F65" s="139">
        <v>4434.5</v>
      </c>
      <c r="G65" s="139">
        <v>0</v>
      </c>
      <c r="H65" s="139">
        <f>F65*0.1</f>
        <v>443.45000000000005</v>
      </c>
      <c r="I65" s="402"/>
      <c r="J65" s="402"/>
      <c r="K65" s="140">
        <f>IFERROR(E65/E84,0)</f>
        <v>0.2533064937171764</v>
      </c>
      <c r="L65" s="141">
        <f>G84*K65</f>
        <v>0</v>
      </c>
    </row>
    <row r="66" spans="4:14" x14ac:dyDescent="0.25">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15" customHeight="1" x14ac:dyDescent="0.25">
      <c r="D68" s="135" t="s">
        <v>185</v>
      </c>
      <c r="E68" s="136" t="s">
        <v>530</v>
      </c>
      <c r="F68" s="137" t="s">
        <v>523</v>
      </c>
      <c r="G68" s="137" t="s">
        <v>524</v>
      </c>
      <c r="H68" s="137" t="s">
        <v>525</v>
      </c>
      <c r="I68" s="136" t="s">
        <v>526</v>
      </c>
      <c r="J68" s="136" t="s">
        <v>527</v>
      </c>
      <c r="K68" s="137" t="s">
        <v>528</v>
      </c>
      <c r="L68" s="137" t="s">
        <v>529</v>
      </c>
    </row>
    <row r="69" spans="4:14" x14ac:dyDescent="0.25">
      <c r="D69" s="138" t="s">
        <v>258</v>
      </c>
      <c r="E69" s="139">
        <v>52532.86</v>
      </c>
      <c r="F69" s="147">
        <v>3142.02</v>
      </c>
      <c r="G69" s="139">
        <v>0</v>
      </c>
      <c r="H69" s="139">
        <f>F69*0.1</f>
        <v>314.202</v>
      </c>
      <c r="I69" s="400" t="str">
        <f>IF(F48&lt;100%,"NÃO BATEU","CUMPRIU")</f>
        <v>NÃO BATEU</v>
      </c>
      <c r="J69" s="400" t="str">
        <f>IF(F49&lt;100%,"NÃO BATEU","CUMPRIU")</f>
        <v>NÃO BATEU</v>
      </c>
      <c r="K69" s="140">
        <f>E69/E83</f>
        <v>0.20386919799980782</v>
      </c>
      <c r="L69" s="141">
        <f>K69*G83</f>
        <v>0</v>
      </c>
    </row>
    <row r="70" spans="4:14" x14ac:dyDescent="0.25">
      <c r="D70" s="138" t="s">
        <v>30</v>
      </c>
      <c r="E70" s="148">
        <v>2698.22</v>
      </c>
      <c r="F70" s="147">
        <v>2698.22</v>
      </c>
      <c r="G70" s="139">
        <v>0</v>
      </c>
      <c r="H70" s="139">
        <f>F70*0.1</f>
        <v>269.822</v>
      </c>
      <c r="I70" s="401"/>
      <c r="J70" s="401"/>
      <c r="K70" s="140">
        <f>E70/E84</f>
        <v>0.15412710508006758</v>
      </c>
      <c r="L70" s="141">
        <f>K70*G84</f>
        <v>0</v>
      </c>
    </row>
    <row r="71" spans="4:14" x14ac:dyDescent="0.25">
      <c r="D71" s="138" t="s">
        <v>35</v>
      </c>
      <c r="E71" s="149">
        <v>6054.41</v>
      </c>
      <c r="F71" s="150">
        <v>57.69</v>
      </c>
      <c r="G71" s="151">
        <v>0</v>
      </c>
      <c r="H71" s="139">
        <f>F71*0.1</f>
        <v>5.7690000000000001</v>
      </c>
      <c r="I71" s="402"/>
      <c r="J71" s="402"/>
      <c r="K71" s="140">
        <f>E71/E83</f>
        <v>2.349591686159894E-2</v>
      </c>
      <c r="L71" s="141">
        <f>K71*G83</f>
        <v>0</v>
      </c>
    </row>
    <row r="72" spans="4:14" x14ac:dyDescent="0.25">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15" customHeight="1" x14ac:dyDescent="0.25">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25">
      <c r="D75" s="138" t="s">
        <v>258</v>
      </c>
      <c r="E75" s="139">
        <v>97790.97</v>
      </c>
      <c r="F75" s="139">
        <v>6845.37</v>
      </c>
      <c r="G75" s="139">
        <f>F75*0.1</f>
        <v>684.53700000000003</v>
      </c>
      <c r="H75" s="141">
        <v>0</v>
      </c>
      <c r="I75" s="400" t="str">
        <f>IF(N48&lt;100%,"NÃO BATEU","CUMPRIU")</f>
        <v>CUMPRIU</v>
      </c>
      <c r="J75" s="400" t="str">
        <f>IF(N49&lt;100%,"NÃO BATEU","CUMPRIU")</f>
        <v>NÃO BATEU</v>
      </c>
      <c r="K75" s="140">
        <f>E75/E83</f>
        <v>0.37950659121782571</v>
      </c>
      <c r="L75" s="155">
        <f>K75*G83</f>
        <v>0</v>
      </c>
      <c r="M75" s="156">
        <f>H66*0.25</f>
        <v>-263.13875000000002</v>
      </c>
      <c r="N75" s="141">
        <v>2308.27</v>
      </c>
    </row>
    <row r="76" spans="4:14" x14ac:dyDescent="0.25">
      <c r="D76" s="138" t="s">
        <v>30</v>
      </c>
      <c r="E76" s="139">
        <v>10373.74</v>
      </c>
      <c r="F76" s="139">
        <v>10373.74</v>
      </c>
      <c r="G76" s="139">
        <f>F76*0.1</f>
        <v>1037.374</v>
      </c>
      <c r="H76" s="141">
        <v>0</v>
      </c>
      <c r="I76" s="401"/>
      <c r="J76" s="401"/>
      <c r="K76" s="140">
        <f>E76/E84</f>
        <v>0.59256640120275605</v>
      </c>
      <c r="L76" s="155">
        <f>K76*G84</f>
        <v>0</v>
      </c>
      <c r="M76" s="156">
        <f>H72*0.25</f>
        <v>-147.44825</v>
      </c>
      <c r="N76" s="157">
        <v>1783.18</v>
      </c>
    </row>
    <row r="77" spans="4:14" x14ac:dyDescent="0.25">
      <c r="D77" s="138" t="s">
        <v>35</v>
      </c>
      <c r="E77" s="139">
        <v>0</v>
      </c>
      <c r="F77" s="139">
        <v>0</v>
      </c>
      <c r="G77" s="139">
        <f>F77*0.1</f>
        <v>0</v>
      </c>
      <c r="H77" s="141">
        <v>0</v>
      </c>
      <c r="I77" s="401"/>
      <c r="J77" s="401"/>
      <c r="K77" s="140">
        <f>E77/E83</f>
        <v>0</v>
      </c>
      <c r="L77" s="155">
        <f>K77*G83</f>
        <v>0</v>
      </c>
      <c r="M77" s="156">
        <f>K77*G83</f>
        <v>0</v>
      </c>
      <c r="N77" s="141">
        <v>14.42</v>
      </c>
    </row>
    <row r="78" spans="4:14" x14ac:dyDescent="0.25">
      <c r="D78" s="138"/>
      <c r="E78" s="142">
        <f>SUM(E75:E77)</f>
        <v>108164.71</v>
      </c>
      <c r="F78" s="158">
        <f>SUM(F75:F77)</f>
        <v>17219.11</v>
      </c>
      <c r="G78" s="143">
        <f>SUM(G75:G77)</f>
        <v>1721.9110000000001</v>
      </c>
      <c r="H78" s="159">
        <f>SUM(H75:H77)*-1</f>
        <v>0</v>
      </c>
      <c r="I78" s="402"/>
      <c r="J78" s="402"/>
      <c r="L78" s="160">
        <f>SUM(L75:L77)</f>
        <v>0</v>
      </c>
      <c r="M78" s="161">
        <f>SUM(M75:M77)</f>
        <v>-410.58699999999999</v>
      </c>
      <c r="N78" s="162">
        <f>SUM(N75:N77)</f>
        <v>4105.87</v>
      </c>
    </row>
    <row r="79" spans="4:14" x14ac:dyDescent="0.25">
      <c r="N79" s="163">
        <f>G78+H78+N78+M78+L78</f>
        <v>5417.1939999999995</v>
      </c>
    </row>
    <row r="80" spans="4:14" x14ac:dyDescent="0.25">
      <c r="G80" s="164" t="s">
        <v>533</v>
      </c>
    </row>
    <row r="81" spans="4:7" x14ac:dyDescent="0.25">
      <c r="F81" s="2" t="s">
        <v>534</v>
      </c>
      <c r="G81" s="164" t="s">
        <v>535</v>
      </c>
    </row>
    <row r="82" spans="4:7" x14ac:dyDescent="0.25">
      <c r="D82" s="165" t="s">
        <v>534</v>
      </c>
      <c r="E82" s="166">
        <f>E66+E72+E78</f>
        <v>275185.7</v>
      </c>
      <c r="F82" s="166">
        <f>F66+F72+F78</f>
        <v>33642.589999999997</v>
      </c>
      <c r="G82" s="167">
        <f>G83+G84</f>
        <v>0</v>
      </c>
    </row>
    <row r="83" spans="4:7" x14ac:dyDescent="0.25">
      <c r="D83" s="165" t="s">
        <v>536</v>
      </c>
      <c r="E83" s="166">
        <f>E64+E69+E75+E71+E77</f>
        <v>257679.24</v>
      </c>
      <c r="F83" s="166">
        <f>F64+F69+F75+F71+F77</f>
        <v>16136.13</v>
      </c>
      <c r="G83" s="167">
        <f>IF(F84&gt;30000,(F83*0.1),0)</f>
        <v>0</v>
      </c>
    </row>
    <row r="84" spans="4:7" x14ac:dyDescent="0.25">
      <c r="D84" s="165" t="s">
        <v>537</v>
      </c>
      <c r="E84" s="166">
        <f>E65+E70+E76</f>
        <v>17506.46</v>
      </c>
      <c r="F84" s="166">
        <f>F65+F70+F76</f>
        <v>17506.46</v>
      </c>
      <c r="G84" s="167">
        <f>IF(F84&gt;30000,(F84*0.1),0)</f>
        <v>0</v>
      </c>
    </row>
    <row r="85" spans="4:7" ht="15" customHeight="1" thickBot="1" x14ac:dyDescent="0.3"/>
    <row r="86" spans="4:7" ht="15.6" customHeight="1" x14ac:dyDescent="0.25">
      <c r="D86" s="412" t="s">
        <v>538</v>
      </c>
      <c r="E86" s="413"/>
      <c r="F86" s="414"/>
    </row>
    <row r="87" spans="4:7" ht="15.6" customHeight="1" x14ac:dyDescent="0.25">
      <c r="D87" s="168" t="s">
        <v>2</v>
      </c>
      <c r="E87" s="410" t="s">
        <v>539</v>
      </c>
      <c r="F87" s="406"/>
    </row>
    <row r="88" spans="4:7" ht="15.6" customHeight="1" x14ac:dyDescent="0.25">
      <c r="D88" s="169" t="s">
        <v>540</v>
      </c>
      <c r="E88" s="415">
        <f>M66</f>
        <v>-1052.5550000000001</v>
      </c>
      <c r="F88" s="406"/>
    </row>
    <row r="89" spans="4:7" ht="15.6" customHeight="1" x14ac:dyDescent="0.25">
      <c r="D89" s="169" t="s">
        <v>541</v>
      </c>
      <c r="E89" s="415">
        <f>M72</f>
        <v>-589.79300000000001</v>
      </c>
      <c r="F89" s="406"/>
    </row>
    <row r="90" spans="4:7" ht="16.149999999999999" customHeight="1" thickBot="1" x14ac:dyDescent="0.3">
      <c r="D90" s="170" t="s">
        <v>22</v>
      </c>
      <c r="E90" s="398">
        <f>N79</f>
        <v>5417.1939999999995</v>
      </c>
      <c r="F90" s="399"/>
    </row>
    <row r="91" spans="4:7" ht="15" customHeight="1" thickBot="1" x14ac:dyDescent="0.3"/>
    <row r="92" spans="4:7" ht="15.6" customHeight="1" x14ac:dyDescent="0.25">
      <c r="D92" s="171" t="s">
        <v>542</v>
      </c>
      <c r="E92" s="172"/>
      <c r="F92" s="173"/>
    </row>
    <row r="93" spans="4:7" ht="18" customHeight="1" x14ac:dyDescent="0.3">
      <c r="D93" s="174" t="s">
        <v>543</v>
      </c>
      <c r="E93" s="175"/>
      <c r="F93" s="176">
        <f>E83</f>
        <v>257679.24</v>
      </c>
    </row>
    <row r="94" spans="4:7" ht="18" customHeight="1" x14ac:dyDescent="0.3">
      <c r="D94" s="174" t="s">
        <v>544</v>
      </c>
      <c r="E94" s="175"/>
      <c r="F94" s="177">
        <f>F83/F93</f>
        <v>6.2620993449064813E-2</v>
      </c>
    </row>
    <row r="95" spans="4:7" ht="15.6" customHeight="1" x14ac:dyDescent="0.25">
      <c r="D95" s="174"/>
      <c r="E95" s="175"/>
      <c r="F95" s="178"/>
    </row>
    <row r="96" spans="4:7" ht="15.6" customHeight="1" x14ac:dyDescent="0.25">
      <c r="D96" s="179" t="s">
        <v>160</v>
      </c>
      <c r="E96" s="175"/>
      <c r="F96" s="178"/>
    </row>
    <row r="97" spans="4:6" ht="18" customHeight="1" x14ac:dyDescent="0.3">
      <c r="D97" s="174" t="s">
        <v>545</v>
      </c>
      <c r="E97" s="175"/>
      <c r="F97" s="176">
        <f>E84</f>
        <v>17506.46</v>
      </c>
    </row>
    <row r="98" spans="4:6" ht="18.600000000000001" customHeight="1" thickBot="1" x14ac:dyDescent="0.35">
      <c r="D98" s="180" t="s">
        <v>544</v>
      </c>
      <c r="E98" s="181"/>
      <c r="F98" s="182">
        <f>(F84+N76)/F97</f>
        <v>1.101858399699311</v>
      </c>
    </row>
  </sheetData>
  <mergeCells count="16">
    <mergeCell ref="E90:F90"/>
    <mergeCell ref="I69:I71"/>
    <mergeCell ref="J69:J71"/>
    <mergeCell ref="I64:I65"/>
    <mergeCell ref="E89:F89"/>
    <mergeCell ref="J64:J65"/>
    <mergeCell ref="D86:F86"/>
    <mergeCell ref="E88:F88"/>
    <mergeCell ref="G44:J44"/>
    <mergeCell ref="K44:N44"/>
    <mergeCell ref="I75:I78"/>
    <mergeCell ref="E87:F87"/>
    <mergeCell ref="J75:J78"/>
    <mergeCell ref="C52:J52"/>
    <mergeCell ref="C61:J61"/>
    <mergeCell ref="C44:F44"/>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workbookViewId="0">
      <selection activeCell="D10" sqref="D10"/>
    </sheetView>
  </sheetViews>
  <sheetFormatPr defaultRowHeight="15" x14ac:dyDescent="0.25"/>
  <cols>
    <col min="2" max="2" width="14" bestFit="1" customWidth="1"/>
    <col min="3" max="3" width="13.42578125" bestFit="1" customWidth="1"/>
    <col min="4" max="4" width="12.28515625" bestFit="1" customWidth="1"/>
    <col min="5" max="5" width="13.28515625" bestFit="1" customWidth="1"/>
    <col min="6" max="6" width="16.7109375" bestFit="1" customWidth="1"/>
    <col min="7" max="7" width="15.140625" bestFit="1" customWidth="1"/>
    <col min="8" max="8" width="34.140625" bestFit="1" customWidth="1"/>
    <col min="9" max="9" width="12.7109375" bestFit="1" customWidth="1"/>
    <col min="10" max="10" width="13.140625" bestFit="1" customWidth="1"/>
    <col min="11" max="11" width="7" bestFit="1" customWidth="1"/>
    <col min="12" max="12" width="6.7109375" bestFit="1" customWidth="1"/>
  </cols>
  <sheetData>
    <row r="2" spans="2:11" x14ac:dyDescent="0.25">
      <c r="B2" s="58" t="s">
        <v>547</v>
      </c>
      <c r="C2" s="58"/>
      <c r="F2" s="416" t="s">
        <v>548</v>
      </c>
      <c r="G2" s="395"/>
      <c r="I2" s="416" t="s">
        <v>549</v>
      </c>
      <c r="J2" s="395"/>
      <c r="K2" s="395"/>
    </row>
    <row r="3" spans="2:11" x14ac:dyDescent="0.25">
      <c r="B3" s="36" t="s">
        <v>5</v>
      </c>
      <c r="C3" t="s">
        <v>30</v>
      </c>
      <c r="I3" s="36" t="s">
        <v>550</v>
      </c>
      <c r="J3" s="36" t="s">
        <v>5</v>
      </c>
      <c r="K3" t="s">
        <v>536</v>
      </c>
    </row>
    <row r="4" spans="2:11" x14ac:dyDescent="0.25">
      <c r="B4" s="1"/>
      <c r="I4" t="s">
        <v>551</v>
      </c>
      <c r="J4" t="s">
        <v>35</v>
      </c>
      <c r="K4" s="39">
        <v>415</v>
      </c>
    </row>
    <row r="5" spans="2:11" x14ac:dyDescent="0.25">
      <c r="B5" s="40" t="s">
        <v>550</v>
      </c>
      <c r="C5" s="40" t="s">
        <v>552</v>
      </c>
      <c r="F5" s="40" t="s">
        <v>215</v>
      </c>
      <c r="G5" s="40" t="s">
        <v>553</v>
      </c>
      <c r="J5" t="s">
        <v>554</v>
      </c>
      <c r="K5" s="39">
        <v>488</v>
      </c>
    </row>
    <row r="6" spans="2:11" x14ac:dyDescent="0.25">
      <c r="B6" t="s">
        <v>551</v>
      </c>
      <c r="C6" s="38">
        <v>1286.28</v>
      </c>
      <c r="F6" s="37" t="s">
        <v>551</v>
      </c>
      <c r="G6" s="38">
        <v>156983.04000000001</v>
      </c>
      <c r="I6" t="s">
        <v>555</v>
      </c>
      <c r="J6" t="s">
        <v>35</v>
      </c>
      <c r="K6" s="39">
        <v>235</v>
      </c>
    </row>
    <row r="7" spans="2:11" x14ac:dyDescent="0.25">
      <c r="B7" t="s">
        <v>555</v>
      </c>
      <c r="C7" s="38">
        <v>641.52</v>
      </c>
      <c r="F7" s="37" t="s">
        <v>555</v>
      </c>
      <c r="G7" s="38">
        <v>60195.38</v>
      </c>
      <c r="J7" t="s">
        <v>554</v>
      </c>
      <c r="K7" s="39">
        <v>34</v>
      </c>
    </row>
    <row r="8" spans="2:11" x14ac:dyDescent="0.25">
      <c r="B8" t="s">
        <v>556</v>
      </c>
      <c r="C8" s="38">
        <v>7660.0400000000009</v>
      </c>
      <c r="F8" s="37" t="s">
        <v>556</v>
      </c>
      <c r="G8" s="38">
        <v>110046.04</v>
      </c>
      <c r="I8" t="s">
        <v>556</v>
      </c>
      <c r="J8" t="s">
        <v>35</v>
      </c>
      <c r="K8" s="39">
        <v>72</v>
      </c>
    </row>
    <row r="9" spans="2:11" x14ac:dyDescent="0.25">
      <c r="B9" s="40" t="s">
        <v>223</v>
      </c>
      <c r="C9" s="59">
        <v>9587.84</v>
      </c>
      <c r="F9" s="41" t="s">
        <v>223</v>
      </c>
      <c r="G9" s="59">
        <v>327224.46000000002</v>
      </c>
      <c r="J9" t="s">
        <v>554</v>
      </c>
      <c r="K9" s="39">
        <v>244</v>
      </c>
    </row>
    <row r="10" spans="2:11" x14ac:dyDescent="0.25">
      <c r="I10" s="40" t="s">
        <v>223</v>
      </c>
      <c r="J10" s="40"/>
      <c r="K10" s="42">
        <v>1488</v>
      </c>
    </row>
    <row r="12" spans="2:11" hidden="1" x14ac:dyDescent="0.25"/>
    <row r="13" spans="2:11" hidden="1" x14ac:dyDescent="0.25"/>
    <row r="14" spans="2:11" hidden="1" x14ac:dyDescent="0.25"/>
    <row r="15" spans="2:11" hidden="1" x14ac:dyDescent="0.25"/>
    <row r="16" spans="2:11"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spans="6:8" hidden="1" x14ac:dyDescent="0.25"/>
    <row r="178" spans="6:8" hidden="1" x14ac:dyDescent="0.25"/>
    <row r="179" spans="6:8" hidden="1" x14ac:dyDescent="0.25"/>
    <row r="180" spans="6:8" hidden="1" x14ac:dyDescent="0.25"/>
    <row r="181" spans="6:8" hidden="1" x14ac:dyDescent="0.25"/>
    <row r="182" spans="6:8" hidden="1" x14ac:dyDescent="0.25"/>
    <row r="183" spans="6:8" hidden="1" x14ac:dyDescent="0.25"/>
    <row r="184" spans="6:8" hidden="1" x14ac:dyDescent="0.25"/>
    <row r="185" spans="6:8" hidden="1" x14ac:dyDescent="0.25"/>
    <row r="186" spans="6:8" hidden="1" x14ac:dyDescent="0.25"/>
    <row r="187" spans="6:8" hidden="1" x14ac:dyDescent="0.25"/>
    <row r="188" spans="6:8" hidden="1" x14ac:dyDescent="0.25"/>
    <row r="189" spans="6:8" hidden="1" x14ac:dyDescent="0.25"/>
    <row r="190" spans="6:8" hidden="1" x14ac:dyDescent="0.25"/>
    <row r="192" spans="6:8" x14ac:dyDescent="0.25">
      <c r="F192" s="416" t="s">
        <v>557</v>
      </c>
      <c r="G192" s="395"/>
      <c r="H192" s="395"/>
    </row>
    <row r="193" spans="2:12" x14ac:dyDescent="0.25">
      <c r="B193" s="416" t="s">
        <v>558</v>
      </c>
      <c r="C193" s="395"/>
      <c r="D193" s="395"/>
    </row>
    <row r="194" spans="2:12" ht="15.75" x14ac:dyDescent="0.3">
      <c r="B194" s="40" t="s">
        <v>550</v>
      </c>
      <c r="C194" s="40" t="s">
        <v>4</v>
      </c>
      <c r="D194" s="60" t="s">
        <v>559</v>
      </c>
      <c r="F194" s="36" t="s">
        <v>260</v>
      </c>
      <c r="G194" t="s">
        <v>211</v>
      </c>
      <c r="H194" s="67" t="s">
        <v>560</v>
      </c>
    </row>
    <row r="195" spans="2:12" x14ac:dyDescent="0.25">
      <c r="B195" t="s">
        <v>551</v>
      </c>
      <c r="C195" t="s">
        <v>102</v>
      </c>
      <c r="D195" s="38">
        <v>258.60000000000002</v>
      </c>
    </row>
    <row r="196" spans="2:12" x14ac:dyDescent="0.25">
      <c r="C196" t="s">
        <v>40</v>
      </c>
      <c r="D196" s="38">
        <v>1472.9</v>
      </c>
      <c r="F196" s="36" t="s">
        <v>3</v>
      </c>
      <c r="G196" s="36" t="s">
        <v>212</v>
      </c>
      <c r="H196" s="36" t="s">
        <v>4</v>
      </c>
      <c r="I196" t="s">
        <v>561</v>
      </c>
      <c r="J196" t="s">
        <v>562</v>
      </c>
      <c r="K196" t="s">
        <v>563</v>
      </c>
      <c r="L196" t="s">
        <v>564</v>
      </c>
    </row>
    <row r="197" spans="2:12" x14ac:dyDescent="0.25">
      <c r="C197" t="s">
        <v>565</v>
      </c>
      <c r="D197" s="38">
        <v>641.61</v>
      </c>
      <c r="F197" t="s">
        <v>317</v>
      </c>
      <c r="G197" t="s">
        <v>22</v>
      </c>
      <c r="H197" t="s">
        <v>318</v>
      </c>
      <c r="I197" s="77">
        <v>1</v>
      </c>
      <c r="J197" s="65">
        <v>63200</v>
      </c>
      <c r="K197" s="65">
        <v>0</v>
      </c>
      <c r="L197" s="66">
        <v>316</v>
      </c>
    </row>
    <row r="198" spans="2:12" x14ac:dyDescent="0.25">
      <c r="C198" t="s">
        <v>35</v>
      </c>
      <c r="D198" s="38">
        <v>71280</v>
      </c>
      <c r="F198" t="s">
        <v>265</v>
      </c>
      <c r="G198" t="s">
        <v>44</v>
      </c>
      <c r="H198" t="s">
        <v>47</v>
      </c>
      <c r="I198" s="77">
        <v>1</v>
      </c>
      <c r="J198" s="65">
        <v>51300</v>
      </c>
      <c r="K198" s="65">
        <v>1734</v>
      </c>
      <c r="L198" s="66">
        <v>270</v>
      </c>
    </row>
    <row r="199" spans="2:12" x14ac:dyDescent="0.25">
      <c r="C199" t="s">
        <v>24</v>
      </c>
      <c r="D199" s="38">
        <v>53238.25</v>
      </c>
      <c r="F199" t="s">
        <v>350</v>
      </c>
      <c r="G199" t="s">
        <v>31</v>
      </c>
      <c r="H199" t="s">
        <v>63</v>
      </c>
      <c r="I199" s="77">
        <v>1</v>
      </c>
      <c r="J199" s="65">
        <v>3360</v>
      </c>
      <c r="K199" s="65">
        <v>196.42</v>
      </c>
      <c r="L199" s="66">
        <v>16</v>
      </c>
    </row>
    <row r="200" spans="2:12" x14ac:dyDescent="0.25">
      <c r="C200" t="s">
        <v>54</v>
      </c>
      <c r="D200" s="38">
        <v>30091.68</v>
      </c>
      <c r="F200" t="s">
        <v>280</v>
      </c>
      <c r="G200" t="s">
        <v>44</v>
      </c>
      <c r="H200" t="s">
        <v>63</v>
      </c>
      <c r="I200" s="77">
        <v>1</v>
      </c>
      <c r="J200" s="65">
        <v>7200</v>
      </c>
      <c r="K200" s="65">
        <v>1964.2</v>
      </c>
      <c r="L200" s="66">
        <v>8</v>
      </c>
    </row>
    <row r="201" spans="2:12" x14ac:dyDescent="0.25">
      <c r="B201" t="s">
        <v>555</v>
      </c>
      <c r="C201" t="s">
        <v>40</v>
      </c>
      <c r="D201" s="38">
        <v>17948.36</v>
      </c>
      <c r="F201" t="s">
        <v>281</v>
      </c>
      <c r="G201" t="s">
        <v>44</v>
      </c>
      <c r="H201" t="s">
        <v>53</v>
      </c>
      <c r="I201" s="77">
        <v>1</v>
      </c>
      <c r="J201" s="65">
        <v>1600</v>
      </c>
      <c r="K201" s="65">
        <v>5242</v>
      </c>
      <c r="L201" s="66">
        <v>16</v>
      </c>
    </row>
    <row r="202" spans="2:12" x14ac:dyDescent="0.25">
      <c r="C202" t="s">
        <v>566</v>
      </c>
      <c r="D202" s="38">
        <v>356.4</v>
      </c>
      <c r="F202" t="s">
        <v>279</v>
      </c>
      <c r="G202" t="s">
        <v>44</v>
      </c>
      <c r="H202" t="s">
        <v>47</v>
      </c>
      <c r="I202" s="77">
        <v>1</v>
      </c>
      <c r="J202" s="65">
        <v>72000</v>
      </c>
      <c r="K202" s="65">
        <v>4215</v>
      </c>
      <c r="L202" s="66">
        <v>360</v>
      </c>
    </row>
    <row r="203" spans="2:12" x14ac:dyDescent="0.25">
      <c r="C203" t="s">
        <v>35</v>
      </c>
      <c r="D203" s="38">
        <v>38347.5</v>
      </c>
      <c r="F203" t="s">
        <v>283</v>
      </c>
      <c r="G203" t="s">
        <v>44</v>
      </c>
      <c r="H203" t="s">
        <v>284</v>
      </c>
      <c r="I203" s="77">
        <v>1</v>
      </c>
      <c r="J203" s="65">
        <v>3392</v>
      </c>
      <c r="K203" s="65">
        <v>356.4</v>
      </c>
      <c r="L203" s="66">
        <v>16</v>
      </c>
    </row>
    <row r="204" spans="2:12" x14ac:dyDescent="0.25">
      <c r="C204" t="s">
        <v>24</v>
      </c>
      <c r="D204" s="38">
        <v>3258</v>
      </c>
      <c r="F204" t="s">
        <v>328</v>
      </c>
      <c r="G204" t="s">
        <v>31</v>
      </c>
      <c r="H204" t="s">
        <v>329</v>
      </c>
      <c r="I204" s="77">
        <v>1</v>
      </c>
      <c r="J204" s="65">
        <v>46200</v>
      </c>
      <c r="K204" s="65">
        <v>1460.47</v>
      </c>
      <c r="L204" s="66">
        <v>220</v>
      </c>
    </row>
    <row r="205" spans="2:12" x14ac:dyDescent="0.25">
      <c r="C205" t="s">
        <v>54</v>
      </c>
      <c r="D205" s="38">
        <v>285.12</v>
      </c>
      <c r="F205" t="s">
        <v>275</v>
      </c>
      <c r="G205" t="s">
        <v>44</v>
      </c>
      <c r="H205" t="s">
        <v>54</v>
      </c>
      <c r="I205" s="77">
        <v>1</v>
      </c>
      <c r="J205" s="65">
        <v>23584</v>
      </c>
      <c r="K205" s="65">
        <v>142.56</v>
      </c>
      <c r="L205" s="66">
        <v>124</v>
      </c>
    </row>
    <row r="206" spans="2:12" x14ac:dyDescent="0.25">
      <c r="B206" t="s">
        <v>556</v>
      </c>
      <c r="C206" t="s">
        <v>69</v>
      </c>
      <c r="D206" s="38">
        <v>24800</v>
      </c>
      <c r="F206" t="s">
        <v>341</v>
      </c>
      <c r="G206" t="s">
        <v>31</v>
      </c>
      <c r="H206" t="s">
        <v>342</v>
      </c>
      <c r="I206" s="77">
        <v>1</v>
      </c>
      <c r="J206" s="65">
        <v>16200</v>
      </c>
      <c r="K206" s="65">
        <v>712.8</v>
      </c>
      <c r="L206" s="66">
        <v>80</v>
      </c>
    </row>
    <row r="207" spans="2:12" x14ac:dyDescent="0.25">
      <c r="C207" t="s">
        <v>40</v>
      </c>
      <c r="D207" s="38">
        <v>18000</v>
      </c>
      <c r="F207" t="s">
        <v>302</v>
      </c>
      <c r="G207" t="s">
        <v>22</v>
      </c>
      <c r="H207" t="s">
        <v>63</v>
      </c>
      <c r="I207" s="77">
        <v>1</v>
      </c>
      <c r="J207" s="65">
        <v>16000</v>
      </c>
      <c r="K207" s="65">
        <v>5880</v>
      </c>
      <c r="L207" s="66">
        <v>80</v>
      </c>
    </row>
    <row r="208" spans="2:12" x14ac:dyDescent="0.25">
      <c r="C208" t="s">
        <v>348</v>
      </c>
      <c r="D208" s="38">
        <v>689.04</v>
      </c>
      <c r="F208" t="s">
        <v>296</v>
      </c>
      <c r="G208" t="s">
        <v>22</v>
      </c>
      <c r="H208" t="s">
        <v>63</v>
      </c>
      <c r="I208" s="77">
        <v>1</v>
      </c>
      <c r="J208" s="65">
        <v>16000</v>
      </c>
      <c r="K208" s="65">
        <v>1558</v>
      </c>
      <c r="L208" s="66">
        <v>80</v>
      </c>
    </row>
    <row r="209" spans="2:12" x14ac:dyDescent="0.25">
      <c r="C209" t="s">
        <v>47</v>
      </c>
      <c r="D209" s="38">
        <v>48054.400000000001</v>
      </c>
      <c r="F209" t="s">
        <v>315</v>
      </c>
      <c r="G209" t="s">
        <v>22</v>
      </c>
      <c r="H209" t="s">
        <v>316</v>
      </c>
      <c r="I209" s="77">
        <v>1</v>
      </c>
      <c r="J209" s="65">
        <v>0</v>
      </c>
      <c r="K209" s="65">
        <v>66</v>
      </c>
      <c r="L209" s="66">
        <v>0</v>
      </c>
    </row>
    <row r="210" spans="2:12" x14ac:dyDescent="0.25">
      <c r="C210" t="s">
        <v>567</v>
      </c>
      <c r="D210" s="38">
        <v>3461.88</v>
      </c>
      <c r="F210" t="s">
        <v>272</v>
      </c>
      <c r="G210" t="s">
        <v>44</v>
      </c>
      <c r="H210" t="s">
        <v>53</v>
      </c>
      <c r="I210" s="77">
        <v>1</v>
      </c>
      <c r="J210" s="65">
        <v>1600</v>
      </c>
      <c r="K210" s="65">
        <v>6846</v>
      </c>
      <c r="L210" s="66">
        <v>16</v>
      </c>
    </row>
    <row r="211" spans="2:12" x14ac:dyDescent="0.25">
      <c r="C211" t="s">
        <v>35</v>
      </c>
      <c r="D211" s="38">
        <v>4576</v>
      </c>
      <c r="F211" t="s">
        <v>271</v>
      </c>
      <c r="G211" t="s">
        <v>44</v>
      </c>
      <c r="H211" t="s">
        <v>47</v>
      </c>
      <c r="I211" s="77">
        <v>1</v>
      </c>
      <c r="J211" s="65">
        <v>118908</v>
      </c>
      <c r="K211" s="65">
        <v>13048</v>
      </c>
      <c r="L211" s="66">
        <v>540</v>
      </c>
    </row>
    <row r="212" spans="2:12" x14ac:dyDescent="0.25">
      <c r="C212" t="s">
        <v>24</v>
      </c>
      <c r="D212" s="38">
        <v>8754</v>
      </c>
      <c r="F212" t="s">
        <v>266</v>
      </c>
      <c r="G212" t="s">
        <v>44</v>
      </c>
      <c r="H212" t="s">
        <v>53</v>
      </c>
      <c r="I212" s="77">
        <v>1</v>
      </c>
      <c r="J212" s="65">
        <v>1600</v>
      </c>
      <c r="K212" s="65">
        <v>2568</v>
      </c>
      <c r="L212" s="66">
        <v>16</v>
      </c>
    </row>
    <row r="213" spans="2:12" x14ac:dyDescent="0.25">
      <c r="C213" t="s">
        <v>54</v>
      </c>
      <c r="D213" s="38">
        <v>1710.72</v>
      </c>
      <c r="F213" t="s">
        <v>322</v>
      </c>
      <c r="G213" t="s">
        <v>22</v>
      </c>
      <c r="H213" t="s">
        <v>63</v>
      </c>
      <c r="I213" s="77">
        <v>1</v>
      </c>
      <c r="J213" s="65">
        <v>16000</v>
      </c>
      <c r="K213" s="65">
        <v>18330</v>
      </c>
      <c r="L213" s="66">
        <v>80</v>
      </c>
    </row>
    <row r="214" spans="2:12" x14ac:dyDescent="0.25">
      <c r="B214" s="40" t="s">
        <v>223</v>
      </c>
      <c r="C214" s="40"/>
      <c r="D214" s="59">
        <v>327224.46000000002</v>
      </c>
      <c r="F214" t="s">
        <v>351</v>
      </c>
      <c r="G214" t="s">
        <v>31</v>
      </c>
      <c r="H214" t="s">
        <v>352</v>
      </c>
      <c r="I214" s="77">
        <v>1</v>
      </c>
      <c r="J214" s="65">
        <v>5040</v>
      </c>
      <c r="K214" s="65">
        <v>1140.48</v>
      </c>
      <c r="L214" s="66">
        <v>24</v>
      </c>
    </row>
    <row r="215" spans="2:12" x14ac:dyDescent="0.25">
      <c r="F215" t="s">
        <v>268</v>
      </c>
      <c r="G215" t="s">
        <v>44</v>
      </c>
      <c r="H215" t="s">
        <v>53</v>
      </c>
      <c r="I215" s="77">
        <v>1</v>
      </c>
      <c r="J215" s="65">
        <v>1600</v>
      </c>
      <c r="K215" s="65">
        <v>3356</v>
      </c>
      <c r="L215" s="66">
        <v>16</v>
      </c>
    </row>
    <row r="216" spans="2:12" x14ac:dyDescent="0.25">
      <c r="F216" t="s">
        <v>267</v>
      </c>
      <c r="G216" t="s">
        <v>44</v>
      </c>
      <c r="H216" t="s">
        <v>47</v>
      </c>
      <c r="I216" s="77">
        <v>1</v>
      </c>
      <c r="J216" s="65">
        <v>81786</v>
      </c>
      <c r="K216" s="65">
        <v>7965</v>
      </c>
      <c r="L216" s="66">
        <v>430</v>
      </c>
    </row>
    <row r="217" spans="2:12" x14ac:dyDescent="0.25">
      <c r="F217" t="s">
        <v>261</v>
      </c>
      <c r="G217" t="s">
        <v>44</v>
      </c>
      <c r="H217" t="s">
        <v>63</v>
      </c>
      <c r="I217" s="77">
        <v>1</v>
      </c>
      <c r="J217" s="65">
        <v>33920</v>
      </c>
      <c r="K217" s="65">
        <v>3768</v>
      </c>
      <c r="L217" s="66">
        <v>160</v>
      </c>
    </row>
    <row r="218" spans="2:12" x14ac:dyDescent="0.25">
      <c r="F218" t="s">
        <v>269</v>
      </c>
      <c r="G218" t="s">
        <v>44</v>
      </c>
      <c r="H218" t="s">
        <v>270</v>
      </c>
      <c r="I218" s="77">
        <v>1</v>
      </c>
      <c r="J218" s="65">
        <v>0</v>
      </c>
      <c r="K218" s="65">
        <v>356.4</v>
      </c>
      <c r="L218" s="66">
        <v>0</v>
      </c>
    </row>
    <row r="219" spans="2:12" x14ac:dyDescent="0.25">
      <c r="F219" t="s">
        <v>295</v>
      </c>
      <c r="G219" t="s">
        <v>22</v>
      </c>
      <c r="H219" t="s">
        <v>47</v>
      </c>
      <c r="I219" s="77">
        <v>1</v>
      </c>
      <c r="J219" s="65">
        <v>0</v>
      </c>
      <c r="K219" s="65">
        <v>0</v>
      </c>
      <c r="L219" s="66">
        <v>0</v>
      </c>
    </row>
    <row r="220" spans="2:12" x14ac:dyDescent="0.25">
      <c r="F220" t="s">
        <v>264</v>
      </c>
      <c r="G220" t="s">
        <v>44</v>
      </c>
      <c r="H220" t="s">
        <v>69</v>
      </c>
      <c r="I220" s="77">
        <v>1</v>
      </c>
      <c r="J220" s="65">
        <v>26200</v>
      </c>
      <c r="K220" s="65">
        <v>3000</v>
      </c>
      <c r="L220" s="66">
        <v>80</v>
      </c>
    </row>
    <row r="221" spans="2:12" x14ac:dyDescent="0.25">
      <c r="F221" t="s">
        <v>343</v>
      </c>
      <c r="G221" t="s">
        <v>31</v>
      </c>
      <c r="H221" t="s">
        <v>53</v>
      </c>
      <c r="I221" s="77">
        <v>1</v>
      </c>
      <c r="J221" s="65">
        <v>1600</v>
      </c>
      <c r="K221" s="65">
        <v>4718.3</v>
      </c>
      <c r="L221" s="66">
        <v>8</v>
      </c>
    </row>
    <row r="222" spans="2:12" x14ac:dyDescent="0.25">
      <c r="F222" t="s">
        <v>277</v>
      </c>
      <c r="G222" t="s">
        <v>44</v>
      </c>
      <c r="H222" t="s">
        <v>63</v>
      </c>
      <c r="I222" s="77">
        <v>1</v>
      </c>
      <c r="J222" s="65">
        <v>8000</v>
      </c>
      <c r="K222" s="65">
        <v>1964</v>
      </c>
      <c r="L222" s="66">
        <v>40</v>
      </c>
    </row>
    <row r="223" spans="2:12" x14ac:dyDescent="0.25">
      <c r="F223" t="s">
        <v>278</v>
      </c>
      <c r="G223" t="s">
        <v>44</v>
      </c>
      <c r="H223" t="s">
        <v>53</v>
      </c>
      <c r="I223" s="77">
        <v>1</v>
      </c>
      <c r="J223" s="65">
        <v>1600</v>
      </c>
      <c r="K223" s="65">
        <v>3442</v>
      </c>
      <c r="L223" s="66">
        <v>16</v>
      </c>
    </row>
    <row r="224" spans="2:12" x14ac:dyDescent="0.25">
      <c r="F224" t="s">
        <v>276</v>
      </c>
      <c r="G224" t="s">
        <v>44</v>
      </c>
      <c r="H224" t="s">
        <v>47</v>
      </c>
      <c r="I224" s="77">
        <v>1</v>
      </c>
      <c r="J224" s="65">
        <v>44000</v>
      </c>
      <c r="K224" s="65">
        <v>1378</v>
      </c>
      <c r="L224" s="66">
        <v>220</v>
      </c>
    </row>
    <row r="225" spans="6:12" x14ac:dyDescent="0.25">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5" x14ac:dyDescent="0.25"/>
  <cols>
    <col min="2" max="2" width="17.85546875" bestFit="1" customWidth="1"/>
    <col min="3" max="3" width="13" bestFit="1" customWidth="1"/>
    <col min="4" max="4" width="6.5703125" bestFit="1" customWidth="1"/>
    <col min="7" max="7" width="18.28515625" bestFit="1" customWidth="1"/>
    <col min="8" max="8" width="19.7109375" bestFit="1" customWidth="1"/>
    <col min="9" max="10" width="13.42578125" bestFit="1" customWidth="1"/>
    <col min="11" max="12" width="15.140625" bestFit="1" customWidth="1"/>
  </cols>
  <sheetData>
    <row r="3" spans="2:12" x14ac:dyDescent="0.25">
      <c r="B3" s="417" t="s">
        <v>568</v>
      </c>
      <c r="C3" s="395"/>
      <c r="D3" s="395"/>
      <c r="G3" s="417" t="s">
        <v>569</v>
      </c>
      <c r="H3" s="395"/>
      <c r="I3" s="395"/>
      <c r="J3" s="43"/>
      <c r="K3" s="43"/>
      <c r="L3" s="43"/>
    </row>
    <row r="4" spans="2:12" x14ac:dyDescent="0.25">
      <c r="B4" s="368" t="s">
        <v>215</v>
      </c>
      <c r="C4" s="368" t="s">
        <v>570</v>
      </c>
      <c r="D4" s="368" t="s">
        <v>571</v>
      </c>
      <c r="G4" s="373" t="s">
        <v>553</v>
      </c>
      <c r="H4" s="373" t="s">
        <v>572</v>
      </c>
      <c r="I4" s="373"/>
      <c r="J4" s="373"/>
      <c r="K4" s="373"/>
      <c r="L4" s="373"/>
    </row>
    <row r="5" spans="2:12" x14ac:dyDescent="0.25">
      <c r="B5" s="358" t="s">
        <v>41</v>
      </c>
      <c r="C5" s="369">
        <v>285492.63</v>
      </c>
      <c r="D5" s="360">
        <v>52</v>
      </c>
      <c r="G5" s="373" t="s">
        <v>215</v>
      </c>
      <c r="H5" s="373" t="s">
        <v>41</v>
      </c>
      <c r="I5" s="373" t="s">
        <v>35</v>
      </c>
      <c r="J5" s="373" t="s">
        <v>30</v>
      </c>
      <c r="K5" s="373" t="s">
        <v>554</v>
      </c>
      <c r="L5" s="373" t="s">
        <v>223</v>
      </c>
    </row>
    <row r="6" spans="2:12" x14ac:dyDescent="0.25">
      <c r="B6" s="358" t="s">
        <v>35</v>
      </c>
      <c r="C6" s="369">
        <v>326490.61</v>
      </c>
      <c r="D6" s="360">
        <v>2000</v>
      </c>
      <c r="G6" s="355" t="s">
        <v>44</v>
      </c>
      <c r="H6" s="367">
        <v>41390.26</v>
      </c>
      <c r="I6" s="367"/>
      <c r="J6" s="367">
        <v>106923.91</v>
      </c>
      <c r="K6" s="367">
        <v>1015377.1265</v>
      </c>
      <c r="L6" s="367">
        <v>1163691.2964999999</v>
      </c>
    </row>
    <row r="7" spans="2:12" x14ac:dyDescent="0.25">
      <c r="B7" s="358" t="s">
        <v>30</v>
      </c>
      <c r="C7" s="369">
        <v>186664.98</v>
      </c>
      <c r="D7" s="360">
        <v>1453</v>
      </c>
      <c r="G7" s="355" t="s">
        <v>22</v>
      </c>
      <c r="H7" s="367">
        <v>87602.08</v>
      </c>
      <c r="I7" s="367">
        <v>4576</v>
      </c>
      <c r="J7" s="367">
        <v>52414.979999999989</v>
      </c>
      <c r="K7" s="367">
        <v>468044</v>
      </c>
      <c r="L7" s="367">
        <v>612637.06000000006</v>
      </c>
    </row>
    <row r="8" spans="2:12" x14ac:dyDescent="0.25">
      <c r="B8" s="358" t="s">
        <v>554</v>
      </c>
      <c r="C8" s="369">
        <v>1965697.5865</v>
      </c>
      <c r="D8" s="360">
        <v>11106.02</v>
      </c>
      <c r="G8" s="355" t="s">
        <v>31</v>
      </c>
      <c r="H8" s="367">
        <v>156500.29</v>
      </c>
      <c r="I8" s="367">
        <v>321914.61</v>
      </c>
      <c r="J8" s="367">
        <v>27326.09</v>
      </c>
      <c r="K8" s="367">
        <v>482276.46000000008</v>
      </c>
      <c r="L8" s="367">
        <v>988017.45000000019</v>
      </c>
    </row>
    <row r="9" spans="2:12" x14ac:dyDescent="0.25">
      <c r="B9" s="370" t="s">
        <v>223</v>
      </c>
      <c r="C9" s="371">
        <v>2764345.806499999</v>
      </c>
      <c r="D9" s="372">
        <v>14611.02</v>
      </c>
      <c r="G9" s="374" t="s">
        <v>223</v>
      </c>
      <c r="H9" s="375">
        <v>285492.63</v>
      </c>
      <c r="I9" s="375">
        <v>326490.61</v>
      </c>
      <c r="J9" s="375">
        <v>186664.98</v>
      </c>
      <c r="K9" s="375">
        <v>1965697.5865</v>
      </c>
      <c r="L9" s="375">
        <v>2764345.8064999999</v>
      </c>
    </row>
    <row r="12" spans="2:12" hidden="1" x14ac:dyDescent="0.25"/>
    <row r="13" spans="2:12" hidden="1" x14ac:dyDescent="0.25"/>
    <row r="14" spans="2:12" hidden="1" x14ac:dyDescent="0.25"/>
    <row r="15" spans="2:12" hidden="1" x14ac:dyDescent="0.25"/>
    <row r="16" spans="2:12"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spans="2:7" hidden="1" x14ac:dyDescent="0.25"/>
    <row r="498" spans="2:7" hidden="1" x14ac:dyDescent="0.25"/>
    <row r="499" spans="2:7" hidden="1" x14ac:dyDescent="0.25"/>
    <row r="500" spans="2:7" hidden="1" x14ac:dyDescent="0.25"/>
    <row r="501" spans="2:7" hidden="1" x14ac:dyDescent="0.25"/>
    <row r="502" spans="2:7" hidden="1" x14ac:dyDescent="0.25"/>
    <row r="503" spans="2:7" hidden="1" x14ac:dyDescent="0.25"/>
    <row r="504" spans="2:7" hidden="1" x14ac:dyDescent="0.25"/>
    <row r="505" spans="2:7" hidden="1" x14ac:dyDescent="0.25"/>
    <row r="506" spans="2:7" hidden="1" x14ac:dyDescent="0.25"/>
    <row r="507" spans="2:7" hidden="1" x14ac:dyDescent="0.25"/>
    <row r="508" spans="2:7" hidden="1" x14ac:dyDescent="0.25"/>
    <row r="509" spans="2:7" hidden="1" x14ac:dyDescent="0.25"/>
    <row r="510" spans="2:7" hidden="1" x14ac:dyDescent="0.25"/>
    <row r="512" spans="2:7" x14ac:dyDescent="0.25">
      <c r="B512" s="46" t="s">
        <v>573</v>
      </c>
      <c r="C512" s="45"/>
      <c r="D512" s="45"/>
      <c r="G512" s="46" t="s">
        <v>574</v>
      </c>
    </row>
    <row r="513" spans="2:9" x14ac:dyDescent="0.25">
      <c r="B513" s="356" t="s">
        <v>5</v>
      </c>
      <c r="C513" s="357" t="s">
        <v>30</v>
      </c>
      <c r="D513" s="44"/>
      <c r="G513" s="356" t="s">
        <v>2</v>
      </c>
      <c r="H513" s="357" t="s">
        <v>31</v>
      </c>
    </row>
    <row r="514" spans="2:9" x14ac:dyDescent="0.25">
      <c r="B514" s="44"/>
      <c r="C514" s="44"/>
      <c r="D514" s="44"/>
      <c r="G514" s="356" t="s">
        <v>168</v>
      </c>
      <c r="H514" s="357" t="s">
        <v>211</v>
      </c>
      <c r="I514" s="44"/>
    </row>
    <row r="515" spans="2:9" x14ac:dyDescent="0.25">
      <c r="B515" s="364" t="s">
        <v>215</v>
      </c>
      <c r="C515" s="364" t="s">
        <v>571</v>
      </c>
      <c r="D515" s="44"/>
      <c r="G515" s="44"/>
      <c r="H515" s="44"/>
      <c r="I515" s="44"/>
    </row>
    <row r="516" spans="2:9" x14ac:dyDescent="0.25">
      <c r="B516" s="358" t="s">
        <v>63</v>
      </c>
      <c r="C516" s="360">
        <v>750</v>
      </c>
      <c r="D516" s="44"/>
      <c r="G516" s="356" t="s">
        <v>215</v>
      </c>
      <c r="H516" s="357" t="s">
        <v>158</v>
      </c>
      <c r="I516" s="357" t="s">
        <v>216</v>
      </c>
    </row>
    <row r="517" spans="2:9" x14ac:dyDescent="0.25">
      <c r="B517" s="358" t="s">
        <v>575</v>
      </c>
      <c r="C517" s="360">
        <v>233</v>
      </c>
      <c r="D517" s="44"/>
      <c r="G517" s="363" t="s">
        <v>237</v>
      </c>
      <c r="H517" s="361">
        <v>0.14790624999999999</v>
      </c>
      <c r="I517" s="362">
        <v>8</v>
      </c>
    </row>
    <row r="518" spans="2:9" x14ac:dyDescent="0.25">
      <c r="B518" s="358" t="s">
        <v>47</v>
      </c>
      <c r="C518" s="360">
        <v>212</v>
      </c>
      <c r="D518" s="44"/>
      <c r="G518" s="363" t="s">
        <v>234</v>
      </c>
      <c r="H518" s="361">
        <v>0.358848</v>
      </c>
      <c r="I518" s="362">
        <v>7.5</v>
      </c>
    </row>
    <row r="519" spans="2:9" x14ac:dyDescent="0.25">
      <c r="B519" s="358" t="s">
        <v>102</v>
      </c>
      <c r="C519" s="360">
        <v>88</v>
      </c>
      <c r="D519" s="44"/>
      <c r="G519" s="363" t="s">
        <v>230</v>
      </c>
      <c r="H519" s="361">
        <v>0.91789714285714286</v>
      </c>
      <c r="I519" s="362">
        <v>7</v>
      </c>
    </row>
    <row r="520" spans="2:9" x14ac:dyDescent="0.25">
      <c r="B520" s="358" t="s">
        <v>54</v>
      </c>
      <c r="C520" s="360">
        <v>42</v>
      </c>
      <c r="D520" s="44"/>
      <c r="G520" s="363" t="s">
        <v>226</v>
      </c>
      <c r="H520" s="361">
        <v>0.37133538461538462</v>
      </c>
      <c r="I520" s="362">
        <v>6.5</v>
      </c>
    </row>
    <row r="521" spans="2:9" x14ac:dyDescent="0.25">
      <c r="B521" s="358" t="s">
        <v>576</v>
      </c>
      <c r="C521" s="360">
        <v>40</v>
      </c>
      <c r="D521" s="44"/>
      <c r="G521" s="363" t="s">
        <v>220</v>
      </c>
      <c r="H521" s="361">
        <v>0.44970333333333329</v>
      </c>
      <c r="I521" s="362">
        <v>6</v>
      </c>
    </row>
    <row r="522" spans="2:9" x14ac:dyDescent="0.25">
      <c r="B522" s="358" t="s">
        <v>89</v>
      </c>
      <c r="C522" s="360">
        <v>16</v>
      </c>
      <c r="D522" s="44"/>
      <c r="G522" s="358" t="s">
        <v>223</v>
      </c>
      <c r="H522" s="359">
        <v>2.2456901108058611</v>
      </c>
      <c r="I522" s="360">
        <v>35</v>
      </c>
    </row>
    <row r="523" spans="2:9" x14ac:dyDescent="0.25">
      <c r="B523" s="358" t="s">
        <v>577</v>
      </c>
      <c r="C523" s="360">
        <v>15</v>
      </c>
      <c r="D523" s="44"/>
    </row>
    <row r="524" spans="2:9" x14ac:dyDescent="0.25">
      <c r="B524" s="358" t="s">
        <v>578</v>
      </c>
      <c r="C524" s="360">
        <v>8</v>
      </c>
      <c r="D524" s="44"/>
    </row>
    <row r="525" spans="2:9" x14ac:dyDescent="0.25">
      <c r="B525" s="358" t="s">
        <v>145</v>
      </c>
      <c r="C525" s="360">
        <v>5</v>
      </c>
      <c r="D525" s="44"/>
    </row>
    <row r="526" spans="2:9" x14ac:dyDescent="0.25">
      <c r="B526" s="358" t="s">
        <v>566</v>
      </c>
      <c r="C526" s="360">
        <v>5</v>
      </c>
      <c r="D526" s="44"/>
    </row>
    <row r="527" spans="2:9" x14ac:dyDescent="0.25">
      <c r="B527" s="358" t="s">
        <v>579</v>
      </c>
      <c r="C527" s="360">
        <v>4</v>
      </c>
      <c r="D527" s="44"/>
    </row>
    <row r="528" spans="2:9" x14ac:dyDescent="0.25">
      <c r="B528" s="358" t="s">
        <v>52</v>
      </c>
      <c r="C528" s="360">
        <v>4</v>
      </c>
      <c r="D528" s="44"/>
    </row>
    <row r="529" spans="2:9" x14ac:dyDescent="0.25">
      <c r="B529" s="358" t="s">
        <v>348</v>
      </c>
      <c r="C529" s="360">
        <v>4</v>
      </c>
      <c r="D529" s="44"/>
    </row>
    <row r="530" spans="2:9" x14ac:dyDescent="0.25">
      <c r="B530" s="358" t="s">
        <v>580</v>
      </c>
      <c r="C530" s="360">
        <v>3</v>
      </c>
      <c r="D530" s="44"/>
    </row>
    <row r="531" spans="2:9" x14ac:dyDescent="0.25">
      <c r="B531" s="358" t="s">
        <v>581</v>
      </c>
      <c r="C531" s="360">
        <v>3</v>
      </c>
      <c r="D531" s="44"/>
    </row>
    <row r="532" spans="2:9" x14ac:dyDescent="0.25">
      <c r="B532" s="358" t="s">
        <v>71</v>
      </c>
      <c r="C532" s="360">
        <v>2</v>
      </c>
      <c r="D532" s="44"/>
    </row>
    <row r="533" spans="2:9" x14ac:dyDescent="0.25">
      <c r="B533" s="358" t="s">
        <v>567</v>
      </c>
      <c r="C533" s="360">
        <v>2</v>
      </c>
      <c r="D533" s="44"/>
    </row>
    <row r="534" spans="2:9" x14ac:dyDescent="0.25">
      <c r="B534" s="358" t="s">
        <v>69</v>
      </c>
      <c r="C534" s="360">
        <v>2</v>
      </c>
      <c r="D534" s="44"/>
      <c r="G534" s="36" t="s">
        <v>168</v>
      </c>
      <c r="H534" t="s">
        <v>211</v>
      </c>
    </row>
    <row r="535" spans="2:9" x14ac:dyDescent="0.25">
      <c r="B535" s="358" t="s">
        <v>582</v>
      </c>
      <c r="C535" s="360">
        <v>2</v>
      </c>
      <c r="D535" s="44"/>
      <c r="G535" s="36" t="s">
        <v>2</v>
      </c>
      <c r="H535" t="s">
        <v>213</v>
      </c>
    </row>
    <row r="536" spans="2:9" x14ac:dyDescent="0.25">
      <c r="B536" s="358" t="s">
        <v>583</v>
      </c>
      <c r="C536" s="360">
        <v>2</v>
      </c>
      <c r="D536" s="44"/>
    </row>
    <row r="537" spans="2:9" x14ac:dyDescent="0.25">
      <c r="B537" s="358" t="s">
        <v>584</v>
      </c>
      <c r="C537" s="360">
        <v>2</v>
      </c>
      <c r="D537" s="44"/>
      <c r="G537" s="36" t="s">
        <v>215</v>
      </c>
      <c r="H537" t="s">
        <v>158</v>
      </c>
      <c r="I537" t="s">
        <v>216</v>
      </c>
    </row>
    <row r="538" spans="2:9" x14ac:dyDescent="0.25">
      <c r="B538" s="358" t="s">
        <v>585</v>
      </c>
      <c r="C538" s="360">
        <v>1</v>
      </c>
      <c r="D538" s="44"/>
      <c r="G538" s="37" t="s">
        <v>220</v>
      </c>
      <c r="H538" s="239">
        <v>0.6733253846153846</v>
      </c>
      <c r="I538" s="236">
        <v>78</v>
      </c>
    </row>
    <row r="539" spans="2:9" x14ac:dyDescent="0.25">
      <c r="B539" s="358" t="s">
        <v>586</v>
      </c>
      <c r="C539" s="360">
        <v>1</v>
      </c>
      <c r="D539" s="44"/>
      <c r="G539" s="37" t="s">
        <v>226</v>
      </c>
      <c r="H539" s="239">
        <v>2.7055294339622642</v>
      </c>
      <c r="I539" s="236">
        <v>79.5</v>
      </c>
    </row>
    <row r="540" spans="2:9" x14ac:dyDescent="0.25">
      <c r="B540" s="358" t="s">
        <v>587</v>
      </c>
      <c r="C540" s="360">
        <v>1</v>
      </c>
      <c r="D540" s="44"/>
      <c r="G540" s="37" t="s">
        <v>230</v>
      </c>
      <c r="H540" s="239">
        <v>0.85241407407407399</v>
      </c>
      <c r="I540" s="236">
        <v>81</v>
      </c>
    </row>
    <row r="541" spans="2:9" x14ac:dyDescent="0.25">
      <c r="B541" s="358" t="s">
        <v>588</v>
      </c>
      <c r="C541" s="360">
        <v>1</v>
      </c>
      <c r="D541" s="44"/>
      <c r="G541" s="37" t="s">
        <v>234</v>
      </c>
      <c r="H541" s="239">
        <v>0.56714945454545451</v>
      </c>
      <c r="I541" s="236">
        <v>82.5</v>
      </c>
    </row>
    <row r="542" spans="2:9" x14ac:dyDescent="0.25">
      <c r="B542" s="358" t="s">
        <v>345</v>
      </c>
      <c r="C542" s="360">
        <v>1</v>
      </c>
      <c r="D542" s="44"/>
      <c r="G542" s="37" t="s">
        <v>237</v>
      </c>
      <c r="H542" s="239">
        <v>0.27155794117647059</v>
      </c>
      <c r="I542" s="236">
        <v>136</v>
      </c>
    </row>
    <row r="543" spans="2:9" x14ac:dyDescent="0.25">
      <c r="B543" s="358" t="s">
        <v>589</v>
      </c>
      <c r="C543" s="360">
        <v>1</v>
      </c>
      <c r="D543" s="44"/>
      <c r="G543" s="37" t="s">
        <v>223</v>
      </c>
      <c r="H543" s="239">
        <v>5.0699762883736481</v>
      </c>
      <c r="I543" s="236">
        <v>457</v>
      </c>
    </row>
    <row r="544" spans="2:9" x14ac:dyDescent="0.25">
      <c r="B544" s="358" t="s">
        <v>590</v>
      </c>
      <c r="C544" s="360">
        <v>1</v>
      </c>
      <c r="D544" s="44"/>
    </row>
    <row r="545" spans="2:4" x14ac:dyDescent="0.25">
      <c r="B545" s="358" t="s">
        <v>591</v>
      </c>
      <c r="C545" s="360">
        <v>1</v>
      </c>
      <c r="D545" s="44"/>
    </row>
    <row r="546" spans="2:4" x14ac:dyDescent="0.25">
      <c r="B546" s="358" t="s">
        <v>144</v>
      </c>
      <c r="C546" s="360">
        <v>1</v>
      </c>
      <c r="D546" s="44"/>
    </row>
    <row r="547" spans="2:4" x14ac:dyDescent="0.25">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workbookViewId="0">
      <selection activeCell="A1040" sqref="A1040"/>
    </sheetView>
  </sheetViews>
  <sheetFormatPr defaultRowHeight="15" x14ac:dyDescent="0.25"/>
  <cols>
    <col min="1" max="1" width="16.85546875" bestFit="1" customWidth="1"/>
    <col min="2" max="2" width="18.140625" bestFit="1" customWidth="1"/>
    <col min="3" max="3" width="13.7109375" bestFit="1" customWidth="1"/>
    <col min="4" max="4" width="11.5703125" bestFit="1" customWidth="1"/>
    <col min="5" max="5" width="12.5703125" bestFit="1" customWidth="1"/>
    <col min="6" max="6" width="9" bestFit="1" customWidth="1"/>
    <col min="7" max="7" width="12.7109375" bestFit="1" customWidth="1"/>
    <col min="8" max="8" width="11.140625" bestFit="1" customWidth="1"/>
    <col min="9" max="9" width="20" bestFit="1" customWidth="1"/>
    <col min="10" max="10" width="14.85546875" bestFit="1" customWidth="1"/>
    <col min="11" max="11" width="12" bestFit="1" customWidth="1"/>
    <col min="12" max="12" width="11.28515625" bestFit="1" customWidth="1"/>
    <col min="13" max="13" width="13.28515625" bestFit="1" customWidth="1"/>
    <col min="14" max="14" width="11.7109375" customWidth="1"/>
    <col min="15" max="15" width="10.7109375" customWidth="1"/>
    <col min="16" max="16" width="10.28515625" bestFit="1" customWidth="1"/>
    <col min="17" max="17" width="10.7109375" bestFit="1" customWidth="1"/>
    <col min="18" max="18" width="12.140625" bestFit="1" customWidth="1"/>
    <col min="19" max="19" width="10.42578125" bestFit="1" customWidth="1"/>
    <col min="22" max="22" width="16.140625" bestFit="1" customWidth="1"/>
    <col min="23" max="23" width="18.42578125" bestFit="1" customWidth="1"/>
    <col min="24" max="24" width="12.5703125" bestFit="1" customWidth="1"/>
    <col min="25" max="25" width="101.42578125" bestFit="1" customWidth="1"/>
    <col min="26" max="26" width="18.42578125" bestFit="1" customWidth="1"/>
    <col min="27" max="27" width="16" bestFit="1" customWidth="1"/>
    <col min="28" max="28" width="16.140625" bestFit="1" customWidth="1"/>
    <col min="29" max="29" width="18.42578125" bestFit="1" customWidth="1"/>
    <col min="30" max="30" width="12.85546875" bestFit="1" customWidth="1"/>
    <col min="31" max="31" width="16.140625" bestFit="1" customWidth="1"/>
    <col min="32" max="32" width="18.42578125" bestFit="1" customWidth="1"/>
    <col min="34" max="34" width="16.140625" bestFit="1" customWidth="1"/>
    <col min="35" max="35" width="18.42578125" bestFit="1" customWidth="1"/>
    <col min="36" max="37" width="15" bestFit="1" customWidth="1"/>
    <col min="40" max="40" width="8.28515625" bestFit="1" customWidth="1"/>
    <col min="41" max="41" width="12.140625" bestFit="1" customWidth="1"/>
  </cols>
  <sheetData>
    <row r="1" spans="1:41" x14ac:dyDescent="0.25">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25">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25">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25">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25">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25">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25">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25">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25">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25">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25">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25">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25">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25">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25">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25">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25">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25">
      <c r="H19" s="33"/>
      <c r="L19" s="33"/>
      <c r="M19" s="33"/>
      <c r="N19" s="33"/>
    </row>
    <row r="20" spans="1:35" x14ac:dyDescent="0.25">
      <c r="B20" s="33"/>
      <c r="C20" s="33"/>
      <c r="D20" s="33"/>
      <c r="E20" s="33"/>
      <c r="F20" s="33"/>
      <c r="G20" s="33"/>
      <c r="H20" s="33"/>
      <c r="L20" s="33"/>
      <c r="M20" s="33"/>
      <c r="N20" s="33"/>
    </row>
    <row r="21" spans="1:35" x14ac:dyDescent="0.25">
      <c r="B21" s="33"/>
      <c r="C21" s="33"/>
      <c r="D21" s="33"/>
      <c r="E21" s="33"/>
      <c r="F21" s="33"/>
      <c r="G21" s="33"/>
      <c r="H21" s="33"/>
      <c r="L21" s="33"/>
      <c r="M21" s="33"/>
      <c r="N21" s="33"/>
    </row>
    <row r="22" spans="1:35" x14ac:dyDescent="0.25">
      <c r="B22" s="33"/>
      <c r="C22" s="33"/>
      <c r="D22" s="33"/>
      <c r="E22" s="33"/>
      <c r="F22" s="33"/>
      <c r="G22" s="33"/>
      <c r="H22" s="33"/>
      <c r="I22" s="33"/>
      <c r="J22" s="33"/>
      <c r="K22" s="33"/>
      <c r="L22" s="33"/>
      <c r="M22" s="33"/>
      <c r="N22" s="33"/>
    </row>
    <row r="23" spans="1:35" x14ac:dyDescent="0.25">
      <c r="B23" s="33"/>
      <c r="C23" s="33"/>
      <c r="D23" s="33"/>
      <c r="E23" s="33"/>
      <c r="F23" s="33"/>
      <c r="G23" s="33"/>
      <c r="H23" s="33"/>
      <c r="I23" s="33"/>
      <c r="J23" s="33"/>
      <c r="K23" s="33"/>
      <c r="L23" s="33"/>
      <c r="M23" s="33"/>
      <c r="N23" s="33"/>
    </row>
    <row r="24" spans="1:35" x14ac:dyDescent="0.25">
      <c r="B24" s="33"/>
      <c r="C24" s="33"/>
      <c r="D24" s="33"/>
      <c r="E24" s="33"/>
      <c r="F24" s="33"/>
      <c r="G24" s="33"/>
      <c r="H24" s="33"/>
      <c r="I24" s="33"/>
      <c r="J24" s="33"/>
      <c r="K24" s="33"/>
      <c r="L24" s="33"/>
      <c r="M24" s="33"/>
      <c r="N24" s="33"/>
    </row>
    <row r="25" spans="1:35" x14ac:dyDescent="0.25">
      <c r="A25" s="37"/>
      <c r="B25" s="33"/>
      <c r="C25" s="33"/>
      <c r="D25" s="33"/>
      <c r="E25" s="33"/>
      <c r="F25" s="33"/>
      <c r="G25" s="33"/>
      <c r="H25" s="33"/>
      <c r="I25" s="33"/>
      <c r="J25" s="33"/>
      <c r="K25" s="33"/>
      <c r="L25" s="33"/>
      <c r="M25" s="33"/>
      <c r="N25" s="33"/>
    </row>
    <row r="26" spans="1:35" x14ac:dyDescent="0.25">
      <c r="A26" s="37"/>
      <c r="B26" s="33"/>
      <c r="C26" s="33"/>
      <c r="D26" s="33"/>
      <c r="E26" s="33"/>
      <c r="F26" s="33"/>
      <c r="G26" s="33"/>
      <c r="H26" s="33"/>
      <c r="I26" s="33"/>
      <c r="J26" s="33"/>
      <c r="K26" s="33"/>
      <c r="L26" s="33"/>
      <c r="M26" s="33"/>
      <c r="N26" s="33"/>
    </row>
    <row r="27" spans="1:35" x14ac:dyDescent="0.25">
      <c r="A27" s="37"/>
      <c r="B27" s="33"/>
      <c r="C27" s="33"/>
      <c r="D27" s="33"/>
      <c r="E27" s="33"/>
      <c r="F27" s="33"/>
      <c r="G27" s="33"/>
      <c r="H27" s="33"/>
      <c r="I27" s="33"/>
      <c r="J27" s="33"/>
      <c r="K27" s="33"/>
      <c r="L27" s="33"/>
      <c r="M27" s="33"/>
      <c r="N27" s="33"/>
    </row>
    <row r="28" spans="1:35" x14ac:dyDescent="0.25">
      <c r="A28" s="37"/>
      <c r="B28" s="33"/>
      <c r="C28" s="33"/>
      <c r="D28" s="33"/>
      <c r="E28" s="33"/>
      <c r="F28" s="33"/>
      <c r="G28" s="33"/>
      <c r="H28" s="33"/>
      <c r="I28" s="33"/>
      <c r="J28" s="33"/>
      <c r="K28" s="33"/>
      <c r="L28" s="33"/>
      <c r="M28" s="33"/>
      <c r="N28" s="33"/>
    </row>
    <row r="29" spans="1:35" x14ac:dyDescent="0.25">
      <c r="A29" s="37"/>
      <c r="B29" s="33"/>
      <c r="C29" s="33"/>
      <c r="D29" s="33"/>
      <c r="E29" s="33"/>
      <c r="F29" s="33"/>
      <c r="G29" s="33"/>
      <c r="H29" s="33"/>
      <c r="I29" s="33"/>
      <c r="J29" s="33"/>
      <c r="K29" s="33"/>
      <c r="L29" s="33"/>
      <c r="M29" s="33"/>
      <c r="N29" s="33"/>
    </row>
    <row r="30" spans="1:35" hidden="1" x14ac:dyDescent="0.25">
      <c r="A30" s="37"/>
      <c r="B30" s="33"/>
      <c r="C30" s="33"/>
      <c r="D30" s="33"/>
      <c r="E30" s="33"/>
      <c r="F30" s="33"/>
      <c r="G30" s="33"/>
      <c r="H30" s="33"/>
      <c r="I30" s="33"/>
      <c r="J30" s="33"/>
      <c r="K30" s="33"/>
      <c r="L30" s="33"/>
      <c r="M30" s="33"/>
      <c r="N30" s="33"/>
    </row>
    <row r="31" spans="1:35" hidden="1" x14ac:dyDescent="0.25">
      <c r="A31" s="37"/>
      <c r="B31" s="33"/>
      <c r="C31" s="33"/>
      <c r="D31" s="33"/>
      <c r="E31" s="33"/>
      <c r="F31" s="33"/>
      <c r="G31" s="33"/>
      <c r="H31" s="33"/>
      <c r="I31" s="33"/>
      <c r="J31" s="33"/>
      <c r="K31" s="33"/>
      <c r="L31" s="33"/>
      <c r="M31" s="33"/>
      <c r="N31" s="33"/>
    </row>
    <row r="32" spans="1:35" hidden="1" x14ac:dyDescent="0.25">
      <c r="A32" s="37"/>
      <c r="B32" s="33"/>
      <c r="C32" s="33"/>
      <c r="D32" s="33"/>
      <c r="E32" s="33"/>
      <c r="F32" s="33"/>
      <c r="G32" s="33"/>
      <c r="H32" s="33"/>
      <c r="I32" s="33"/>
      <c r="J32" s="33"/>
      <c r="K32" s="33"/>
      <c r="L32" s="33"/>
      <c r="M32" s="33"/>
      <c r="N32" s="33"/>
    </row>
    <row r="33" spans="1:14" hidden="1" x14ac:dyDescent="0.25">
      <c r="A33" s="37"/>
      <c r="B33" s="33"/>
      <c r="C33" s="33"/>
      <c r="D33" s="33"/>
      <c r="E33" s="33"/>
      <c r="F33" s="33"/>
      <c r="G33" s="33"/>
      <c r="H33" s="33"/>
      <c r="I33" s="33"/>
      <c r="J33" s="33"/>
      <c r="K33" s="33"/>
      <c r="L33" s="33"/>
      <c r="M33" s="33"/>
      <c r="N33" s="33"/>
    </row>
    <row r="34" spans="1:14" hidden="1" x14ac:dyDescent="0.25">
      <c r="A34" s="37"/>
      <c r="B34" s="33"/>
      <c r="C34" s="33"/>
      <c r="D34" s="33"/>
      <c r="E34" s="33"/>
      <c r="F34" s="33"/>
      <c r="G34" s="33"/>
      <c r="H34" s="33"/>
      <c r="I34" s="33"/>
      <c r="J34" s="33"/>
      <c r="K34" s="33"/>
      <c r="L34" s="33"/>
      <c r="M34" s="33"/>
      <c r="N34" s="33"/>
    </row>
    <row r="35" spans="1:14" hidden="1" x14ac:dyDescent="0.25">
      <c r="A35" s="37"/>
      <c r="B35" s="33"/>
      <c r="C35" s="33"/>
      <c r="D35" s="33"/>
      <c r="E35" s="33"/>
      <c r="F35" s="33"/>
      <c r="G35" s="33"/>
      <c r="H35" s="33"/>
      <c r="I35" s="33"/>
      <c r="J35" s="33"/>
      <c r="K35" s="33"/>
      <c r="L35" s="33"/>
      <c r="M35" s="33"/>
      <c r="N35" s="33"/>
    </row>
    <row r="36" spans="1:14" hidden="1" x14ac:dyDescent="0.25">
      <c r="A36" s="37"/>
      <c r="B36" s="33"/>
      <c r="C36" s="33"/>
      <c r="D36" s="33"/>
      <c r="E36" s="33"/>
      <c r="F36" s="33"/>
      <c r="G36" s="33"/>
      <c r="H36" s="33"/>
      <c r="I36" s="33"/>
      <c r="J36" s="33"/>
      <c r="K36" s="33"/>
      <c r="L36" s="33"/>
      <c r="M36" s="33"/>
      <c r="N36" s="33"/>
    </row>
    <row r="37" spans="1:14" hidden="1" x14ac:dyDescent="0.25">
      <c r="A37" s="37"/>
      <c r="B37" s="33"/>
      <c r="C37" s="33"/>
      <c r="D37" s="33"/>
      <c r="E37" s="33"/>
      <c r="F37" s="33"/>
      <c r="G37" s="33"/>
      <c r="H37" s="33"/>
      <c r="I37" s="33"/>
      <c r="J37" s="33"/>
      <c r="K37" s="33"/>
      <c r="L37" s="33"/>
      <c r="M37" s="33"/>
      <c r="N37" s="33"/>
    </row>
    <row r="38" spans="1:14" hidden="1" x14ac:dyDescent="0.25">
      <c r="A38" s="37"/>
      <c r="B38" s="33"/>
      <c r="C38" s="33"/>
      <c r="D38" s="33"/>
      <c r="E38" s="33"/>
      <c r="F38" s="33"/>
      <c r="G38" s="33"/>
      <c r="H38" s="33"/>
      <c r="I38" s="33"/>
      <c r="J38" s="33"/>
      <c r="K38" s="33"/>
      <c r="L38" s="33"/>
      <c r="M38" s="33"/>
      <c r="N38" s="33"/>
    </row>
    <row r="39" spans="1:14" hidden="1" x14ac:dyDescent="0.25">
      <c r="A39" s="37"/>
      <c r="B39" s="33"/>
      <c r="C39" s="33"/>
      <c r="D39" s="33"/>
      <c r="E39" s="33"/>
      <c r="F39" s="33"/>
      <c r="G39" s="33"/>
      <c r="H39" s="33"/>
      <c r="I39" s="33"/>
      <c r="J39" s="33"/>
      <c r="K39" s="33"/>
      <c r="L39" s="33"/>
      <c r="M39" s="33"/>
      <c r="N39" s="33"/>
    </row>
    <row r="40" spans="1:14" hidden="1" x14ac:dyDescent="0.25">
      <c r="A40" s="37"/>
      <c r="B40" s="33"/>
      <c r="C40" s="33"/>
      <c r="D40" s="33"/>
      <c r="E40" s="33"/>
      <c r="F40" s="33"/>
      <c r="G40" s="33"/>
      <c r="H40" s="33"/>
      <c r="I40" s="33"/>
      <c r="J40" s="33"/>
      <c r="K40" s="33"/>
      <c r="L40" s="33"/>
      <c r="M40" s="33"/>
      <c r="N40" s="33"/>
    </row>
    <row r="41" spans="1:14" hidden="1" x14ac:dyDescent="0.25">
      <c r="A41" s="37"/>
      <c r="B41" s="33"/>
      <c r="C41" s="33"/>
      <c r="D41" s="33"/>
      <c r="E41" s="33"/>
      <c r="F41" s="33"/>
      <c r="G41" s="33"/>
      <c r="H41" s="33"/>
      <c r="I41" s="33"/>
      <c r="J41" s="33"/>
      <c r="K41" s="33"/>
      <c r="L41" s="33"/>
      <c r="M41" s="33"/>
      <c r="N41" s="33"/>
    </row>
    <row r="42" spans="1:14" hidden="1" x14ac:dyDescent="0.25">
      <c r="A42" s="37"/>
      <c r="B42" s="33"/>
      <c r="C42" s="33"/>
      <c r="D42" s="33"/>
      <c r="E42" s="33"/>
      <c r="F42" s="33"/>
      <c r="G42" s="33"/>
      <c r="H42" s="33"/>
      <c r="I42" s="33"/>
      <c r="J42" s="33"/>
      <c r="K42" s="33"/>
      <c r="L42" s="33"/>
      <c r="M42" s="33"/>
      <c r="N42" s="33"/>
    </row>
    <row r="43" spans="1:14" hidden="1" x14ac:dyDescent="0.25">
      <c r="A43" s="37"/>
      <c r="B43" s="33"/>
      <c r="C43" s="33"/>
      <c r="D43" s="33"/>
      <c r="E43" s="33"/>
      <c r="F43" s="33"/>
      <c r="G43" s="33"/>
      <c r="H43" s="33"/>
      <c r="I43" s="33"/>
      <c r="J43" s="33"/>
      <c r="K43" s="33"/>
      <c r="L43" s="33"/>
      <c r="M43" s="33"/>
      <c r="N43" s="33"/>
    </row>
    <row r="44" spans="1:14" hidden="1" x14ac:dyDescent="0.25">
      <c r="A44" s="37"/>
      <c r="B44" s="33"/>
      <c r="C44" s="33"/>
      <c r="D44" s="33"/>
      <c r="E44" s="33"/>
      <c r="F44" s="33"/>
      <c r="G44" s="33"/>
      <c r="H44" s="33"/>
      <c r="I44" s="33"/>
      <c r="J44" s="33"/>
      <c r="K44" s="33"/>
      <c r="L44" s="33"/>
      <c r="M44" s="33"/>
      <c r="N44" s="33"/>
    </row>
    <row r="45" spans="1:14" hidden="1" x14ac:dyDescent="0.25">
      <c r="A45" s="37"/>
      <c r="B45" s="33"/>
      <c r="C45" s="33"/>
      <c r="D45" s="33"/>
      <c r="E45" s="33"/>
      <c r="F45" s="33"/>
      <c r="G45" s="33"/>
      <c r="H45" s="33"/>
      <c r="I45" s="33"/>
      <c r="J45" s="33"/>
      <c r="K45" s="33"/>
      <c r="L45" s="33"/>
      <c r="M45" s="33"/>
      <c r="N45" s="33"/>
    </row>
    <row r="46" spans="1:14" hidden="1" x14ac:dyDescent="0.25">
      <c r="A46" s="37"/>
      <c r="B46" s="33"/>
      <c r="C46" s="33"/>
      <c r="D46" s="33"/>
      <c r="E46" s="33"/>
      <c r="F46" s="33"/>
      <c r="G46" s="33"/>
      <c r="H46" s="33"/>
      <c r="I46" s="33"/>
      <c r="J46" s="33"/>
      <c r="K46" s="33"/>
      <c r="L46" s="33"/>
      <c r="M46" s="33"/>
      <c r="N46" s="33"/>
    </row>
    <row r="47" spans="1:14" hidden="1" x14ac:dyDescent="0.25">
      <c r="A47" s="37"/>
      <c r="B47" s="33"/>
      <c r="C47" s="33"/>
      <c r="D47" s="33"/>
      <c r="E47" s="33"/>
      <c r="F47" s="33"/>
      <c r="G47" s="33"/>
      <c r="H47" s="33"/>
      <c r="I47" s="33"/>
      <c r="J47" s="33"/>
      <c r="K47" s="33"/>
      <c r="L47" s="33"/>
      <c r="M47" s="33"/>
      <c r="N47" s="33"/>
    </row>
    <row r="48" spans="1:14" hidden="1" x14ac:dyDescent="0.25">
      <c r="A48" s="37"/>
      <c r="B48" s="33"/>
      <c r="C48" s="33"/>
      <c r="D48" s="33"/>
      <c r="E48" s="33"/>
      <c r="F48" s="33"/>
      <c r="G48" s="33"/>
      <c r="H48" s="33"/>
      <c r="I48" s="33"/>
      <c r="J48" s="33"/>
      <c r="K48" s="33"/>
      <c r="L48" s="33"/>
      <c r="M48" s="33"/>
      <c r="N48" s="33"/>
    </row>
    <row r="49" spans="1:14" hidden="1" x14ac:dyDescent="0.25">
      <c r="A49" s="37"/>
      <c r="B49" s="33"/>
      <c r="C49" s="33"/>
      <c r="D49" s="33"/>
      <c r="E49" s="33"/>
      <c r="F49" s="33"/>
      <c r="G49" s="33"/>
      <c r="H49" s="33"/>
      <c r="I49" s="33"/>
      <c r="J49" s="33"/>
      <c r="K49" s="33"/>
      <c r="L49" s="33"/>
      <c r="M49" s="33"/>
      <c r="N49" s="33"/>
    </row>
    <row r="50" spans="1:14" hidden="1" x14ac:dyDescent="0.25">
      <c r="A50" s="37"/>
      <c r="B50" s="33"/>
      <c r="C50" s="33"/>
      <c r="D50" s="33"/>
      <c r="E50" s="33"/>
      <c r="F50" s="33"/>
      <c r="G50" s="33"/>
      <c r="H50" s="33"/>
      <c r="I50" s="33"/>
      <c r="J50" s="33"/>
      <c r="K50" s="33"/>
      <c r="L50" s="33"/>
      <c r="M50" s="33"/>
      <c r="N50" s="33"/>
    </row>
    <row r="51" spans="1:14" hidden="1" x14ac:dyDescent="0.25">
      <c r="A51" s="37"/>
      <c r="B51" s="33"/>
      <c r="C51" s="33"/>
      <c r="D51" s="33"/>
      <c r="E51" s="33"/>
      <c r="F51" s="33"/>
      <c r="G51" s="33"/>
      <c r="H51" s="33"/>
      <c r="I51" s="33"/>
      <c r="J51" s="33"/>
      <c r="K51" s="33"/>
      <c r="L51" s="33"/>
      <c r="M51" s="33"/>
      <c r="N51" s="33"/>
    </row>
    <row r="52" spans="1:14" hidden="1" x14ac:dyDescent="0.25">
      <c r="A52" s="37"/>
      <c r="B52" s="33"/>
      <c r="C52" s="33"/>
      <c r="D52" s="33"/>
      <c r="E52" s="33"/>
      <c r="F52" s="33"/>
      <c r="G52" s="33"/>
      <c r="H52" s="33"/>
      <c r="I52" s="33"/>
      <c r="J52" s="33"/>
      <c r="K52" s="33"/>
      <c r="L52" s="33"/>
      <c r="M52" s="33"/>
      <c r="N52" s="33"/>
    </row>
    <row r="53" spans="1:14" hidden="1" x14ac:dyDescent="0.25">
      <c r="A53" s="37"/>
      <c r="B53" s="33"/>
      <c r="C53" s="33"/>
      <c r="D53" s="33"/>
      <c r="E53" s="33"/>
      <c r="F53" s="33"/>
      <c r="G53" s="33"/>
      <c r="H53" s="33"/>
      <c r="I53" s="33"/>
      <c r="J53" s="33"/>
      <c r="K53" s="33"/>
      <c r="L53" s="33"/>
      <c r="M53" s="33"/>
      <c r="N53" s="33"/>
    </row>
    <row r="54" spans="1:14" hidden="1" x14ac:dyDescent="0.25">
      <c r="A54" s="37"/>
      <c r="B54" s="33"/>
      <c r="C54" s="33"/>
      <c r="D54" s="33"/>
      <c r="E54" s="33"/>
      <c r="F54" s="33"/>
      <c r="G54" s="33"/>
      <c r="H54" s="33"/>
      <c r="I54" s="33"/>
      <c r="J54" s="33"/>
      <c r="K54" s="33"/>
      <c r="L54" s="33"/>
      <c r="M54" s="33"/>
      <c r="N54" s="33"/>
    </row>
    <row r="55" spans="1:14" hidden="1" x14ac:dyDescent="0.25">
      <c r="A55" s="37"/>
      <c r="B55" s="33"/>
      <c r="C55" s="33"/>
      <c r="D55" s="33"/>
      <c r="E55" s="33"/>
      <c r="F55" s="33"/>
      <c r="G55" s="33"/>
      <c r="H55" s="33"/>
      <c r="I55" s="33"/>
      <c r="J55" s="33"/>
      <c r="K55" s="33"/>
      <c r="L55" s="33"/>
      <c r="M55" s="33"/>
      <c r="N55" s="33"/>
    </row>
    <row r="56" spans="1:14" hidden="1" x14ac:dyDescent="0.25">
      <c r="A56" s="37"/>
      <c r="B56" s="33"/>
      <c r="C56" s="33"/>
      <c r="D56" s="33"/>
      <c r="E56" s="33"/>
      <c r="F56" s="33"/>
      <c r="G56" s="33"/>
      <c r="H56" s="33"/>
      <c r="I56" s="33"/>
      <c r="J56" s="33"/>
      <c r="K56" s="33"/>
      <c r="L56" s="33"/>
      <c r="M56" s="33"/>
      <c r="N56" s="33"/>
    </row>
    <row r="57" spans="1:14" hidden="1" x14ac:dyDescent="0.25">
      <c r="A57" s="37"/>
      <c r="B57" s="33"/>
      <c r="C57" s="33"/>
      <c r="D57" s="33"/>
      <c r="E57" s="33"/>
      <c r="F57" s="33"/>
      <c r="G57" s="33"/>
      <c r="H57" s="33"/>
      <c r="I57" s="33"/>
      <c r="J57" s="33"/>
      <c r="K57" s="33"/>
      <c r="L57" s="33"/>
      <c r="M57" s="33"/>
      <c r="N57" s="33"/>
    </row>
    <row r="58" spans="1:14" hidden="1" x14ac:dyDescent="0.25">
      <c r="A58" s="37"/>
      <c r="B58" s="33"/>
      <c r="C58" s="33"/>
      <c r="D58" s="33"/>
      <c r="E58" s="33"/>
      <c r="F58" s="33"/>
      <c r="G58" s="33"/>
      <c r="H58" s="33"/>
      <c r="I58" s="33"/>
      <c r="J58" s="33"/>
      <c r="K58" s="33"/>
      <c r="L58" s="33"/>
      <c r="M58" s="33"/>
      <c r="N58" s="33"/>
    </row>
    <row r="59" spans="1:14" hidden="1" x14ac:dyDescent="0.25">
      <c r="A59" s="37"/>
      <c r="B59" s="33"/>
      <c r="C59" s="33"/>
      <c r="D59" s="33"/>
      <c r="E59" s="33"/>
      <c r="F59" s="33"/>
      <c r="G59" s="33"/>
      <c r="H59" s="33"/>
      <c r="I59" s="33"/>
      <c r="J59" s="33"/>
      <c r="K59" s="33"/>
      <c r="L59" s="33"/>
      <c r="M59" s="33"/>
      <c r="N59" s="33"/>
    </row>
    <row r="60" spans="1:14" hidden="1" x14ac:dyDescent="0.25">
      <c r="A60" s="37"/>
      <c r="B60" s="33"/>
      <c r="C60" s="33"/>
      <c r="D60" s="33"/>
      <c r="E60" s="33"/>
      <c r="F60" s="33"/>
      <c r="G60" s="33"/>
      <c r="H60" s="33"/>
      <c r="I60" s="33"/>
      <c r="J60" s="33"/>
      <c r="K60" s="33"/>
      <c r="L60" s="33"/>
      <c r="M60" s="33"/>
      <c r="N60" s="33"/>
    </row>
    <row r="61" spans="1:14" hidden="1" x14ac:dyDescent="0.25">
      <c r="A61" s="37"/>
      <c r="B61" s="33"/>
      <c r="C61" s="33"/>
      <c r="D61" s="33"/>
      <c r="E61" s="33"/>
      <c r="F61" s="33"/>
      <c r="G61" s="33"/>
      <c r="H61" s="33"/>
      <c r="I61" s="33"/>
      <c r="J61" s="33"/>
      <c r="K61" s="33"/>
      <c r="L61" s="33"/>
      <c r="M61" s="33"/>
      <c r="N61" s="33"/>
    </row>
    <row r="62" spans="1:14" hidden="1" x14ac:dyDescent="0.25">
      <c r="A62" s="37"/>
      <c r="B62" s="33"/>
      <c r="C62" s="33"/>
      <c r="D62" s="33"/>
      <c r="E62" s="33"/>
      <c r="F62" s="33"/>
      <c r="G62" s="33"/>
      <c r="H62" s="33"/>
      <c r="I62" s="33"/>
      <c r="J62" s="33"/>
      <c r="K62" s="33"/>
      <c r="L62" s="33"/>
      <c r="M62" s="33"/>
      <c r="N62" s="33"/>
    </row>
    <row r="63" spans="1:14" hidden="1" x14ac:dyDescent="0.25">
      <c r="A63" s="37"/>
      <c r="B63" s="33"/>
      <c r="C63" s="33"/>
      <c r="D63" s="33"/>
      <c r="E63" s="33"/>
      <c r="F63" s="33"/>
      <c r="G63" s="33"/>
      <c r="H63" s="33"/>
      <c r="I63" s="33"/>
      <c r="J63" s="33"/>
      <c r="K63" s="33"/>
      <c r="L63" s="33"/>
      <c r="M63" s="33"/>
      <c r="N63" s="33"/>
    </row>
    <row r="64" spans="1:14" hidden="1" x14ac:dyDescent="0.25">
      <c r="A64" s="37"/>
      <c r="B64" s="33"/>
      <c r="C64" s="33"/>
      <c r="D64" s="33"/>
      <c r="E64" s="33"/>
      <c r="F64" s="33"/>
      <c r="G64" s="33"/>
      <c r="H64" s="33"/>
      <c r="I64" s="33"/>
      <c r="J64" s="33"/>
      <c r="K64" s="33"/>
      <c r="L64" s="33"/>
      <c r="M64" s="33"/>
      <c r="N64" s="33"/>
    </row>
    <row r="65" spans="1:14" hidden="1" x14ac:dyDescent="0.25">
      <c r="A65" s="37"/>
      <c r="B65" s="33"/>
      <c r="C65" s="33"/>
      <c r="D65" s="33"/>
      <c r="E65" s="33"/>
      <c r="F65" s="33"/>
      <c r="G65" s="33"/>
      <c r="H65" s="33"/>
      <c r="I65" s="33"/>
      <c r="J65" s="33"/>
      <c r="K65" s="33"/>
      <c r="L65" s="33"/>
      <c r="M65" s="33"/>
      <c r="N65" s="33"/>
    </row>
    <row r="66" spans="1:14" hidden="1" x14ac:dyDescent="0.25">
      <c r="A66" s="37"/>
      <c r="B66" s="33"/>
      <c r="C66" s="33"/>
      <c r="D66" s="33"/>
      <c r="E66" s="33"/>
      <c r="F66" s="33"/>
      <c r="G66" s="33"/>
      <c r="H66" s="33"/>
      <c r="I66" s="33"/>
      <c r="J66" s="33"/>
      <c r="K66" s="33"/>
      <c r="L66" s="33"/>
      <c r="M66" s="33"/>
      <c r="N66" s="33"/>
    </row>
    <row r="67" spans="1:14" hidden="1" x14ac:dyDescent="0.25">
      <c r="A67" s="37"/>
      <c r="B67" s="33"/>
      <c r="C67" s="33"/>
      <c r="D67" s="33"/>
      <c r="E67" s="33"/>
      <c r="F67" s="33"/>
      <c r="G67" s="33"/>
      <c r="H67" s="33"/>
      <c r="I67" s="33"/>
      <c r="J67" s="33"/>
      <c r="K67" s="33"/>
      <c r="L67" s="33"/>
      <c r="M67" s="33"/>
      <c r="N67" s="33"/>
    </row>
    <row r="68" spans="1:14" hidden="1" x14ac:dyDescent="0.25">
      <c r="A68" s="37"/>
      <c r="B68" s="33"/>
      <c r="C68" s="33"/>
      <c r="D68" s="33"/>
      <c r="E68" s="33"/>
      <c r="F68" s="33"/>
      <c r="G68" s="33"/>
      <c r="H68" s="33"/>
      <c r="I68" s="33"/>
      <c r="J68" s="33"/>
      <c r="K68" s="33"/>
      <c r="L68" s="33"/>
      <c r="M68" s="33"/>
      <c r="N68" s="33"/>
    </row>
    <row r="69" spans="1:14" hidden="1" x14ac:dyDescent="0.25">
      <c r="A69" s="37"/>
      <c r="B69" s="33"/>
      <c r="C69" s="33"/>
      <c r="D69" s="33"/>
      <c r="E69" s="33"/>
      <c r="F69" s="33"/>
      <c r="G69" s="33"/>
      <c r="H69" s="33"/>
      <c r="I69" s="33"/>
      <c r="J69" s="33"/>
      <c r="K69" s="33"/>
      <c r="L69" s="33"/>
      <c r="M69" s="33"/>
      <c r="N69" s="33"/>
    </row>
    <row r="70" spans="1:14" hidden="1" x14ac:dyDescent="0.25">
      <c r="A70" s="37"/>
      <c r="B70" s="33"/>
      <c r="C70" s="33"/>
      <c r="D70" s="33"/>
      <c r="E70" s="33"/>
      <c r="F70" s="33"/>
      <c r="G70" s="33"/>
      <c r="H70" s="33"/>
      <c r="I70" s="33"/>
      <c r="J70" s="33"/>
      <c r="K70" s="33"/>
      <c r="L70" s="33"/>
      <c r="M70" s="33"/>
      <c r="N70" s="33"/>
    </row>
    <row r="71" spans="1:14" hidden="1" x14ac:dyDescent="0.25">
      <c r="A71" s="37"/>
      <c r="B71" s="33"/>
      <c r="C71" s="33"/>
      <c r="D71" s="33"/>
      <c r="E71" s="33"/>
      <c r="F71" s="33"/>
      <c r="G71" s="33"/>
      <c r="H71" s="33"/>
      <c r="I71" s="33"/>
      <c r="J71" s="33"/>
      <c r="K71" s="33"/>
      <c r="L71" s="33"/>
      <c r="M71" s="33"/>
      <c r="N71" s="33"/>
    </row>
    <row r="72" spans="1:14" hidden="1" x14ac:dyDescent="0.25">
      <c r="A72" s="37"/>
      <c r="B72" s="33"/>
      <c r="C72" s="33"/>
      <c r="D72" s="33"/>
      <c r="E72" s="33"/>
      <c r="F72" s="33"/>
      <c r="G72" s="33"/>
      <c r="H72" s="33"/>
      <c r="I72" s="33"/>
      <c r="J72" s="33"/>
      <c r="K72" s="33"/>
      <c r="L72" s="33"/>
      <c r="M72" s="33"/>
      <c r="N72" s="33"/>
    </row>
    <row r="73" spans="1:14" hidden="1" x14ac:dyDescent="0.25">
      <c r="A73" s="37"/>
      <c r="B73" s="33"/>
      <c r="C73" s="33"/>
      <c r="D73" s="33"/>
      <c r="E73" s="33"/>
      <c r="F73" s="33"/>
      <c r="G73" s="33"/>
      <c r="H73" s="33"/>
      <c r="I73" s="33"/>
      <c r="J73" s="33"/>
      <c r="K73" s="33"/>
      <c r="L73" s="33"/>
      <c r="M73" s="33"/>
      <c r="N73" s="33"/>
    </row>
    <row r="74" spans="1:14" hidden="1" x14ac:dyDescent="0.25">
      <c r="A74" s="37"/>
      <c r="B74" s="33"/>
      <c r="C74" s="33"/>
      <c r="D74" s="33"/>
      <c r="E74" s="33"/>
      <c r="F74" s="33"/>
      <c r="G74" s="33"/>
      <c r="H74" s="33"/>
      <c r="I74" s="33"/>
      <c r="J74" s="33"/>
      <c r="K74" s="33"/>
      <c r="L74" s="33"/>
      <c r="M74" s="33"/>
      <c r="N74" s="33"/>
    </row>
    <row r="75" spans="1:14" hidden="1" x14ac:dyDescent="0.25">
      <c r="A75" s="37"/>
      <c r="B75" s="33"/>
      <c r="C75" s="33"/>
      <c r="D75" s="33"/>
      <c r="E75" s="33"/>
      <c r="F75" s="33"/>
      <c r="G75" s="33"/>
      <c r="H75" s="33"/>
      <c r="I75" s="33"/>
      <c r="J75" s="33"/>
      <c r="K75" s="33"/>
      <c r="L75" s="33"/>
      <c r="M75" s="33"/>
      <c r="N75" s="33"/>
    </row>
    <row r="76" spans="1:14" hidden="1" x14ac:dyDescent="0.25">
      <c r="A76" s="37"/>
      <c r="B76" s="33"/>
      <c r="C76" s="33"/>
      <c r="D76" s="33"/>
      <c r="E76" s="33"/>
      <c r="F76" s="33"/>
      <c r="G76" s="33"/>
      <c r="H76" s="33"/>
      <c r="I76" s="33"/>
      <c r="J76" s="33"/>
      <c r="K76" s="33"/>
      <c r="L76" s="33"/>
      <c r="M76" s="33"/>
      <c r="N76" s="33"/>
    </row>
    <row r="77" spans="1:14" hidden="1" x14ac:dyDescent="0.25">
      <c r="A77" s="37"/>
      <c r="B77" s="33"/>
      <c r="C77" s="33"/>
      <c r="D77" s="33"/>
      <c r="E77" s="33"/>
      <c r="F77" s="33"/>
      <c r="G77" s="33"/>
      <c r="H77" s="33"/>
      <c r="I77" s="33"/>
      <c r="J77" s="33"/>
      <c r="K77" s="33"/>
      <c r="L77" s="33"/>
      <c r="M77" s="33"/>
      <c r="N77" s="33"/>
    </row>
    <row r="78" spans="1:14" hidden="1" x14ac:dyDescent="0.25">
      <c r="A78" s="37"/>
      <c r="B78" s="33"/>
      <c r="C78" s="33"/>
      <c r="D78" s="33"/>
      <c r="E78" s="33"/>
      <c r="F78" s="33"/>
      <c r="G78" s="33"/>
      <c r="H78" s="33"/>
      <c r="I78" s="33"/>
      <c r="J78" s="33"/>
      <c r="K78" s="33"/>
      <c r="L78" s="33"/>
      <c r="M78" s="33"/>
      <c r="N78" s="33"/>
    </row>
    <row r="79" spans="1:14" hidden="1" x14ac:dyDescent="0.25">
      <c r="A79" s="37"/>
      <c r="B79" s="33"/>
      <c r="C79" s="33"/>
      <c r="D79" s="33"/>
      <c r="E79" s="33"/>
      <c r="F79" s="33"/>
      <c r="G79" s="33"/>
      <c r="H79" s="33"/>
      <c r="I79" s="33"/>
      <c r="J79" s="33"/>
      <c r="K79" s="33"/>
      <c r="L79" s="33"/>
      <c r="M79" s="33"/>
      <c r="N79" s="33"/>
    </row>
    <row r="80" spans="1:14" hidden="1" x14ac:dyDescent="0.25">
      <c r="A80" s="37"/>
      <c r="B80" s="33"/>
      <c r="C80" s="33"/>
      <c r="D80" s="33"/>
      <c r="E80" s="33"/>
      <c r="F80" s="33"/>
      <c r="G80" s="33"/>
      <c r="H80" s="33"/>
      <c r="I80" s="33"/>
      <c r="J80" s="33"/>
      <c r="K80" s="33"/>
      <c r="L80" s="33"/>
      <c r="M80" s="33"/>
      <c r="N80" s="33"/>
    </row>
    <row r="81" spans="1:14" hidden="1" x14ac:dyDescent="0.25">
      <c r="A81" s="37"/>
      <c r="B81" s="33"/>
      <c r="C81" s="33"/>
      <c r="D81" s="33"/>
      <c r="E81" s="33"/>
      <c r="F81" s="33"/>
      <c r="G81" s="33"/>
      <c r="H81" s="33"/>
      <c r="I81" s="33"/>
      <c r="J81" s="33"/>
      <c r="K81" s="33"/>
      <c r="L81" s="33"/>
      <c r="M81" s="33"/>
      <c r="N81" s="33"/>
    </row>
    <row r="82" spans="1:14" hidden="1" x14ac:dyDescent="0.25">
      <c r="A82" s="37"/>
      <c r="B82" s="33"/>
      <c r="C82" s="33"/>
      <c r="D82" s="33"/>
      <c r="E82" s="33"/>
      <c r="F82" s="33"/>
      <c r="G82" s="33"/>
      <c r="H82" s="33"/>
      <c r="I82" s="33"/>
      <c r="J82" s="33"/>
      <c r="K82" s="33"/>
      <c r="L82" s="33"/>
      <c r="M82" s="33"/>
      <c r="N82" s="33"/>
    </row>
    <row r="83" spans="1:14" hidden="1" x14ac:dyDescent="0.25">
      <c r="A83" s="37"/>
      <c r="B83" s="33"/>
      <c r="C83" s="33"/>
      <c r="D83" s="33"/>
      <c r="E83" s="33"/>
      <c r="F83" s="33"/>
      <c r="G83" s="33"/>
      <c r="H83" s="33"/>
      <c r="I83" s="33"/>
      <c r="J83" s="33"/>
      <c r="K83" s="33"/>
      <c r="L83" s="33"/>
      <c r="M83" s="33"/>
      <c r="N83" s="33"/>
    </row>
    <row r="84" spans="1:14" hidden="1" x14ac:dyDescent="0.25">
      <c r="A84" s="37"/>
      <c r="B84" s="33"/>
      <c r="C84" s="33"/>
      <c r="D84" s="33"/>
      <c r="E84" s="33"/>
      <c r="F84" s="33"/>
      <c r="G84" s="33"/>
      <c r="H84" s="33"/>
      <c r="I84" s="33"/>
      <c r="J84" s="33"/>
      <c r="K84" s="33"/>
      <c r="L84" s="33"/>
      <c r="M84" s="33"/>
      <c r="N84" s="33"/>
    </row>
    <row r="85" spans="1:14" hidden="1" x14ac:dyDescent="0.25">
      <c r="A85" s="37"/>
      <c r="B85" s="33"/>
      <c r="C85" s="33"/>
      <c r="D85" s="33"/>
      <c r="E85" s="33"/>
      <c r="F85" s="33"/>
      <c r="G85" s="33"/>
      <c r="H85" s="33"/>
      <c r="I85" s="33"/>
      <c r="J85" s="33"/>
      <c r="K85" s="33"/>
      <c r="L85" s="33"/>
      <c r="M85" s="33"/>
      <c r="N85" s="33"/>
    </row>
    <row r="86" spans="1:14" hidden="1" x14ac:dyDescent="0.25">
      <c r="A86" s="37"/>
      <c r="B86" s="33"/>
      <c r="C86" s="33"/>
      <c r="D86" s="33"/>
      <c r="E86" s="33"/>
      <c r="F86" s="33"/>
      <c r="G86" s="33"/>
      <c r="H86" s="33"/>
      <c r="I86" s="33"/>
      <c r="J86" s="33"/>
      <c r="K86" s="33"/>
      <c r="L86" s="33"/>
      <c r="M86" s="33"/>
      <c r="N86" s="33"/>
    </row>
    <row r="87" spans="1:14" hidden="1" x14ac:dyDescent="0.25">
      <c r="A87" s="37"/>
      <c r="B87" s="33"/>
      <c r="C87" s="33"/>
      <c r="D87" s="33"/>
      <c r="E87" s="33"/>
      <c r="F87" s="33"/>
      <c r="G87" s="33"/>
      <c r="H87" s="33"/>
      <c r="I87" s="33"/>
      <c r="J87" s="33"/>
      <c r="K87" s="33"/>
      <c r="L87" s="33"/>
      <c r="M87" s="33"/>
      <c r="N87" s="33"/>
    </row>
    <row r="88" spans="1:14" hidden="1" x14ac:dyDescent="0.25">
      <c r="A88" s="37"/>
      <c r="B88" s="33"/>
      <c r="C88" s="33"/>
      <c r="D88" s="33"/>
      <c r="E88" s="33"/>
      <c r="F88" s="33"/>
      <c r="G88" s="33"/>
      <c r="H88" s="33"/>
      <c r="I88" s="33"/>
      <c r="J88" s="33"/>
      <c r="K88" s="33"/>
      <c r="L88" s="33"/>
      <c r="M88" s="33"/>
      <c r="N88" s="33"/>
    </row>
    <row r="89" spans="1:14" hidden="1" x14ac:dyDescent="0.25">
      <c r="A89" s="37"/>
      <c r="B89" s="33"/>
      <c r="C89" s="33"/>
      <c r="D89" s="33"/>
      <c r="E89" s="33"/>
      <c r="F89" s="33"/>
      <c r="G89" s="33"/>
      <c r="H89" s="33"/>
      <c r="I89" s="33"/>
      <c r="J89" s="33"/>
      <c r="K89" s="33"/>
      <c r="L89" s="33"/>
      <c r="M89" s="33"/>
      <c r="N89" s="33"/>
    </row>
    <row r="90" spans="1:14" hidden="1" x14ac:dyDescent="0.25">
      <c r="A90" s="37"/>
      <c r="B90" s="33"/>
      <c r="C90" s="33"/>
      <c r="D90" s="33"/>
      <c r="E90" s="33"/>
      <c r="F90" s="33"/>
      <c r="G90" s="33"/>
      <c r="H90" s="33"/>
      <c r="I90" s="33"/>
      <c r="J90" s="33"/>
      <c r="K90" s="33"/>
      <c r="L90" s="33"/>
      <c r="M90" s="33"/>
      <c r="N90" s="33"/>
    </row>
    <row r="91" spans="1:14" hidden="1" x14ac:dyDescent="0.25">
      <c r="A91" s="37"/>
      <c r="B91" s="33"/>
      <c r="C91" s="33"/>
      <c r="D91" s="33"/>
      <c r="E91" s="33"/>
      <c r="F91" s="33"/>
      <c r="G91" s="33"/>
      <c r="H91" s="33"/>
      <c r="I91" s="33"/>
      <c r="J91" s="33"/>
      <c r="K91" s="33"/>
      <c r="L91" s="33"/>
      <c r="M91" s="33"/>
      <c r="N91" s="33"/>
    </row>
    <row r="92" spans="1:14" hidden="1" x14ac:dyDescent="0.25">
      <c r="A92" s="37"/>
      <c r="B92" s="33"/>
      <c r="C92" s="33"/>
      <c r="D92" s="33"/>
      <c r="E92" s="33"/>
      <c r="F92" s="33"/>
      <c r="G92" s="33"/>
      <c r="H92" s="33"/>
      <c r="I92" s="33"/>
      <c r="J92" s="33"/>
      <c r="K92" s="33"/>
      <c r="L92" s="33"/>
      <c r="M92" s="33"/>
      <c r="N92" s="33"/>
    </row>
    <row r="93" spans="1:14" hidden="1" x14ac:dyDescent="0.25">
      <c r="A93" s="37"/>
      <c r="B93" s="33"/>
      <c r="C93" s="33"/>
      <c r="D93" s="33"/>
      <c r="E93" s="33"/>
      <c r="F93" s="33"/>
      <c r="G93" s="33"/>
      <c r="H93" s="33"/>
      <c r="I93" s="33"/>
      <c r="J93" s="33"/>
      <c r="K93" s="33"/>
      <c r="L93" s="33"/>
      <c r="M93" s="33"/>
      <c r="N93" s="33"/>
    </row>
    <row r="94" spans="1:14" hidden="1" x14ac:dyDescent="0.25">
      <c r="A94" s="37"/>
      <c r="B94" s="33"/>
      <c r="C94" s="33"/>
      <c r="D94" s="33"/>
      <c r="E94" s="33"/>
      <c r="F94" s="33"/>
      <c r="G94" s="33"/>
      <c r="H94" s="33"/>
      <c r="I94" s="33"/>
      <c r="J94" s="33"/>
      <c r="K94" s="33"/>
      <c r="L94" s="33"/>
      <c r="M94" s="33"/>
      <c r="N94" s="33"/>
    </row>
    <row r="95" spans="1:14" hidden="1" x14ac:dyDescent="0.25">
      <c r="A95" s="37"/>
      <c r="B95" s="33"/>
      <c r="C95" s="33"/>
      <c r="D95" s="33"/>
      <c r="E95" s="33"/>
      <c r="F95" s="33"/>
      <c r="G95" s="33"/>
      <c r="H95" s="33"/>
      <c r="I95" s="33"/>
      <c r="J95" s="33"/>
      <c r="K95" s="33"/>
      <c r="L95" s="33"/>
      <c r="M95" s="33"/>
      <c r="N95" s="33"/>
    </row>
    <row r="96" spans="1:14" hidden="1" x14ac:dyDescent="0.25">
      <c r="A96" s="37"/>
      <c r="B96" s="33"/>
      <c r="C96" s="33"/>
      <c r="D96" s="33"/>
      <c r="E96" s="33"/>
      <c r="F96" s="33"/>
      <c r="G96" s="33"/>
      <c r="H96" s="33"/>
      <c r="I96" s="33"/>
      <c r="J96" s="33"/>
      <c r="K96" s="33"/>
      <c r="L96" s="33"/>
      <c r="M96" s="33"/>
      <c r="N96" s="33"/>
    </row>
    <row r="97" spans="1:14" hidden="1" x14ac:dyDescent="0.25">
      <c r="A97" s="37"/>
      <c r="B97" s="33"/>
      <c r="C97" s="33"/>
      <c r="D97" s="33"/>
      <c r="E97" s="33"/>
      <c r="F97" s="33"/>
      <c r="G97" s="33"/>
      <c r="H97" s="33"/>
      <c r="I97" s="33"/>
      <c r="J97" s="33"/>
      <c r="K97" s="33"/>
      <c r="L97" s="33"/>
      <c r="M97" s="33"/>
      <c r="N97" s="33"/>
    </row>
    <row r="98" spans="1:14" hidden="1" x14ac:dyDescent="0.25">
      <c r="A98" s="37"/>
      <c r="B98" s="33"/>
      <c r="C98" s="33"/>
      <c r="D98" s="33"/>
      <c r="E98" s="33"/>
      <c r="F98" s="33"/>
      <c r="G98" s="33"/>
      <c r="H98" s="33"/>
      <c r="I98" s="33"/>
      <c r="J98" s="33"/>
      <c r="K98" s="33"/>
      <c r="L98" s="33"/>
      <c r="M98" s="33"/>
      <c r="N98" s="33"/>
    </row>
    <row r="99" spans="1:14" hidden="1" x14ac:dyDescent="0.25">
      <c r="A99" s="37"/>
      <c r="B99" s="33"/>
      <c r="C99" s="33"/>
      <c r="D99" s="33"/>
      <c r="E99" s="33"/>
      <c r="F99" s="33"/>
      <c r="G99" s="33"/>
      <c r="H99" s="33"/>
      <c r="I99" s="33"/>
      <c r="J99" s="33"/>
      <c r="K99" s="33"/>
      <c r="L99" s="33"/>
      <c r="M99" s="33"/>
      <c r="N99" s="33"/>
    </row>
    <row r="100" spans="1:14" hidden="1" x14ac:dyDescent="0.25">
      <c r="A100" s="37"/>
      <c r="B100" s="33"/>
      <c r="C100" s="33"/>
      <c r="D100" s="33"/>
      <c r="E100" s="33"/>
      <c r="F100" s="33"/>
      <c r="G100" s="33"/>
      <c r="H100" s="33"/>
      <c r="I100" s="33"/>
      <c r="J100" s="33"/>
      <c r="K100" s="33"/>
      <c r="L100" s="33"/>
      <c r="M100" s="33"/>
      <c r="N100" s="33"/>
    </row>
    <row r="101" spans="1:14" hidden="1" x14ac:dyDescent="0.25">
      <c r="A101" s="37"/>
      <c r="B101" s="33"/>
      <c r="C101" s="33"/>
      <c r="D101" s="33"/>
      <c r="E101" s="33"/>
      <c r="F101" s="33"/>
      <c r="G101" s="33"/>
      <c r="H101" s="33"/>
      <c r="I101" s="33"/>
      <c r="J101" s="33"/>
      <c r="K101" s="33"/>
      <c r="L101" s="33"/>
      <c r="M101" s="33"/>
      <c r="N101" s="33"/>
    </row>
    <row r="102" spans="1:14" hidden="1" x14ac:dyDescent="0.25">
      <c r="A102" s="37"/>
      <c r="B102" s="33"/>
      <c r="C102" s="33"/>
      <c r="D102" s="33"/>
      <c r="E102" s="33"/>
      <c r="F102" s="33"/>
      <c r="G102" s="33"/>
      <c r="H102" s="33"/>
      <c r="I102" s="33"/>
      <c r="J102" s="33"/>
      <c r="K102" s="33"/>
      <c r="L102" s="33"/>
      <c r="M102" s="33"/>
      <c r="N102" s="33"/>
    </row>
    <row r="103" spans="1:14" hidden="1" x14ac:dyDescent="0.25">
      <c r="A103" s="37"/>
      <c r="B103" s="33"/>
      <c r="C103" s="33"/>
      <c r="D103" s="33"/>
      <c r="E103" s="33"/>
      <c r="F103" s="33"/>
      <c r="G103" s="33"/>
      <c r="H103" s="33"/>
      <c r="I103" s="33"/>
      <c r="J103" s="33"/>
      <c r="K103" s="33"/>
      <c r="L103" s="33"/>
      <c r="M103" s="33"/>
      <c r="N103" s="33"/>
    </row>
    <row r="104" spans="1:14" hidden="1" x14ac:dyDescent="0.25">
      <c r="A104" s="37"/>
      <c r="B104" s="33"/>
      <c r="C104" s="33"/>
      <c r="D104" s="33"/>
      <c r="E104" s="33"/>
      <c r="F104" s="33"/>
      <c r="G104" s="33"/>
      <c r="H104" s="33"/>
      <c r="I104" s="33"/>
      <c r="J104" s="33"/>
      <c r="K104" s="33"/>
      <c r="L104" s="33"/>
      <c r="M104" s="33"/>
      <c r="N104" s="33"/>
    </row>
    <row r="105" spans="1:14" hidden="1" x14ac:dyDescent="0.25">
      <c r="A105" s="37"/>
      <c r="B105" s="33"/>
      <c r="C105" s="33"/>
      <c r="D105" s="33"/>
      <c r="E105" s="33"/>
      <c r="F105" s="33"/>
      <c r="G105" s="33"/>
      <c r="H105" s="33"/>
      <c r="I105" s="33"/>
      <c r="J105" s="33"/>
      <c r="K105" s="33"/>
      <c r="L105" s="33"/>
      <c r="M105" s="33"/>
      <c r="N105" s="33"/>
    </row>
    <row r="106" spans="1:14" hidden="1" x14ac:dyDescent="0.25">
      <c r="A106" s="37"/>
      <c r="B106" s="33"/>
      <c r="C106" s="33"/>
      <c r="D106" s="33"/>
      <c r="E106" s="33"/>
      <c r="F106" s="33"/>
      <c r="G106" s="33"/>
      <c r="H106" s="33"/>
      <c r="I106" s="33"/>
      <c r="J106" s="33"/>
      <c r="K106" s="33"/>
      <c r="L106" s="33"/>
      <c r="M106" s="33"/>
      <c r="N106" s="33"/>
    </row>
    <row r="107" spans="1:14" hidden="1" x14ac:dyDescent="0.25">
      <c r="A107" s="37"/>
      <c r="B107" s="33"/>
      <c r="C107" s="33"/>
      <c r="D107" s="33"/>
      <c r="E107" s="33"/>
      <c r="F107" s="33"/>
      <c r="G107" s="33"/>
      <c r="H107" s="33"/>
      <c r="I107" s="33"/>
      <c r="J107" s="33"/>
      <c r="K107" s="33"/>
      <c r="L107" s="33"/>
      <c r="M107" s="33"/>
      <c r="N107" s="33"/>
    </row>
    <row r="108" spans="1:14" hidden="1" x14ac:dyDescent="0.25">
      <c r="A108" s="37"/>
      <c r="B108" s="33"/>
      <c r="C108" s="33"/>
      <c r="D108" s="33"/>
      <c r="E108" s="33"/>
      <c r="F108" s="33"/>
      <c r="G108" s="33"/>
      <c r="H108" s="33"/>
      <c r="I108" s="33"/>
      <c r="J108" s="33"/>
      <c r="K108" s="33"/>
      <c r="L108" s="33"/>
      <c r="M108" s="33"/>
      <c r="N108" s="33"/>
    </row>
    <row r="109" spans="1:14" hidden="1" x14ac:dyDescent="0.25">
      <c r="A109" s="37"/>
      <c r="B109" s="33"/>
      <c r="C109" s="33"/>
      <c r="D109" s="33"/>
      <c r="E109" s="33"/>
      <c r="F109" s="33"/>
      <c r="G109" s="33"/>
      <c r="H109" s="33"/>
      <c r="I109" s="33"/>
      <c r="J109" s="33"/>
      <c r="K109" s="33"/>
      <c r="L109" s="33"/>
      <c r="M109" s="33"/>
      <c r="N109" s="33"/>
    </row>
    <row r="110" spans="1:14" hidden="1" x14ac:dyDescent="0.25">
      <c r="A110" s="37"/>
      <c r="B110" s="33"/>
      <c r="C110" s="33"/>
      <c r="D110" s="33"/>
      <c r="E110" s="33"/>
      <c r="F110" s="33"/>
      <c r="G110" s="33"/>
      <c r="H110" s="33"/>
      <c r="I110" s="33"/>
      <c r="J110" s="33"/>
      <c r="K110" s="33"/>
      <c r="L110" s="33"/>
      <c r="M110" s="33"/>
      <c r="N110" s="33"/>
    </row>
    <row r="111" spans="1:14" hidden="1" x14ac:dyDescent="0.25">
      <c r="A111" s="37"/>
      <c r="B111" s="33"/>
      <c r="C111" s="33"/>
      <c r="D111" s="33"/>
      <c r="E111" s="33"/>
      <c r="F111" s="33"/>
      <c r="G111" s="33"/>
      <c r="H111" s="33"/>
      <c r="I111" s="33"/>
      <c r="J111" s="33"/>
      <c r="K111" s="33"/>
      <c r="L111" s="33"/>
      <c r="M111" s="33"/>
      <c r="N111" s="33"/>
    </row>
    <row r="112" spans="1:14" hidden="1" x14ac:dyDescent="0.25">
      <c r="A112" s="37"/>
      <c r="B112" s="33"/>
      <c r="C112" s="33"/>
      <c r="D112" s="33"/>
      <c r="E112" s="33"/>
      <c r="F112" s="33"/>
      <c r="G112" s="33"/>
      <c r="H112" s="33"/>
      <c r="I112" s="33"/>
      <c r="J112" s="33"/>
      <c r="K112" s="33"/>
      <c r="L112" s="33"/>
      <c r="M112" s="33"/>
      <c r="N112" s="33"/>
    </row>
    <row r="113" spans="1:14" hidden="1" x14ac:dyDescent="0.25">
      <c r="A113" s="37"/>
      <c r="B113" s="33"/>
      <c r="C113" s="33"/>
      <c r="D113" s="33"/>
      <c r="E113" s="33"/>
      <c r="F113" s="33"/>
      <c r="G113" s="33"/>
      <c r="H113" s="33"/>
      <c r="I113" s="33"/>
      <c r="J113" s="33"/>
      <c r="K113" s="33"/>
      <c r="L113" s="33"/>
      <c r="M113" s="33"/>
      <c r="N113" s="33"/>
    </row>
    <row r="114" spans="1:14" hidden="1" x14ac:dyDescent="0.25">
      <c r="A114" s="37"/>
      <c r="B114" s="33"/>
      <c r="C114" s="33"/>
      <c r="D114" s="33"/>
      <c r="E114" s="33"/>
      <c r="F114" s="33"/>
      <c r="G114" s="33"/>
      <c r="H114" s="33"/>
      <c r="I114" s="33"/>
      <c r="J114" s="33"/>
      <c r="K114" s="33"/>
      <c r="L114" s="33"/>
      <c r="M114" s="33"/>
      <c r="N114" s="33"/>
    </row>
    <row r="115" spans="1:14" hidden="1" x14ac:dyDescent="0.25">
      <c r="A115" s="37"/>
      <c r="B115" s="33"/>
      <c r="C115" s="33"/>
      <c r="D115" s="33"/>
      <c r="E115" s="33"/>
      <c r="F115" s="33"/>
      <c r="G115" s="33"/>
      <c r="H115" s="33"/>
      <c r="I115" s="33"/>
      <c r="J115" s="33"/>
      <c r="K115" s="33"/>
      <c r="L115" s="33"/>
      <c r="M115" s="33"/>
      <c r="N115" s="33"/>
    </row>
    <row r="116" spans="1:14" hidden="1" x14ac:dyDescent="0.25">
      <c r="A116" s="37"/>
      <c r="B116" s="33"/>
      <c r="C116" s="33"/>
      <c r="D116" s="33"/>
      <c r="E116" s="33"/>
      <c r="F116" s="33"/>
      <c r="G116" s="33"/>
      <c r="H116" s="33"/>
      <c r="I116" s="33"/>
      <c r="J116" s="33"/>
      <c r="K116" s="33"/>
      <c r="L116" s="33"/>
      <c r="M116" s="33"/>
      <c r="N116" s="33"/>
    </row>
    <row r="117" spans="1:14" hidden="1" x14ac:dyDescent="0.25">
      <c r="A117" s="37"/>
      <c r="B117" s="33"/>
      <c r="C117" s="33"/>
      <c r="D117" s="33"/>
      <c r="E117" s="33"/>
      <c r="F117" s="33"/>
      <c r="G117" s="33"/>
      <c r="H117" s="33"/>
      <c r="I117" s="33"/>
      <c r="J117" s="33"/>
      <c r="K117" s="33"/>
      <c r="L117" s="33"/>
      <c r="M117" s="33"/>
      <c r="N117" s="33"/>
    </row>
    <row r="118" spans="1:14" hidden="1" x14ac:dyDescent="0.25">
      <c r="A118" s="37"/>
      <c r="B118" s="33"/>
      <c r="C118" s="33"/>
      <c r="D118" s="33"/>
      <c r="E118" s="33"/>
      <c r="F118" s="33"/>
      <c r="G118" s="33"/>
      <c r="H118" s="33"/>
      <c r="I118" s="33"/>
      <c r="J118" s="33"/>
      <c r="K118" s="33"/>
      <c r="L118" s="33"/>
      <c r="M118" s="33"/>
      <c r="N118" s="33"/>
    </row>
    <row r="119" spans="1:14" hidden="1" x14ac:dyDescent="0.25">
      <c r="A119" s="37"/>
      <c r="B119" s="33"/>
      <c r="C119" s="33"/>
      <c r="D119" s="33"/>
      <c r="E119" s="33"/>
      <c r="F119" s="33"/>
      <c r="G119" s="33"/>
      <c r="H119" s="33"/>
      <c r="I119" s="33"/>
      <c r="J119" s="33"/>
      <c r="K119" s="33"/>
      <c r="L119" s="33"/>
      <c r="M119" s="33"/>
      <c r="N119" s="33"/>
    </row>
    <row r="120" spans="1:14" hidden="1" x14ac:dyDescent="0.25">
      <c r="A120" s="37"/>
      <c r="B120" s="33"/>
      <c r="C120" s="33"/>
      <c r="D120" s="33"/>
      <c r="E120" s="33"/>
      <c r="F120" s="33"/>
      <c r="G120" s="33"/>
      <c r="H120" s="33"/>
      <c r="I120" s="33"/>
      <c r="J120" s="33"/>
      <c r="K120" s="33"/>
      <c r="L120" s="33"/>
      <c r="M120" s="33"/>
      <c r="N120" s="33"/>
    </row>
    <row r="121" spans="1:14" hidden="1" x14ac:dyDescent="0.25">
      <c r="A121" s="37"/>
      <c r="B121" s="33"/>
      <c r="C121" s="33"/>
      <c r="D121" s="33"/>
      <c r="E121" s="33"/>
      <c r="F121" s="33"/>
      <c r="G121" s="33"/>
      <c r="H121" s="33"/>
      <c r="I121" s="33"/>
      <c r="J121" s="33"/>
      <c r="K121" s="33"/>
      <c r="L121" s="33"/>
      <c r="M121" s="33"/>
      <c r="N121" s="33"/>
    </row>
    <row r="122" spans="1:14" hidden="1" x14ac:dyDescent="0.25">
      <c r="A122" s="37"/>
      <c r="B122" s="33"/>
      <c r="C122" s="33"/>
      <c r="D122" s="33"/>
      <c r="E122" s="33"/>
      <c r="F122" s="33"/>
      <c r="G122" s="33"/>
      <c r="H122" s="33"/>
      <c r="I122" s="33"/>
      <c r="J122" s="33"/>
      <c r="K122" s="33"/>
      <c r="L122" s="33"/>
      <c r="M122" s="33"/>
      <c r="N122" s="33"/>
    </row>
    <row r="123" spans="1:14" hidden="1" x14ac:dyDescent="0.25">
      <c r="A123" s="37"/>
      <c r="B123" s="33"/>
      <c r="C123" s="33"/>
      <c r="D123" s="33"/>
      <c r="E123" s="33"/>
      <c r="F123" s="33"/>
      <c r="G123" s="33"/>
      <c r="H123" s="33"/>
      <c r="I123" s="33"/>
      <c r="J123" s="33"/>
      <c r="K123" s="33"/>
      <c r="L123" s="33"/>
      <c r="M123" s="33"/>
      <c r="N123" s="33"/>
    </row>
    <row r="124" spans="1:14" hidden="1" x14ac:dyDescent="0.25">
      <c r="A124" s="37"/>
      <c r="B124" s="33"/>
      <c r="C124" s="33"/>
      <c r="D124" s="33"/>
      <c r="E124" s="33"/>
      <c r="F124" s="33"/>
      <c r="G124" s="33"/>
      <c r="H124" s="33"/>
      <c r="I124" s="33"/>
      <c r="J124" s="33"/>
      <c r="K124" s="33"/>
      <c r="L124" s="33"/>
      <c r="M124" s="33"/>
      <c r="N124" s="33"/>
    </row>
    <row r="125" spans="1:14" hidden="1" x14ac:dyDescent="0.25">
      <c r="A125" s="37"/>
      <c r="B125" s="33"/>
      <c r="C125" s="33"/>
      <c r="D125" s="33"/>
      <c r="E125" s="33"/>
      <c r="F125" s="33"/>
      <c r="G125" s="33"/>
      <c r="H125" s="33"/>
      <c r="I125" s="33"/>
      <c r="J125" s="33"/>
      <c r="K125" s="33"/>
      <c r="L125" s="33"/>
      <c r="M125" s="33"/>
      <c r="N125" s="33"/>
    </row>
    <row r="126" spans="1:14" hidden="1" x14ac:dyDescent="0.25">
      <c r="A126" s="37"/>
      <c r="B126" s="33"/>
      <c r="C126" s="33"/>
      <c r="D126" s="33"/>
      <c r="E126" s="33"/>
      <c r="F126" s="33"/>
      <c r="G126" s="33"/>
      <c r="H126" s="33"/>
      <c r="I126" s="33"/>
      <c r="J126" s="33"/>
      <c r="K126" s="33"/>
      <c r="L126" s="33"/>
      <c r="M126" s="33"/>
      <c r="N126" s="33"/>
    </row>
    <row r="127" spans="1:14" hidden="1" x14ac:dyDescent="0.25">
      <c r="A127" s="37"/>
      <c r="B127" s="33"/>
      <c r="C127" s="33"/>
      <c r="D127" s="33"/>
      <c r="E127" s="33"/>
      <c r="F127" s="33"/>
      <c r="G127" s="33"/>
      <c r="H127" s="33"/>
      <c r="I127" s="33"/>
      <c r="J127" s="33"/>
      <c r="K127" s="33"/>
      <c r="L127" s="33"/>
      <c r="M127" s="33"/>
      <c r="N127" s="33"/>
    </row>
    <row r="128" spans="1:14" hidden="1" x14ac:dyDescent="0.25">
      <c r="A128" s="37"/>
      <c r="B128" s="33"/>
      <c r="C128" s="33"/>
      <c r="D128" s="33"/>
      <c r="E128" s="33"/>
      <c r="F128" s="33"/>
      <c r="G128" s="33"/>
      <c r="H128" s="33"/>
      <c r="I128" s="33"/>
      <c r="J128" s="33"/>
      <c r="K128" s="33"/>
      <c r="L128" s="33"/>
      <c r="M128" s="33"/>
      <c r="N128" s="33"/>
    </row>
    <row r="129" spans="1:14" hidden="1" x14ac:dyDescent="0.25">
      <c r="A129" s="37"/>
      <c r="B129" s="33"/>
      <c r="C129" s="33"/>
      <c r="D129" s="33"/>
      <c r="E129" s="33"/>
      <c r="F129" s="33"/>
      <c r="G129" s="33"/>
      <c r="H129" s="33"/>
      <c r="I129" s="33"/>
      <c r="J129" s="33"/>
      <c r="K129" s="33"/>
      <c r="L129" s="33"/>
      <c r="M129" s="33"/>
      <c r="N129" s="33"/>
    </row>
    <row r="130" spans="1:14" hidden="1" x14ac:dyDescent="0.25">
      <c r="A130" s="37"/>
      <c r="B130" s="33"/>
      <c r="C130" s="33"/>
      <c r="D130" s="33"/>
      <c r="E130" s="33"/>
      <c r="F130" s="33"/>
      <c r="G130" s="33"/>
      <c r="H130" s="33"/>
      <c r="I130" s="33"/>
      <c r="J130" s="33"/>
      <c r="K130" s="33"/>
      <c r="L130" s="33"/>
      <c r="M130" s="33"/>
      <c r="N130" s="33"/>
    </row>
    <row r="131" spans="1:14" hidden="1" x14ac:dyDescent="0.25">
      <c r="A131" s="37"/>
      <c r="B131" s="33"/>
      <c r="C131" s="33"/>
      <c r="D131" s="33"/>
      <c r="E131" s="33"/>
      <c r="F131" s="33"/>
      <c r="G131" s="33"/>
      <c r="H131" s="33"/>
      <c r="I131" s="33"/>
      <c r="J131" s="33"/>
      <c r="K131" s="33"/>
      <c r="L131" s="33"/>
      <c r="M131" s="33"/>
      <c r="N131" s="33"/>
    </row>
    <row r="132" spans="1:14" hidden="1" x14ac:dyDescent="0.25">
      <c r="A132" s="37"/>
      <c r="B132" s="33"/>
      <c r="C132" s="33"/>
      <c r="D132" s="33"/>
      <c r="E132" s="33"/>
      <c r="F132" s="33"/>
      <c r="G132" s="33"/>
      <c r="H132" s="33"/>
      <c r="I132" s="33"/>
      <c r="J132" s="33"/>
      <c r="K132" s="33"/>
      <c r="L132" s="33"/>
      <c r="M132" s="33"/>
      <c r="N132" s="33"/>
    </row>
    <row r="133" spans="1:14" hidden="1" x14ac:dyDescent="0.25">
      <c r="A133" s="37"/>
      <c r="B133" s="33"/>
      <c r="C133" s="33"/>
      <c r="D133" s="33"/>
      <c r="E133" s="33"/>
      <c r="F133" s="33"/>
      <c r="G133" s="33"/>
      <c r="H133" s="33"/>
      <c r="I133" s="33"/>
      <c r="J133" s="33"/>
      <c r="K133" s="33"/>
      <c r="L133" s="33"/>
      <c r="M133" s="33"/>
      <c r="N133" s="33"/>
    </row>
    <row r="134" spans="1:14" hidden="1" x14ac:dyDescent="0.25">
      <c r="A134" s="37"/>
      <c r="B134" s="33"/>
      <c r="C134" s="33"/>
      <c r="D134" s="33"/>
      <c r="E134" s="33"/>
      <c r="F134" s="33"/>
      <c r="G134" s="33"/>
      <c r="H134" s="33"/>
      <c r="I134" s="33"/>
      <c r="J134" s="33"/>
      <c r="K134" s="33"/>
      <c r="L134" s="33"/>
      <c r="M134" s="33"/>
      <c r="N134" s="33"/>
    </row>
    <row r="135" spans="1:14" hidden="1" x14ac:dyDescent="0.25">
      <c r="A135" s="37"/>
      <c r="B135" s="33"/>
      <c r="C135" s="33"/>
      <c r="D135" s="33"/>
      <c r="E135" s="33"/>
      <c r="F135" s="33"/>
      <c r="G135" s="33"/>
      <c r="H135" s="33"/>
      <c r="I135" s="33"/>
      <c r="J135" s="33"/>
      <c r="K135" s="33"/>
      <c r="L135" s="33"/>
      <c r="M135" s="33"/>
      <c r="N135" s="33"/>
    </row>
    <row r="136" spans="1:14" hidden="1" x14ac:dyDescent="0.25">
      <c r="A136" s="37"/>
      <c r="B136" s="33"/>
      <c r="C136" s="33"/>
      <c r="D136" s="33"/>
      <c r="E136" s="33"/>
      <c r="F136" s="33"/>
      <c r="G136" s="33"/>
      <c r="H136" s="33"/>
      <c r="I136" s="33"/>
      <c r="J136" s="33"/>
      <c r="K136" s="33"/>
      <c r="L136" s="33"/>
      <c r="M136" s="33"/>
      <c r="N136" s="33"/>
    </row>
    <row r="137" spans="1:14" hidden="1" x14ac:dyDescent="0.25">
      <c r="A137" s="37"/>
      <c r="B137" s="33"/>
      <c r="C137" s="33"/>
      <c r="D137" s="33"/>
      <c r="E137" s="33"/>
      <c r="F137" s="33"/>
      <c r="G137" s="33"/>
      <c r="H137" s="33"/>
      <c r="I137" s="33"/>
      <c r="J137" s="33"/>
      <c r="K137" s="33"/>
      <c r="L137" s="33"/>
      <c r="M137" s="33"/>
      <c r="N137" s="33"/>
    </row>
    <row r="138" spans="1:14" hidden="1" x14ac:dyDescent="0.25">
      <c r="A138" s="37"/>
      <c r="B138" s="33"/>
      <c r="C138" s="33"/>
      <c r="D138" s="33"/>
      <c r="E138" s="33"/>
      <c r="F138" s="33"/>
      <c r="G138" s="33"/>
      <c r="H138" s="33"/>
      <c r="I138" s="33"/>
      <c r="J138" s="33"/>
      <c r="K138" s="33"/>
      <c r="L138" s="33"/>
      <c r="M138" s="33"/>
      <c r="N138" s="33"/>
    </row>
    <row r="139" spans="1:14" hidden="1" x14ac:dyDescent="0.25">
      <c r="A139" s="37"/>
      <c r="B139" s="33"/>
      <c r="C139" s="33"/>
      <c r="D139" s="33"/>
      <c r="E139" s="33"/>
      <c r="F139" s="33"/>
      <c r="G139" s="33"/>
      <c r="H139" s="33"/>
      <c r="I139" s="33"/>
      <c r="J139" s="33"/>
      <c r="K139" s="33"/>
      <c r="L139" s="33"/>
      <c r="M139" s="33"/>
      <c r="N139" s="33"/>
    </row>
    <row r="140" spans="1:14" hidden="1" x14ac:dyDescent="0.25">
      <c r="A140" s="37"/>
      <c r="B140" s="33"/>
      <c r="C140" s="33"/>
      <c r="D140" s="33"/>
      <c r="E140" s="33"/>
      <c r="F140" s="33"/>
      <c r="G140" s="33"/>
      <c r="H140" s="33"/>
      <c r="I140" s="33"/>
      <c r="J140" s="33"/>
      <c r="K140" s="33"/>
      <c r="L140" s="33"/>
      <c r="M140" s="33"/>
      <c r="N140" s="33"/>
    </row>
    <row r="141" spans="1:14" hidden="1" x14ac:dyDescent="0.25">
      <c r="A141" s="37"/>
      <c r="B141" s="33"/>
      <c r="C141" s="33"/>
      <c r="D141" s="33"/>
      <c r="E141" s="33"/>
      <c r="F141" s="33"/>
      <c r="G141" s="33"/>
      <c r="H141" s="33"/>
      <c r="I141" s="33"/>
      <c r="J141" s="33"/>
      <c r="K141" s="33"/>
      <c r="L141" s="33"/>
      <c r="M141" s="33"/>
      <c r="N141" s="33"/>
    </row>
    <row r="142" spans="1:14" hidden="1" x14ac:dyDescent="0.25">
      <c r="A142" s="37"/>
      <c r="B142" s="33"/>
      <c r="C142" s="33"/>
      <c r="D142" s="33"/>
      <c r="E142" s="33"/>
      <c r="F142" s="33"/>
      <c r="G142" s="33"/>
      <c r="H142" s="33"/>
      <c r="I142" s="33"/>
      <c r="J142" s="33"/>
      <c r="K142" s="33"/>
      <c r="L142" s="33"/>
      <c r="M142" s="33"/>
      <c r="N142" s="33"/>
    </row>
    <row r="143" spans="1:14" hidden="1" x14ac:dyDescent="0.25">
      <c r="A143" s="37"/>
      <c r="B143" s="33"/>
      <c r="C143" s="33"/>
      <c r="D143" s="33"/>
      <c r="E143" s="33"/>
      <c r="F143" s="33"/>
      <c r="G143" s="33"/>
      <c r="H143" s="33"/>
      <c r="I143" s="33"/>
      <c r="J143" s="33"/>
      <c r="K143" s="33"/>
      <c r="L143" s="33"/>
      <c r="M143" s="33"/>
      <c r="N143" s="33"/>
    </row>
    <row r="144" spans="1:14" hidden="1" x14ac:dyDescent="0.25">
      <c r="A144" s="37"/>
      <c r="B144" s="33"/>
      <c r="C144" s="33"/>
      <c r="D144" s="33"/>
      <c r="E144" s="33"/>
      <c r="F144" s="33"/>
      <c r="G144" s="33"/>
      <c r="H144" s="33"/>
      <c r="I144" s="33"/>
      <c r="J144" s="33"/>
      <c r="K144" s="33"/>
      <c r="L144" s="33"/>
      <c r="M144" s="33"/>
      <c r="N144" s="33"/>
    </row>
    <row r="145" spans="1:14" hidden="1" x14ac:dyDescent="0.25">
      <c r="A145" s="37"/>
      <c r="B145" s="33"/>
      <c r="C145" s="33"/>
      <c r="D145" s="33"/>
      <c r="E145" s="33"/>
      <c r="F145" s="33"/>
      <c r="G145" s="33"/>
      <c r="H145" s="33"/>
      <c r="I145" s="33"/>
      <c r="J145" s="33"/>
      <c r="K145" s="33"/>
      <c r="L145" s="33"/>
      <c r="M145" s="33"/>
      <c r="N145" s="33"/>
    </row>
    <row r="146" spans="1:14" hidden="1" x14ac:dyDescent="0.25">
      <c r="A146" s="37"/>
      <c r="B146" s="33"/>
      <c r="C146" s="33"/>
      <c r="D146" s="33"/>
      <c r="E146" s="33"/>
      <c r="F146" s="33"/>
      <c r="G146" s="33"/>
      <c r="H146" s="33"/>
      <c r="I146" s="33"/>
      <c r="J146" s="33"/>
      <c r="K146" s="33"/>
      <c r="L146" s="33"/>
      <c r="M146" s="33"/>
      <c r="N146" s="33"/>
    </row>
    <row r="147" spans="1:14" hidden="1" x14ac:dyDescent="0.25">
      <c r="A147" s="37"/>
      <c r="B147" s="33"/>
      <c r="C147" s="33"/>
      <c r="D147" s="33"/>
      <c r="E147" s="33"/>
      <c r="F147" s="33"/>
      <c r="G147" s="33"/>
      <c r="H147" s="33"/>
      <c r="I147" s="33"/>
      <c r="J147" s="33"/>
      <c r="K147" s="33"/>
      <c r="L147" s="33"/>
      <c r="M147" s="33"/>
      <c r="N147" s="33"/>
    </row>
    <row r="148" spans="1:14" hidden="1" x14ac:dyDescent="0.25">
      <c r="A148" s="37"/>
      <c r="B148" s="33"/>
      <c r="C148" s="33"/>
      <c r="D148" s="33"/>
      <c r="E148" s="33"/>
      <c r="F148" s="33"/>
      <c r="G148" s="33"/>
      <c r="H148" s="33"/>
      <c r="I148" s="33"/>
      <c r="J148" s="33"/>
      <c r="K148" s="33"/>
      <c r="L148" s="33"/>
      <c r="M148" s="33"/>
      <c r="N148" s="33"/>
    </row>
    <row r="149" spans="1:14" hidden="1" x14ac:dyDescent="0.25">
      <c r="A149" s="37"/>
      <c r="B149" s="33"/>
      <c r="C149" s="33"/>
      <c r="D149" s="33"/>
      <c r="E149" s="33"/>
      <c r="F149" s="33"/>
      <c r="G149" s="33"/>
      <c r="H149" s="33"/>
      <c r="I149" s="33"/>
      <c r="J149" s="33"/>
      <c r="K149" s="33"/>
      <c r="L149" s="33"/>
      <c r="M149" s="33"/>
      <c r="N149" s="33"/>
    </row>
    <row r="150" spans="1:14" hidden="1" x14ac:dyDescent="0.25">
      <c r="A150" s="37"/>
      <c r="B150" s="33"/>
      <c r="C150" s="33"/>
      <c r="D150" s="33"/>
      <c r="E150" s="33"/>
      <c r="F150" s="33"/>
      <c r="G150" s="33"/>
      <c r="H150" s="33"/>
      <c r="I150" s="33"/>
      <c r="J150" s="33"/>
      <c r="K150" s="33"/>
      <c r="L150" s="33"/>
      <c r="M150" s="33"/>
      <c r="N150" s="33"/>
    </row>
    <row r="151" spans="1:14" hidden="1" x14ac:dyDescent="0.25">
      <c r="A151" s="37"/>
      <c r="B151" s="33"/>
      <c r="C151" s="33"/>
      <c r="D151" s="33"/>
      <c r="E151" s="33"/>
      <c r="F151" s="33"/>
      <c r="G151" s="33"/>
      <c r="H151" s="33"/>
      <c r="I151" s="33"/>
      <c r="J151" s="33"/>
      <c r="K151" s="33"/>
      <c r="L151" s="33"/>
      <c r="M151" s="33"/>
      <c r="N151" s="33"/>
    </row>
    <row r="152" spans="1:14" hidden="1" x14ac:dyDescent="0.25">
      <c r="A152" s="37"/>
      <c r="B152" s="33"/>
      <c r="C152" s="33"/>
      <c r="D152" s="33"/>
      <c r="E152" s="33"/>
      <c r="F152" s="33"/>
      <c r="G152" s="33"/>
      <c r="H152" s="33"/>
      <c r="I152" s="33"/>
      <c r="J152" s="33"/>
      <c r="K152" s="33"/>
      <c r="L152" s="33"/>
      <c r="M152" s="33"/>
      <c r="N152" s="33"/>
    </row>
    <row r="153" spans="1:14" hidden="1" x14ac:dyDescent="0.25">
      <c r="A153" s="37"/>
      <c r="B153" s="33"/>
      <c r="C153" s="33"/>
      <c r="D153" s="33"/>
      <c r="E153" s="33"/>
      <c r="F153" s="33"/>
      <c r="G153" s="33"/>
      <c r="H153" s="33"/>
      <c r="I153" s="33"/>
      <c r="J153" s="33"/>
      <c r="K153" s="33"/>
      <c r="L153" s="33"/>
      <c r="M153" s="33"/>
      <c r="N153" s="33"/>
    </row>
    <row r="154" spans="1:14" hidden="1" x14ac:dyDescent="0.25">
      <c r="A154" s="37"/>
      <c r="B154" s="33"/>
      <c r="C154" s="33"/>
      <c r="D154" s="33"/>
      <c r="E154" s="33"/>
      <c r="F154" s="33"/>
      <c r="G154" s="33"/>
      <c r="H154" s="33"/>
      <c r="I154" s="33"/>
      <c r="J154" s="33"/>
      <c r="K154" s="33"/>
      <c r="L154" s="33"/>
      <c r="M154" s="33"/>
      <c r="N154" s="33"/>
    </row>
    <row r="155" spans="1:14" hidden="1" x14ac:dyDescent="0.25">
      <c r="A155" s="37"/>
      <c r="B155" s="33"/>
      <c r="C155" s="33"/>
      <c r="D155" s="33"/>
      <c r="E155" s="33"/>
      <c r="F155" s="33"/>
      <c r="G155" s="33"/>
      <c r="H155" s="33"/>
      <c r="I155" s="33"/>
      <c r="J155" s="33"/>
      <c r="K155" s="33"/>
      <c r="L155" s="33"/>
      <c r="M155" s="33"/>
      <c r="N155" s="33"/>
    </row>
    <row r="156" spans="1:14" hidden="1" x14ac:dyDescent="0.25">
      <c r="A156" s="37"/>
      <c r="B156" s="33"/>
      <c r="C156" s="33"/>
      <c r="D156" s="33"/>
      <c r="E156" s="33"/>
      <c r="F156" s="33"/>
      <c r="G156" s="33"/>
      <c r="H156" s="33"/>
      <c r="I156" s="33"/>
      <c r="J156" s="33"/>
      <c r="K156" s="33"/>
      <c r="L156" s="33"/>
      <c r="M156" s="33"/>
      <c r="N156" s="33"/>
    </row>
    <row r="157" spans="1:14" hidden="1" x14ac:dyDescent="0.25">
      <c r="A157" s="37"/>
      <c r="B157" s="33"/>
      <c r="C157" s="33"/>
      <c r="D157" s="33"/>
      <c r="E157" s="33"/>
      <c r="F157" s="33"/>
      <c r="G157" s="33"/>
      <c r="H157" s="33"/>
      <c r="I157" s="33"/>
      <c r="J157" s="33"/>
      <c r="K157" s="33"/>
      <c r="L157" s="33"/>
      <c r="M157" s="33"/>
      <c r="N157" s="33"/>
    </row>
    <row r="158" spans="1:14" hidden="1" x14ac:dyDescent="0.25">
      <c r="A158" s="37"/>
      <c r="B158" s="33"/>
      <c r="C158" s="33"/>
      <c r="D158" s="33"/>
      <c r="E158" s="33"/>
      <c r="F158" s="33"/>
      <c r="G158" s="33"/>
      <c r="H158" s="33"/>
      <c r="I158" s="33"/>
      <c r="J158" s="33"/>
      <c r="K158" s="33"/>
      <c r="L158" s="33"/>
      <c r="M158" s="33"/>
      <c r="N158" s="33"/>
    </row>
    <row r="159" spans="1:14" hidden="1" x14ac:dyDescent="0.25">
      <c r="A159" s="37"/>
      <c r="B159" s="33"/>
      <c r="C159" s="33"/>
      <c r="D159" s="33"/>
      <c r="E159" s="33"/>
      <c r="F159" s="33"/>
      <c r="G159" s="33"/>
      <c r="H159" s="33"/>
      <c r="I159" s="33"/>
      <c r="J159" s="33"/>
      <c r="K159" s="33"/>
      <c r="L159" s="33"/>
      <c r="M159" s="33"/>
      <c r="N159" s="33"/>
    </row>
    <row r="160" spans="1:14" hidden="1" x14ac:dyDescent="0.25">
      <c r="A160" s="37"/>
      <c r="B160" s="33"/>
      <c r="C160" s="33"/>
      <c r="D160" s="33"/>
      <c r="E160" s="33"/>
      <c r="F160" s="33"/>
      <c r="G160" s="33"/>
      <c r="H160" s="33"/>
      <c r="I160" s="33"/>
      <c r="J160" s="33"/>
      <c r="K160" s="33"/>
      <c r="L160" s="33"/>
      <c r="M160" s="33"/>
      <c r="N160" s="33"/>
    </row>
    <row r="161" spans="1:14" hidden="1" x14ac:dyDescent="0.25">
      <c r="A161" s="37"/>
      <c r="B161" s="33"/>
      <c r="C161" s="33"/>
      <c r="D161" s="33"/>
      <c r="E161" s="33"/>
      <c r="F161" s="33"/>
      <c r="G161" s="33"/>
      <c r="H161" s="33"/>
      <c r="I161" s="33"/>
      <c r="J161" s="33"/>
      <c r="K161" s="33"/>
      <c r="L161" s="33"/>
      <c r="M161" s="33"/>
      <c r="N161" s="33"/>
    </row>
    <row r="162" spans="1:14" hidden="1" x14ac:dyDescent="0.25">
      <c r="A162" s="37"/>
      <c r="B162" s="33"/>
      <c r="C162" s="33"/>
      <c r="D162" s="33"/>
      <c r="E162" s="33"/>
      <c r="F162" s="33"/>
      <c r="G162" s="33"/>
      <c r="H162" s="33"/>
      <c r="I162" s="33"/>
      <c r="J162" s="33"/>
      <c r="K162" s="33"/>
      <c r="L162" s="33"/>
      <c r="M162" s="33"/>
      <c r="N162" s="33"/>
    </row>
    <row r="163" spans="1:14" hidden="1" x14ac:dyDescent="0.25">
      <c r="A163" s="37"/>
      <c r="B163" s="33"/>
      <c r="C163" s="33"/>
      <c r="D163" s="33"/>
      <c r="E163" s="33"/>
      <c r="F163" s="33"/>
      <c r="G163" s="33"/>
      <c r="H163" s="33"/>
      <c r="I163" s="33"/>
      <c r="J163" s="33"/>
      <c r="K163" s="33"/>
      <c r="L163" s="33"/>
      <c r="M163" s="33"/>
      <c r="N163" s="33"/>
    </row>
    <row r="164" spans="1:14" hidden="1" x14ac:dyDescent="0.25">
      <c r="A164" s="37"/>
      <c r="B164" s="33"/>
      <c r="C164" s="33"/>
      <c r="D164" s="33"/>
      <c r="E164" s="33"/>
      <c r="F164" s="33"/>
      <c r="G164" s="33"/>
      <c r="H164" s="33"/>
      <c r="I164" s="33"/>
      <c r="J164" s="33"/>
      <c r="K164" s="33"/>
      <c r="L164" s="33"/>
      <c r="M164" s="33"/>
      <c r="N164" s="33"/>
    </row>
    <row r="165" spans="1:14" hidden="1" x14ac:dyDescent="0.25">
      <c r="A165" s="37"/>
      <c r="B165" s="33"/>
      <c r="C165" s="33"/>
      <c r="D165" s="33"/>
      <c r="E165" s="33"/>
      <c r="F165" s="33"/>
      <c r="G165" s="33"/>
      <c r="H165" s="33"/>
      <c r="I165" s="33"/>
      <c r="J165" s="33"/>
      <c r="K165" s="33"/>
      <c r="L165" s="33"/>
      <c r="M165" s="33"/>
      <c r="N165" s="33"/>
    </row>
    <row r="166" spans="1:14" hidden="1" x14ac:dyDescent="0.25">
      <c r="A166" s="37"/>
      <c r="B166" s="33"/>
      <c r="C166" s="33"/>
      <c r="D166" s="33"/>
      <c r="E166" s="33"/>
      <c r="F166" s="33"/>
      <c r="G166" s="33"/>
      <c r="H166" s="33"/>
      <c r="I166" s="33"/>
      <c r="J166" s="33"/>
      <c r="K166" s="33"/>
      <c r="L166" s="33"/>
      <c r="M166" s="33"/>
      <c r="N166" s="33"/>
    </row>
    <row r="167" spans="1:14" hidden="1" x14ac:dyDescent="0.25">
      <c r="A167" s="37"/>
      <c r="B167" s="33"/>
      <c r="C167" s="33"/>
      <c r="D167" s="33"/>
      <c r="E167" s="33"/>
      <c r="F167" s="33"/>
      <c r="G167" s="33"/>
      <c r="H167" s="33"/>
      <c r="I167" s="33"/>
      <c r="J167" s="33"/>
      <c r="K167" s="33"/>
      <c r="L167" s="33"/>
      <c r="M167" s="33"/>
      <c r="N167" s="33"/>
    </row>
    <row r="168" spans="1:14" hidden="1" x14ac:dyDescent="0.25">
      <c r="A168" s="37"/>
      <c r="B168" s="33"/>
      <c r="C168" s="33"/>
      <c r="D168" s="33"/>
      <c r="E168" s="33"/>
      <c r="F168" s="33"/>
      <c r="G168" s="33"/>
      <c r="H168" s="33"/>
      <c r="I168" s="33"/>
      <c r="J168" s="33"/>
      <c r="K168" s="33"/>
      <c r="L168" s="33"/>
      <c r="M168" s="33"/>
      <c r="N168" s="33"/>
    </row>
    <row r="169" spans="1:14" hidden="1" x14ac:dyDescent="0.25">
      <c r="A169" s="37"/>
      <c r="B169" s="33"/>
      <c r="C169" s="33"/>
      <c r="D169" s="33"/>
      <c r="E169" s="33"/>
      <c r="F169" s="33"/>
      <c r="G169" s="33"/>
      <c r="H169" s="33"/>
      <c r="I169" s="33"/>
      <c r="J169" s="33"/>
      <c r="K169" s="33"/>
      <c r="L169" s="33"/>
      <c r="M169" s="33"/>
      <c r="N169" s="33"/>
    </row>
    <row r="170" spans="1:14" hidden="1" x14ac:dyDescent="0.25">
      <c r="A170" s="37"/>
      <c r="B170" s="33"/>
      <c r="C170" s="33"/>
      <c r="D170" s="33"/>
      <c r="E170" s="33"/>
      <c r="F170" s="33"/>
      <c r="G170" s="33"/>
      <c r="H170" s="33"/>
      <c r="I170" s="33"/>
      <c r="J170" s="33"/>
      <c r="K170" s="33"/>
      <c r="L170" s="33"/>
      <c r="M170" s="33"/>
      <c r="N170" s="33"/>
    </row>
    <row r="171" spans="1:14" hidden="1" x14ac:dyDescent="0.25">
      <c r="A171" s="37"/>
      <c r="B171" s="33"/>
      <c r="C171" s="33"/>
      <c r="D171" s="33"/>
      <c r="E171" s="33"/>
      <c r="F171" s="33"/>
      <c r="G171" s="33"/>
      <c r="H171" s="33"/>
      <c r="I171" s="33"/>
      <c r="J171" s="33"/>
      <c r="K171" s="33"/>
      <c r="L171" s="33"/>
      <c r="M171" s="33"/>
      <c r="N171" s="33"/>
    </row>
    <row r="172" spans="1:14" hidden="1" x14ac:dyDescent="0.25">
      <c r="A172" s="37"/>
      <c r="B172" s="33"/>
      <c r="C172" s="33"/>
      <c r="D172" s="33"/>
      <c r="E172" s="33"/>
      <c r="F172" s="33"/>
      <c r="G172" s="33"/>
      <c r="H172" s="33"/>
      <c r="I172" s="33"/>
      <c r="J172" s="33"/>
      <c r="K172" s="33"/>
      <c r="L172" s="33"/>
      <c r="M172" s="33"/>
      <c r="N172" s="33"/>
    </row>
    <row r="173" spans="1:14" hidden="1" x14ac:dyDescent="0.25">
      <c r="A173" s="37"/>
      <c r="B173" s="33"/>
      <c r="C173" s="33"/>
      <c r="D173" s="33"/>
      <c r="E173" s="33"/>
      <c r="F173" s="33"/>
      <c r="G173" s="33"/>
      <c r="H173" s="33"/>
      <c r="I173" s="33"/>
      <c r="J173" s="33"/>
      <c r="K173" s="33"/>
      <c r="L173" s="33"/>
      <c r="M173" s="33"/>
      <c r="N173" s="33"/>
    </row>
    <row r="174" spans="1:14" hidden="1" x14ac:dyDescent="0.25">
      <c r="A174" s="37"/>
      <c r="B174" s="33"/>
      <c r="C174" s="33"/>
      <c r="D174" s="33"/>
      <c r="E174" s="33"/>
      <c r="F174" s="33"/>
      <c r="G174" s="33"/>
      <c r="H174" s="33"/>
      <c r="I174" s="33"/>
      <c r="J174" s="33"/>
      <c r="K174" s="33"/>
      <c r="L174" s="33"/>
      <c r="M174" s="33"/>
      <c r="N174" s="33"/>
    </row>
    <row r="175" spans="1:14" hidden="1" x14ac:dyDescent="0.25">
      <c r="A175" s="37"/>
      <c r="B175" s="33"/>
      <c r="C175" s="33"/>
      <c r="D175" s="33"/>
      <c r="E175" s="33"/>
      <c r="F175" s="33"/>
      <c r="G175" s="33"/>
      <c r="H175" s="33"/>
      <c r="I175" s="33"/>
      <c r="J175" s="33"/>
      <c r="K175" s="33"/>
      <c r="L175" s="33"/>
      <c r="M175" s="33"/>
      <c r="N175" s="33"/>
    </row>
    <row r="176" spans="1:14" hidden="1" x14ac:dyDescent="0.25">
      <c r="A176" s="37"/>
      <c r="B176" s="33"/>
      <c r="C176" s="33"/>
      <c r="D176" s="33"/>
      <c r="E176" s="33"/>
      <c r="F176" s="33"/>
      <c r="G176" s="33"/>
      <c r="H176" s="33"/>
      <c r="I176" s="33"/>
      <c r="J176" s="33"/>
      <c r="K176" s="33"/>
      <c r="L176" s="33"/>
      <c r="M176" s="33"/>
      <c r="N176" s="33"/>
    </row>
    <row r="177" spans="1:14" hidden="1" x14ac:dyDescent="0.25">
      <c r="A177" s="37"/>
      <c r="B177" s="33"/>
      <c r="C177" s="33"/>
      <c r="D177" s="33"/>
      <c r="E177" s="33"/>
      <c r="F177" s="33"/>
      <c r="G177" s="33"/>
      <c r="H177" s="33"/>
      <c r="I177" s="33"/>
      <c r="J177" s="33"/>
      <c r="K177" s="33"/>
      <c r="L177" s="33"/>
      <c r="M177" s="33"/>
      <c r="N177" s="33"/>
    </row>
    <row r="178" spans="1:14" hidden="1" x14ac:dyDescent="0.25">
      <c r="A178" s="37"/>
      <c r="B178" s="33"/>
      <c r="C178" s="33"/>
      <c r="D178" s="33"/>
      <c r="E178" s="33"/>
      <c r="F178" s="33"/>
      <c r="G178" s="33"/>
      <c r="H178" s="33"/>
      <c r="I178" s="33"/>
      <c r="J178" s="33"/>
      <c r="K178" s="33"/>
      <c r="L178" s="33"/>
      <c r="M178" s="33"/>
      <c r="N178" s="33"/>
    </row>
    <row r="179" spans="1:14" hidden="1" x14ac:dyDescent="0.25">
      <c r="A179" s="37"/>
      <c r="B179" s="33"/>
      <c r="C179" s="33"/>
      <c r="D179" s="33"/>
      <c r="E179" s="33"/>
      <c r="F179" s="33"/>
      <c r="G179" s="33"/>
      <c r="H179" s="33"/>
      <c r="I179" s="33"/>
      <c r="J179" s="33"/>
      <c r="K179" s="33"/>
      <c r="L179" s="33"/>
      <c r="M179" s="33"/>
      <c r="N179" s="33"/>
    </row>
    <row r="180" spans="1:14" hidden="1" x14ac:dyDescent="0.25">
      <c r="A180" s="37"/>
      <c r="B180" s="33"/>
      <c r="C180" s="33"/>
      <c r="D180" s="33"/>
      <c r="E180" s="33"/>
      <c r="F180" s="33"/>
      <c r="G180" s="33"/>
      <c r="H180" s="33"/>
      <c r="I180" s="33"/>
      <c r="J180" s="33"/>
      <c r="K180" s="33"/>
      <c r="L180" s="33"/>
      <c r="M180" s="33"/>
      <c r="N180" s="33"/>
    </row>
    <row r="181" spans="1:14" hidden="1" x14ac:dyDescent="0.25">
      <c r="A181" s="37"/>
      <c r="B181" s="33"/>
      <c r="C181" s="33"/>
      <c r="D181" s="33"/>
      <c r="E181" s="33"/>
      <c r="F181" s="33"/>
      <c r="G181" s="33"/>
      <c r="H181" s="33"/>
      <c r="I181" s="33"/>
      <c r="J181" s="33"/>
      <c r="K181" s="33"/>
      <c r="L181" s="33"/>
      <c r="M181" s="33"/>
      <c r="N181" s="33"/>
    </row>
    <row r="182" spans="1:14" hidden="1" x14ac:dyDescent="0.25">
      <c r="A182" s="37"/>
      <c r="B182" s="33"/>
      <c r="C182" s="33"/>
      <c r="D182" s="33"/>
      <c r="E182" s="33"/>
      <c r="F182" s="33"/>
      <c r="G182" s="33"/>
      <c r="H182" s="33"/>
      <c r="I182" s="33"/>
      <c r="J182" s="33"/>
      <c r="K182" s="33"/>
      <c r="L182" s="33"/>
      <c r="M182" s="33"/>
      <c r="N182" s="33"/>
    </row>
    <row r="183" spans="1:14" hidden="1" x14ac:dyDescent="0.25">
      <c r="A183" s="37"/>
      <c r="B183" s="33"/>
      <c r="C183" s="33"/>
      <c r="D183" s="33"/>
      <c r="E183" s="33"/>
      <c r="F183" s="33"/>
      <c r="G183" s="33"/>
      <c r="H183" s="33"/>
      <c r="I183" s="33"/>
      <c r="J183" s="33"/>
      <c r="K183" s="33"/>
      <c r="L183" s="33"/>
      <c r="M183" s="33"/>
      <c r="N183" s="33"/>
    </row>
    <row r="184" spans="1:14" hidden="1" x14ac:dyDescent="0.25">
      <c r="A184" s="37"/>
      <c r="B184" s="33"/>
      <c r="C184" s="33"/>
      <c r="D184" s="33"/>
      <c r="E184" s="33"/>
      <c r="F184" s="33"/>
      <c r="G184" s="33"/>
      <c r="H184" s="33"/>
      <c r="I184" s="33"/>
      <c r="J184" s="33"/>
      <c r="K184" s="33"/>
      <c r="L184" s="33"/>
      <c r="M184" s="33"/>
      <c r="N184" s="33"/>
    </row>
    <row r="185" spans="1:14" hidden="1" x14ac:dyDescent="0.25">
      <c r="A185" s="37"/>
      <c r="B185" s="33"/>
      <c r="C185" s="33"/>
      <c r="D185" s="33"/>
      <c r="E185" s="33"/>
      <c r="F185" s="33"/>
      <c r="G185" s="33"/>
      <c r="H185" s="33"/>
      <c r="I185" s="33"/>
      <c r="J185" s="33"/>
      <c r="K185" s="33"/>
      <c r="L185" s="33"/>
      <c r="M185" s="33"/>
      <c r="N185" s="33"/>
    </row>
    <row r="186" spans="1:14" hidden="1" x14ac:dyDescent="0.25">
      <c r="A186" s="37"/>
      <c r="B186" s="33"/>
      <c r="C186" s="33"/>
      <c r="D186" s="33"/>
      <c r="E186" s="33"/>
      <c r="F186" s="33"/>
      <c r="G186" s="33"/>
      <c r="H186" s="33"/>
      <c r="I186" s="33"/>
      <c r="J186" s="33"/>
      <c r="K186" s="33"/>
      <c r="L186" s="33"/>
      <c r="M186" s="33"/>
      <c r="N186" s="33"/>
    </row>
    <row r="187" spans="1:14" hidden="1" x14ac:dyDescent="0.25">
      <c r="A187" s="37"/>
      <c r="B187" s="33"/>
      <c r="C187" s="33"/>
      <c r="D187" s="33"/>
      <c r="E187" s="33"/>
      <c r="F187" s="33"/>
      <c r="G187" s="33"/>
      <c r="H187" s="33"/>
      <c r="I187" s="33"/>
      <c r="J187" s="33"/>
      <c r="K187" s="33"/>
      <c r="L187" s="33"/>
      <c r="M187" s="33"/>
      <c r="N187" s="33"/>
    </row>
    <row r="188" spans="1:14" hidden="1" x14ac:dyDescent="0.25">
      <c r="A188" s="37"/>
      <c r="B188" s="33"/>
      <c r="C188" s="33"/>
      <c r="D188" s="33"/>
      <c r="E188" s="33"/>
      <c r="F188" s="33"/>
      <c r="G188" s="33"/>
      <c r="H188" s="33"/>
      <c r="I188" s="33"/>
      <c r="J188" s="33"/>
      <c r="K188" s="33"/>
      <c r="L188" s="33"/>
      <c r="M188" s="33"/>
      <c r="N188" s="33"/>
    </row>
    <row r="189" spans="1:14" hidden="1" x14ac:dyDescent="0.25">
      <c r="A189" s="37"/>
      <c r="B189" s="33"/>
      <c r="C189" s="33"/>
      <c r="D189" s="33"/>
      <c r="E189" s="33"/>
      <c r="F189" s="33"/>
      <c r="G189" s="33"/>
      <c r="H189" s="33"/>
      <c r="I189" s="33"/>
      <c r="J189" s="33"/>
      <c r="K189" s="33"/>
      <c r="L189" s="33"/>
      <c r="M189" s="33"/>
      <c r="N189" s="33"/>
    </row>
    <row r="190" spans="1:14" hidden="1" x14ac:dyDescent="0.25">
      <c r="A190" s="37"/>
      <c r="B190" s="33"/>
      <c r="C190" s="33"/>
      <c r="D190" s="33"/>
      <c r="E190" s="33"/>
      <c r="F190" s="33"/>
      <c r="G190" s="33"/>
      <c r="H190" s="33"/>
      <c r="I190" s="33"/>
      <c r="J190" s="33"/>
      <c r="K190" s="33"/>
      <c r="L190" s="33"/>
      <c r="M190" s="33"/>
      <c r="N190" s="33"/>
    </row>
    <row r="191" spans="1:14" hidden="1" x14ac:dyDescent="0.25">
      <c r="A191" s="37"/>
      <c r="B191" s="33"/>
      <c r="C191" s="33"/>
      <c r="D191" s="33"/>
      <c r="E191" s="33"/>
      <c r="F191" s="33"/>
      <c r="G191" s="33"/>
      <c r="H191" s="33"/>
      <c r="I191" s="33"/>
      <c r="J191" s="33"/>
      <c r="K191" s="33"/>
      <c r="L191" s="33"/>
      <c r="M191" s="33"/>
      <c r="N191" s="33"/>
    </row>
    <row r="192" spans="1:14" hidden="1" x14ac:dyDescent="0.25">
      <c r="A192" s="37"/>
      <c r="B192" s="33"/>
      <c r="C192" s="33"/>
      <c r="D192" s="33"/>
      <c r="E192" s="33"/>
      <c r="F192" s="33"/>
      <c r="G192" s="33"/>
      <c r="H192" s="33"/>
      <c r="I192" s="33"/>
      <c r="J192" s="33"/>
      <c r="K192" s="33"/>
      <c r="L192" s="33"/>
      <c r="M192" s="33"/>
      <c r="N192" s="33"/>
    </row>
    <row r="193" spans="1:14" hidden="1" x14ac:dyDescent="0.25">
      <c r="A193" s="37"/>
      <c r="B193" s="33"/>
      <c r="C193" s="33"/>
      <c r="D193" s="33"/>
      <c r="E193" s="33"/>
      <c r="F193" s="33"/>
      <c r="G193" s="33"/>
      <c r="H193" s="33"/>
      <c r="I193" s="33"/>
      <c r="J193" s="33"/>
      <c r="K193" s="33"/>
      <c r="L193" s="33"/>
      <c r="M193" s="33"/>
      <c r="N193" s="33"/>
    </row>
    <row r="194" spans="1:14" hidden="1" x14ac:dyDescent="0.25">
      <c r="A194" s="37"/>
      <c r="B194" s="33"/>
      <c r="C194" s="33"/>
      <c r="D194" s="33"/>
      <c r="E194" s="33"/>
      <c r="F194" s="33"/>
      <c r="G194" s="33"/>
      <c r="H194" s="33"/>
      <c r="I194" s="33"/>
      <c r="J194" s="33"/>
      <c r="K194" s="33"/>
      <c r="L194" s="33"/>
      <c r="M194" s="33"/>
      <c r="N194" s="33"/>
    </row>
    <row r="195" spans="1:14" hidden="1" x14ac:dyDescent="0.25">
      <c r="A195" s="37"/>
      <c r="B195" s="33"/>
      <c r="C195" s="33"/>
      <c r="D195" s="33"/>
      <c r="E195" s="33"/>
      <c r="F195" s="33"/>
      <c r="G195" s="33"/>
      <c r="H195" s="33"/>
      <c r="I195" s="33"/>
      <c r="J195" s="33"/>
      <c r="K195" s="33"/>
      <c r="L195" s="33"/>
      <c r="M195" s="33"/>
      <c r="N195" s="33"/>
    </row>
    <row r="196" spans="1:14" hidden="1" x14ac:dyDescent="0.25">
      <c r="A196" s="37"/>
      <c r="B196" s="33"/>
      <c r="C196" s="33"/>
      <c r="D196" s="33"/>
      <c r="E196" s="33"/>
      <c r="F196" s="33"/>
      <c r="G196" s="33"/>
      <c r="H196" s="33"/>
      <c r="I196" s="33"/>
      <c r="J196" s="33"/>
      <c r="K196" s="33"/>
      <c r="L196" s="33"/>
      <c r="M196" s="33"/>
      <c r="N196" s="33"/>
    </row>
    <row r="197" spans="1:14" hidden="1" x14ac:dyDescent="0.25">
      <c r="A197" s="37"/>
      <c r="B197" s="33"/>
      <c r="C197" s="33"/>
      <c r="D197" s="33"/>
      <c r="E197" s="33"/>
      <c r="F197" s="33"/>
      <c r="G197" s="33"/>
      <c r="H197" s="33"/>
      <c r="I197" s="33"/>
      <c r="J197" s="33"/>
      <c r="K197" s="33"/>
      <c r="L197" s="33"/>
      <c r="M197" s="33"/>
      <c r="N197" s="33"/>
    </row>
    <row r="198" spans="1:14" hidden="1" x14ac:dyDescent="0.25">
      <c r="A198" s="37"/>
      <c r="B198" s="33"/>
      <c r="C198" s="33"/>
      <c r="D198" s="33"/>
      <c r="E198" s="33"/>
      <c r="F198" s="33"/>
      <c r="G198" s="33"/>
      <c r="H198" s="33"/>
      <c r="I198" s="33"/>
      <c r="J198" s="33"/>
      <c r="K198" s="33"/>
      <c r="L198" s="33"/>
      <c r="M198" s="33"/>
      <c r="N198" s="33"/>
    </row>
    <row r="199" spans="1:14" hidden="1" x14ac:dyDescent="0.25">
      <c r="A199" s="37"/>
      <c r="B199" s="33"/>
      <c r="C199" s="33"/>
      <c r="D199" s="33"/>
      <c r="E199" s="33"/>
      <c r="F199" s="33"/>
      <c r="G199" s="33"/>
      <c r="H199" s="33"/>
      <c r="I199" s="33"/>
      <c r="J199" s="33"/>
      <c r="K199" s="33"/>
      <c r="L199" s="33"/>
      <c r="M199" s="33"/>
      <c r="N199" s="33"/>
    </row>
    <row r="200" spans="1:14" hidden="1" x14ac:dyDescent="0.25">
      <c r="A200" s="37"/>
      <c r="B200" s="33"/>
      <c r="C200" s="33"/>
      <c r="D200" s="33"/>
      <c r="E200" s="33"/>
      <c r="F200" s="33"/>
      <c r="G200" s="33"/>
      <c r="H200" s="33"/>
      <c r="I200" s="33"/>
      <c r="J200" s="33"/>
      <c r="K200" s="33"/>
      <c r="L200" s="33"/>
      <c r="M200" s="33"/>
      <c r="N200" s="33"/>
    </row>
    <row r="201" spans="1:14" hidden="1" x14ac:dyDescent="0.25">
      <c r="A201" s="37"/>
      <c r="B201" s="33"/>
      <c r="C201" s="33"/>
      <c r="D201" s="33"/>
      <c r="E201" s="33"/>
      <c r="F201" s="33"/>
      <c r="G201" s="33"/>
      <c r="H201" s="33"/>
      <c r="I201" s="33"/>
      <c r="J201" s="33"/>
      <c r="K201" s="33"/>
      <c r="L201" s="33"/>
      <c r="M201" s="33"/>
      <c r="N201" s="33"/>
    </row>
    <row r="202" spans="1:14" hidden="1" x14ac:dyDescent="0.25">
      <c r="A202" s="37"/>
      <c r="B202" s="33"/>
      <c r="C202" s="33"/>
      <c r="D202" s="33"/>
      <c r="E202" s="33"/>
      <c r="F202" s="33"/>
      <c r="G202" s="33"/>
      <c r="H202" s="33"/>
      <c r="I202" s="33"/>
      <c r="J202" s="33"/>
      <c r="K202" s="33"/>
      <c r="L202" s="33"/>
      <c r="M202" s="33"/>
      <c r="N202" s="33"/>
    </row>
    <row r="203" spans="1:14" hidden="1" x14ac:dyDescent="0.25">
      <c r="A203" s="37"/>
      <c r="B203" s="33"/>
      <c r="C203" s="33"/>
      <c r="D203" s="33"/>
      <c r="E203" s="33"/>
      <c r="F203" s="33"/>
      <c r="G203" s="33"/>
      <c r="H203" s="33"/>
      <c r="I203" s="33"/>
      <c r="J203" s="33"/>
      <c r="K203" s="33"/>
      <c r="L203" s="33"/>
      <c r="M203" s="33"/>
      <c r="N203" s="33"/>
    </row>
    <row r="204" spans="1:14" hidden="1" x14ac:dyDescent="0.25">
      <c r="A204" s="37"/>
      <c r="B204" s="33"/>
      <c r="C204" s="33"/>
      <c r="D204" s="33"/>
      <c r="E204" s="33"/>
      <c r="F204" s="33"/>
      <c r="G204" s="33"/>
      <c r="H204" s="33"/>
      <c r="I204" s="33"/>
      <c r="J204" s="33"/>
      <c r="K204" s="33"/>
      <c r="L204" s="33"/>
      <c r="M204" s="33"/>
      <c r="N204" s="33"/>
    </row>
    <row r="205" spans="1:14" hidden="1" x14ac:dyDescent="0.25">
      <c r="A205" s="37"/>
      <c r="B205" s="33"/>
      <c r="C205" s="33"/>
      <c r="D205" s="33"/>
      <c r="E205" s="33"/>
      <c r="F205" s="33"/>
      <c r="G205" s="33"/>
      <c r="H205" s="33"/>
      <c r="I205" s="33"/>
      <c r="J205" s="33"/>
      <c r="K205" s="33"/>
      <c r="L205" s="33"/>
      <c r="M205" s="33"/>
      <c r="N205" s="33"/>
    </row>
    <row r="206" spans="1:14" hidden="1" x14ac:dyDescent="0.25">
      <c r="A206" s="37"/>
      <c r="B206" s="33"/>
      <c r="C206" s="33"/>
      <c r="D206" s="33"/>
      <c r="E206" s="33"/>
      <c r="F206" s="33"/>
      <c r="G206" s="33"/>
      <c r="H206" s="33"/>
      <c r="I206" s="33"/>
      <c r="J206" s="33"/>
      <c r="K206" s="33"/>
      <c r="L206" s="33"/>
      <c r="M206" s="33"/>
      <c r="N206" s="33"/>
    </row>
    <row r="207" spans="1:14" hidden="1" x14ac:dyDescent="0.25">
      <c r="A207" s="37"/>
      <c r="B207" s="33"/>
      <c r="C207" s="33"/>
      <c r="D207" s="33"/>
      <c r="E207" s="33"/>
      <c r="F207" s="33"/>
      <c r="G207" s="33"/>
      <c r="H207" s="33"/>
      <c r="I207" s="33"/>
      <c r="J207" s="33"/>
      <c r="K207" s="33"/>
      <c r="L207" s="33"/>
      <c r="M207" s="33"/>
      <c r="N207" s="33"/>
    </row>
    <row r="208" spans="1:14" hidden="1" x14ac:dyDescent="0.25">
      <c r="A208" s="37"/>
      <c r="B208" s="33"/>
      <c r="C208" s="33"/>
      <c r="D208" s="33"/>
      <c r="E208" s="33"/>
      <c r="F208" s="33"/>
      <c r="G208" s="33"/>
      <c r="H208" s="33"/>
      <c r="I208" s="33"/>
      <c r="J208" s="33"/>
      <c r="K208" s="33"/>
      <c r="L208" s="33"/>
      <c r="M208" s="33"/>
      <c r="N208" s="33"/>
    </row>
    <row r="209" spans="1:14" hidden="1" x14ac:dyDescent="0.25">
      <c r="A209" s="37"/>
      <c r="B209" s="33"/>
      <c r="C209" s="33"/>
      <c r="D209" s="33"/>
      <c r="E209" s="33"/>
      <c r="F209" s="33"/>
      <c r="G209" s="33"/>
      <c r="H209" s="33"/>
      <c r="I209" s="33"/>
      <c r="J209" s="33"/>
      <c r="K209" s="33"/>
      <c r="L209" s="33"/>
      <c r="M209" s="33"/>
      <c r="N209" s="33"/>
    </row>
    <row r="210" spans="1:14" hidden="1" x14ac:dyDescent="0.25">
      <c r="A210" s="37"/>
      <c r="B210" s="33"/>
      <c r="C210" s="33"/>
      <c r="D210" s="33"/>
      <c r="E210" s="33"/>
      <c r="F210" s="33"/>
      <c r="G210" s="33"/>
      <c r="H210" s="33"/>
      <c r="I210" s="33"/>
      <c r="J210" s="33"/>
      <c r="K210" s="33"/>
      <c r="L210" s="33"/>
      <c r="M210" s="33"/>
      <c r="N210" s="33"/>
    </row>
    <row r="211" spans="1:14" hidden="1" x14ac:dyDescent="0.25">
      <c r="A211" s="37"/>
      <c r="B211" s="33"/>
      <c r="C211" s="33"/>
      <c r="D211" s="33"/>
      <c r="E211" s="33"/>
      <c r="F211" s="33"/>
      <c r="G211" s="33"/>
      <c r="H211" s="33"/>
      <c r="I211" s="33"/>
      <c r="J211" s="33"/>
      <c r="K211" s="33"/>
      <c r="L211" s="33"/>
      <c r="M211" s="33"/>
      <c r="N211" s="33"/>
    </row>
    <row r="212" spans="1:14" hidden="1" x14ac:dyDescent="0.25">
      <c r="A212" s="37"/>
      <c r="B212" s="33"/>
      <c r="C212" s="33"/>
      <c r="D212" s="33"/>
      <c r="E212" s="33"/>
      <c r="F212" s="33"/>
      <c r="G212" s="33"/>
      <c r="H212" s="33"/>
      <c r="I212" s="33"/>
      <c r="J212" s="33"/>
      <c r="K212" s="33"/>
      <c r="L212" s="33"/>
      <c r="M212" s="33"/>
      <c r="N212" s="33"/>
    </row>
    <row r="213" spans="1:14" hidden="1" x14ac:dyDescent="0.25">
      <c r="A213" s="37"/>
      <c r="B213" s="33"/>
      <c r="C213" s="33"/>
      <c r="D213" s="33"/>
      <c r="E213" s="33"/>
      <c r="F213" s="33"/>
      <c r="G213" s="33"/>
      <c r="H213" s="33"/>
      <c r="I213" s="33"/>
      <c r="J213" s="33"/>
      <c r="K213" s="33"/>
      <c r="L213" s="33"/>
      <c r="M213" s="33"/>
      <c r="N213" s="33"/>
    </row>
    <row r="214" spans="1:14" hidden="1" x14ac:dyDescent="0.25">
      <c r="A214" s="37"/>
      <c r="B214" s="33"/>
      <c r="C214" s="33"/>
      <c r="D214" s="33"/>
      <c r="E214" s="33"/>
      <c r="F214" s="33"/>
      <c r="G214" s="33"/>
      <c r="H214" s="33"/>
      <c r="I214" s="33"/>
      <c r="J214" s="33"/>
      <c r="K214" s="33"/>
      <c r="L214" s="33"/>
      <c r="M214" s="33"/>
      <c r="N214" s="33"/>
    </row>
    <row r="215" spans="1:14" hidden="1" x14ac:dyDescent="0.25">
      <c r="A215" s="37"/>
      <c r="B215" s="33"/>
      <c r="C215" s="33"/>
      <c r="D215" s="33"/>
      <c r="E215" s="33"/>
      <c r="F215" s="33"/>
      <c r="G215" s="33"/>
      <c r="H215" s="33"/>
      <c r="I215" s="33"/>
      <c r="J215" s="33"/>
      <c r="K215" s="33"/>
      <c r="L215" s="33"/>
      <c r="M215" s="33"/>
      <c r="N215" s="33"/>
    </row>
    <row r="216" spans="1:14" hidden="1" x14ac:dyDescent="0.25">
      <c r="A216" s="37"/>
      <c r="B216" s="33"/>
      <c r="C216" s="33"/>
      <c r="D216" s="33"/>
      <c r="E216" s="33"/>
      <c r="F216" s="33"/>
      <c r="G216" s="33"/>
      <c r="H216" s="33"/>
      <c r="I216" s="33"/>
      <c r="J216" s="33"/>
      <c r="K216" s="33"/>
      <c r="L216" s="33"/>
      <c r="M216" s="33"/>
      <c r="N216" s="33"/>
    </row>
    <row r="217" spans="1:14" hidden="1" x14ac:dyDescent="0.25">
      <c r="A217" s="37"/>
      <c r="B217" s="33"/>
      <c r="C217" s="33"/>
      <c r="D217" s="33"/>
      <c r="E217" s="33"/>
      <c r="F217" s="33"/>
      <c r="G217" s="33"/>
      <c r="H217" s="33"/>
      <c r="I217" s="33"/>
      <c r="J217" s="33"/>
      <c r="K217" s="33"/>
      <c r="L217" s="33"/>
      <c r="M217" s="33"/>
      <c r="N217" s="33"/>
    </row>
    <row r="218" spans="1:14" hidden="1" x14ac:dyDescent="0.25">
      <c r="A218" s="37"/>
      <c r="B218" s="33"/>
      <c r="C218" s="33"/>
      <c r="D218" s="33"/>
      <c r="E218" s="33"/>
      <c r="F218" s="33"/>
      <c r="G218" s="33"/>
      <c r="H218" s="33"/>
      <c r="I218" s="33"/>
      <c r="J218" s="33"/>
      <c r="K218" s="33"/>
      <c r="L218" s="33"/>
      <c r="M218" s="33"/>
      <c r="N218" s="33"/>
    </row>
    <row r="219" spans="1:14" hidden="1" x14ac:dyDescent="0.25">
      <c r="A219" s="37"/>
      <c r="B219" s="33"/>
      <c r="C219" s="33"/>
      <c r="D219" s="33"/>
      <c r="E219" s="33"/>
      <c r="F219" s="33"/>
      <c r="G219" s="33"/>
      <c r="H219" s="33"/>
      <c r="I219" s="33"/>
      <c r="J219" s="33"/>
      <c r="K219" s="33"/>
      <c r="L219" s="33"/>
      <c r="M219" s="33"/>
      <c r="N219" s="33"/>
    </row>
    <row r="220" spans="1:14" hidden="1" x14ac:dyDescent="0.25">
      <c r="A220" s="37"/>
      <c r="B220" s="33"/>
      <c r="C220" s="33"/>
      <c r="D220" s="33"/>
      <c r="E220" s="33"/>
      <c r="F220" s="33"/>
      <c r="G220" s="33"/>
      <c r="H220" s="33"/>
      <c r="I220" s="33"/>
      <c r="J220" s="33"/>
      <c r="K220" s="33"/>
      <c r="L220" s="33"/>
      <c r="M220" s="33"/>
      <c r="N220" s="33"/>
    </row>
    <row r="221" spans="1:14" hidden="1" x14ac:dyDescent="0.25">
      <c r="A221" s="37"/>
      <c r="B221" s="33"/>
      <c r="C221" s="33"/>
      <c r="D221" s="33"/>
      <c r="E221" s="33"/>
      <c r="F221" s="33"/>
      <c r="G221" s="33"/>
      <c r="H221" s="33"/>
      <c r="I221" s="33"/>
      <c r="J221" s="33"/>
      <c r="K221" s="33"/>
      <c r="L221" s="33"/>
      <c r="M221" s="33"/>
      <c r="N221" s="33"/>
    </row>
    <row r="222" spans="1:14" hidden="1" x14ac:dyDescent="0.25">
      <c r="A222" s="37"/>
      <c r="B222" s="33"/>
      <c r="C222" s="33"/>
      <c r="D222" s="33"/>
      <c r="E222" s="33"/>
      <c r="F222" s="33"/>
      <c r="G222" s="33"/>
      <c r="H222" s="33"/>
      <c r="I222" s="33"/>
      <c r="J222" s="33"/>
      <c r="K222" s="33"/>
      <c r="L222" s="33"/>
      <c r="M222" s="33"/>
      <c r="N222" s="33"/>
    </row>
    <row r="223" spans="1:14" hidden="1" x14ac:dyDescent="0.25">
      <c r="A223" s="37"/>
      <c r="B223" s="33"/>
      <c r="C223" s="33"/>
      <c r="D223" s="33"/>
      <c r="E223" s="33"/>
      <c r="F223" s="33"/>
      <c r="G223" s="33"/>
      <c r="H223" s="33"/>
      <c r="I223" s="33"/>
      <c r="J223" s="33"/>
      <c r="K223" s="33"/>
      <c r="L223" s="33"/>
      <c r="M223" s="33"/>
      <c r="N223" s="33"/>
    </row>
    <row r="224" spans="1:14" hidden="1" x14ac:dyDescent="0.25">
      <c r="A224" s="37"/>
      <c r="B224" s="33"/>
      <c r="C224" s="33"/>
      <c r="D224" s="33"/>
      <c r="E224" s="33"/>
      <c r="F224" s="33"/>
      <c r="G224" s="33"/>
      <c r="H224" s="33"/>
      <c r="I224" s="33"/>
      <c r="J224" s="33"/>
      <c r="K224" s="33"/>
      <c r="L224" s="33"/>
      <c r="M224" s="33"/>
      <c r="N224" s="33"/>
    </row>
    <row r="225" spans="1:14" hidden="1" x14ac:dyDescent="0.25">
      <c r="A225" s="37"/>
      <c r="B225" s="33"/>
      <c r="C225" s="33"/>
      <c r="D225" s="33"/>
      <c r="E225" s="33"/>
      <c r="F225" s="33"/>
      <c r="G225" s="33"/>
      <c r="H225" s="33"/>
      <c r="I225" s="33"/>
      <c r="J225" s="33"/>
      <c r="K225" s="33"/>
      <c r="L225" s="33"/>
      <c r="M225" s="33"/>
      <c r="N225" s="33"/>
    </row>
    <row r="226" spans="1:14" hidden="1" x14ac:dyDescent="0.25">
      <c r="A226" s="37"/>
      <c r="B226" s="33"/>
      <c r="C226" s="33"/>
      <c r="D226" s="33"/>
      <c r="E226" s="33"/>
      <c r="F226" s="33"/>
      <c r="G226" s="33"/>
      <c r="H226" s="33"/>
      <c r="I226" s="33"/>
      <c r="J226" s="33"/>
      <c r="K226" s="33"/>
      <c r="L226" s="33"/>
      <c r="M226" s="33"/>
      <c r="N226" s="33"/>
    </row>
    <row r="227" spans="1:14" hidden="1" x14ac:dyDescent="0.25">
      <c r="A227" s="37"/>
      <c r="B227" s="33"/>
      <c r="C227" s="33"/>
      <c r="D227" s="33"/>
      <c r="E227" s="33"/>
      <c r="F227" s="33"/>
      <c r="G227" s="33"/>
      <c r="H227" s="33"/>
      <c r="I227" s="33"/>
      <c r="J227" s="33"/>
      <c r="K227" s="33"/>
      <c r="L227" s="33"/>
      <c r="M227" s="33"/>
      <c r="N227" s="33"/>
    </row>
    <row r="228" spans="1:14" hidden="1" x14ac:dyDescent="0.25">
      <c r="A228" s="37"/>
      <c r="B228" s="33"/>
      <c r="C228" s="33"/>
      <c r="D228" s="33"/>
      <c r="E228" s="33"/>
      <c r="F228" s="33"/>
      <c r="G228" s="33"/>
      <c r="H228" s="33"/>
      <c r="I228" s="33"/>
      <c r="J228" s="33"/>
      <c r="K228" s="33"/>
      <c r="L228" s="33"/>
      <c r="M228" s="33"/>
      <c r="N228" s="33"/>
    </row>
    <row r="229" spans="1:14" hidden="1" x14ac:dyDescent="0.25">
      <c r="A229" s="37"/>
      <c r="B229" s="33"/>
      <c r="C229" s="33"/>
      <c r="D229" s="33"/>
      <c r="E229" s="33"/>
      <c r="F229" s="33"/>
      <c r="G229" s="33"/>
      <c r="H229" s="33"/>
      <c r="I229" s="33"/>
      <c r="J229" s="33"/>
      <c r="K229" s="33"/>
      <c r="L229" s="33"/>
      <c r="M229" s="33"/>
      <c r="N229" s="33"/>
    </row>
    <row r="230" spans="1:14" hidden="1" x14ac:dyDescent="0.25">
      <c r="A230" s="37"/>
      <c r="B230" s="33"/>
      <c r="C230" s="33"/>
      <c r="D230" s="33"/>
      <c r="E230" s="33"/>
      <c r="F230" s="33"/>
      <c r="G230" s="33"/>
      <c r="H230" s="33"/>
      <c r="I230" s="33"/>
      <c r="J230" s="33"/>
      <c r="K230" s="33"/>
      <c r="L230" s="33"/>
      <c r="M230" s="33"/>
      <c r="N230" s="33"/>
    </row>
    <row r="231" spans="1:14" hidden="1" x14ac:dyDescent="0.25">
      <c r="A231" s="37"/>
      <c r="B231" s="33"/>
      <c r="C231" s="33"/>
      <c r="D231" s="33"/>
      <c r="E231" s="33"/>
      <c r="F231" s="33"/>
      <c r="G231" s="33"/>
      <c r="H231" s="33"/>
      <c r="I231" s="33"/>
      <c r="J231" s="33"/>
      <c r="K231" s="33"/>
      <c r="L231" s="33"/>
      <c r="M231" s="33"/>
      <c r="N231" s="33"/>
    </row>
    <row r="232" spans="1:14" hidden="1" x14ac:dyDescent="0.25">
      <c r="A232" s="37"/>
      <c r="B232" s="33"/>
      <c r="C232" s="33"/>
      <c r="D232" s="33"/>
      <c r="E232" s="33"/>
      <c r="F232" s="33"/>
      <c r="G232" s="33"/>
      <c r="H232" s="33"/>
      <c r="I232" s="33"/>
      <c r="J232" s="33"/>
      <c r="K232" s="33"/>
      <c r="L232" s="33"/>
      <c r="M232" s="33"/>
      <c r="N232" s="33"/>
    </row>
    <row r="233" spans="1:14" hidden="1" x14ac:dyDescent="0.25">
      <c r="A233" s="37"/>
      <c r="B233" s="33"/>
      <c r="C233" s="33"/>
      <c r="D233" s="33"/>
      <c r="E233" s="33"/>
      <c r="F233" s="33"/>
      <c r="G233" s="33"/>
      <c r="H233" s="33"/>
      <c r="I233" s="33"/>
      <c r="J233" s="33"/>
      <c r="K233" s="33"/>
      <c r="L233" s="33"/>
      <c r="M233" s="33"/>
      <c r="N233" s="33"/>
    </row>
    <row r="234" spans="1:14" hidden="1" x14ac:dyDescent="0.25">
      <c r="A234" s="37"/>
      <c r="B234" s="33"/>
      <c r="C234" s="33"/>
      <c r="D234" s="33"/>
      <c r="E234" s="33"/>
      <c r="F234" s="33"/>
      <c r="G234" s="33"/>
      <c r="H234" s="33"/>
      <c r="I234" s="33"/>
      <c r="J234" s="33"/>
      <c r="K234" s="33"/>
      <c r="L234" s="33"/>
      <c r="M234" s="33"/>
      <c r="N234" s="33"/>
    </row>
    <row r="235" spans="1:14" hidden="1" x14ac:dyDescent="0.25">
      <c r="A235" s="37"/>
      <c r="B235" s="33"/>
      <c r="C235" s="33"/>
      <c r="D235" s="33"/>
      <c r="E235" s="33"/>
      <c r="F235" s="33"/>
      <c r="G235" s="33"/>
      <c r="H235" s="33"/>
      <c r="I235" s="33"/>
      <c r="J235" s="33"/>
      <c r="K235" s="33"/>
      <c r="L235" s="33"/>
      <c r="M235" s="33"/>
      <c r="N235" s="33"/>
    </row>
    <row r="236" spans="1:14" hidden="1" x14ac:dyDescent="0.25">
      <c r="A236" s="37"/>
      <c r="B236" s="33"/>
      <c r="C236" s="33"/>
      <c r="D236" s="33"/>
      <c r="E236" s="33"/>
      <c r="F236" s="33"/>
      <c r="G236" s="33"/>
      <c r="H236" s="33"/>
      <c r="I236" s="33"/>
      <c r="J236" s="33"/>
      <c r="K236" s="33"/>
      <c r="L236" s="33"/>
      <c r="M236" s="33"/>
      <c r="N236" s="33"/>
    </row>
    <row r="237" spans="1:14" hidden="1" x14ac:dyDescent="0.25">
      <c r="A237" s="37"/>
      <c r="B237" s="33"/>
      <c r="C237" s="33"/>
      <c r="D237" s="33"/>
      <c r="E237" s="33"/>
      <c r="F237" s="33"/>
      <c r="G237" s="33"/>
      <c r="H237" s="33"/>
      <c r="I237" s="33"/>
      <c r="J237" s="33"/>
      <c r="K237" s="33"/>
      <c r="L237" s="33"/>
      <c r="M237" s="33"/>
      <c r="N237" s="33"/>
    </row>
    <row r="238" spans="1:14" hidden="1" x14ac:dyDescent="0.25">
      <c r="A238" s="37"/>
      <c r="B238" s="33"/>
      <c r="C238" s="33"/>
      <c r="D238" s="33"/>
      <c r="E238" s="33"/>
      <c r="F238" s="33"/>
      <c r="G238" s="33"/>
      <c r="H238" s="33"/>
      <c r="I238" s="33"/>
      <c r="J238" s="33"/>
      <c r="K238" s="33"/>
      <c r="L238" s="33"/>
      <c r="M238" s="33"/>
      <c r="N238" s="33"/>
    </row>
    <row r="239" spans="1:14" hidden="1" x14ac:dyDescent="0.25">
      <c r="A239" s="37"/>
      <c r="B239" s="33"/>
      <c r="C239" s="33"/>
      <c r="D239" s="33"/>
      <c r="E239" s="33"/>
      <c r="F239" s="33"/>
      <c r="G239" s="33"/>
      <c r="H239" s="33"/>
      <c r="I239" s="33"/>
      <c r="J239" s="33"/>
      <c r="K239" s="33"/>
      <c r="L239" s="33"/>
      <c r="M239" s="33"/>
      <c r="N239" s="33"/>
    </row>
    <row r="240" spans="1:14" hidden="1" x14ac:dyDescent="0.25">
      <c r="A240" s="37"/>
      <c r="B240" s="33"/>
      <c r="C240" s="33"/>
      <c r="D240" s="33"/>
      <c r="E240" s="33"/>
      <c r="F240" s="33"/>
      <c r="G240" s="33"/>
      <c r="H240" s="33"/>
      <c r="I240" s="33"/>
      <c r="J240" s="33"/>
      <c r="K240" s="33"/>
      <c r="L240" s="33"/>
      <c r="M240" s="33"/>
      <c r="N240" s="33"/>
    </row>
    <row r="241" spans="1:14" hidden="1" x14ac:dyDescent="0.25">
      <c r="A241" s="37"/>
      <c r="B241" s="33"/>
      <c r="C241" s="33"/>
      <c r="D241" s="33"/>
      <c r="E241" s="33"/>
      <c r="F241" s="33"/>
      <c r="G241" s="33"/>
      <c r="H241" s="33"/>
      <c r="I241" s="33"/>
      <c r="J241" s="33"/>
      <c r="K241" s="33"/>
      <c r="L241" s="33"/>
      <c r="M241" s="33"/>
      <c r="N241" s="33"/>
    </row>
    <row r="242" spans="1:14" hidden="1" x14ac:dyDescent="0.25">
      <c r="A242" s="37"/>
      <c r="B242" s="33"/>
      <c r="C242" s="33"/>
      <c r="D242" s="33"/>
      <c r="E242" s="33"/>
      <c r="F242" s="33"/>
      <c r="G242" s="33"/>
      <c r="H242" s="33"/>
      <c r="I242" s="33"/>
      <c r="J242" s="33"/>
      <c r="K242" s="33"/>
      <c r="L242" s="33"/>
      <c r="M242" s="33"/>
      <c r="N242" s="33"/>
    </row>
    <row r="243" spans="1:14" hidden="1" x14ac:dyDescent="0.25">
      <c r="A243" s="37"/>
      <c r="B243" s="33"/>
      <c r="C243" s="33"/>
      <c r="D243" s="33"/>
      <c r="E243" s="33"/>
      <c r="F243" s="33"/>
      <c r="G243" s="33"/>
      <c r="H243" s="33"/>
      <c r="I243" s="33"/>
      <c r="J243" s="33"/>
      <c r="K243" s="33"/>
      <c r="L243" s="33"/>
      <c r="M243" s="33"/>
      <c r="N243" s="33"/>
    </row>
    <row r="244" spans="1:14" hidden="1" x14ac:dyDescent="0.25">
      <c r="A244" s="37"/>
      <c r="B244" s="33"/>
      <c r="C244" s="33"/>
      <c r="D244" s="33"/>
      <c r="E244" s="33"/>
      <c r="F244" s="33"/>
      <c r="G244" s="33"/>
      <c r="H244" s="33"/>
      <c r="I244" s="33"/>
      <c r="J244" s="33"/>
      <c r="K244" s="33"/>
      <c r="L244" s="33"/>
      <c r="M244" s="33"/>
      <c r="N244" s="33"/>
    </row>
    <row r="245" spans="1:14" hidden="1" x14ac:dyDescent="0.25">
      <c r="A245" s="37"/>
      <c r="B245" s="33"/>
      <c r="C245" s="33"/>
      <c r="D245" s="33"/>
      <c r="E245" s="33"/>
      <c r="F245" s="33"/>
      <c r="G245" s="33"/>
      <c r="H245" s="33"/>
      <c r="I245" s="33"/>
      <c r="J245" s="33"/>
      <c r="K245" s="33"/>
      <c r="L245" s="33"/>
      <c r="M245" s="33"/>
      <c r="N245" s="33"/>
    </row>
    <row r="246" spans="1:14" hidden="1" x14ac:dyDescent="0.25">
      <c r="A246" s="37"/>
      <c r="B246" s="33"/>
      <c r="C246" s="33"/>
      <c r="D246" s="33"/>
      <c r="E246" s="33"/>
      <c r="F246" s="33"/>
      <c r="G246" s="33"/>
      <c r="H246" s="33"/>
      <c r="I246" s="33"/>
      <c r="J246" s="33"/>
      <c r="K246" s="33"/>
      <c r="L246" s="33"/>
      <c r="M246" s="33"/>
      <c r="N246" s="33"/>
    </row>
    <row r="247" spans="1:14" hidden="1" x14ac:dyDescent="0.25">
      <c r="A247" s="37"/>
      <c r="B247" s="33"/>
      <c r="C247" s="33"/>
      <c r="D247" s="33"/>
      <c r="E247" s="33"/>
      <c r="F247" s="33"/>
      <c r="G247" s="33"/>
      <c r="H247" s="33"/>
      <c r="I247" s="33"/>
      <c r="J247" s="33"/>
      <c r="K247" s="33"/>
      <c r="L247" s="33"/>
      <c r="M247" s="33"/>
      <c r="N247" s="33"/>
    </row>
    <row r="248" spans="1:14" hidden="1" x14ac:dyDescent="0.25">
      <c r="A248" s="37"/>
      <c r="B248" s="33"/>
      <c r="C248" s="33"/>
      <c r="D248" s="33"/>
      <c r="E248" s="33"/>
      <c r="F248" s="33"/>
      <c r="G248" s="33"/>
      <c r="H248" s="33"/>
      <c r="I248" s="33"/>
      <c r="J248" s="33"/>
      <c r="K248" s="33"/>
      <c r="L248" s="33"/>
      <c r="M248" s="33"/>
      <c r="N248" s="33"/>
    </row>
    <row r="249" spans="1:14" hidden="1" x14ac:dyDescent="0.25">
      <c r="A249" s="37"/>
      <c r="B249" s="33"/>
      <c r="C249" s="33"/>
      <c r="D249" s="33"/>
      <c r="E249" s="33"/>
      <c r="F249" s="33"/>
      <c r="G249" s="33"/>
      <c r="H249" s="33"/>
      <c r="I249" s="33"/>
      <c r="J249" s="33"/>
      <c r="K249" s="33"/>
      <c r="L249" s="33"/>
      <c r="M249" s="33"/>
      <c r="N249" s="33"/>
    </row>
    <row r="250" spans="1:14" hidden="1" x14ac:dyDescent="0.25">
      <c r="A250" s="37"/>
      <c r="B250" s="33"/>
      <c r="C250" s="33"/>
      <c r="D250" s="33"/>
      <c r="E250" s="33"/>
      <c r="F250" s="33"/>
      <c r="G250" s="33"/>
      <c r="H250" s="33"/>
      <c r="I250" s="33"/>
      <c r="J250" s="33"/>
      <c r="K250" s="33"/>
      <c r="L250" s="33"/>
      <c r="M250" s="33"/>
      <c r="N250" s="33"/>
    </row>
    <row r="251" spans="1:14" hidden="1" x14ac:dyDescent="0.25">
      <c r="A251" s="37"/>
      <c r="B251" s="33"/>
      <c r="C251" s="33"/>
      <c r="D251" s="33"/>
      <c r="E251" s="33"/>
      <c r="F251" s="33"/>
      <c r="G251" s="33"/>
      <c r="H251" s="33"/>
      <c r="I251" s="33"/>
      <c r="J251" s="33"/>
      <c r="K251" s="33"/>
      <c r="L251" s="33"/>
      <c r="M251" s="33"/>
      <c r="N251" s="33"/>
    </row>
    <row r="252" spans="1:14" hidden="1" x14ac:dyDescent="0.25">
      <c r="A252" s="37"/>
      <c r="B252" s="33"/>
      <c r="C252" s="33"/>
      <c r="D252" s="33"/>
      <c r="E252" s="33"/>
      <c r="F252" s="33"/>
      <c r="G252" s="33"/>
      <c r="H252" s="33"/>
      <c r="I252" s="33"/>
      <c r="J252" s="33"/>
      <c r="K252" s="33"/>
      <c r="L252" s="33"/>
      <c r="M252" s="33"/>
      <c r="N252" s="33"/>
    </row>
    <row r="253" spans="1:14" hidden="1" x14ac:dyDescent="0.25">
      <c r="A253" s="37"/>
      <c r="B253" s="33"/>
      <c r="C253" s="33"/>
      <c r="D253" s="33"/>
      <c r="E253" s="33"/>
      <c r="F253" s="33"/>
      <c r="G253" s="33"/>
      <c r="H253" s="33"/>
      <c r="I253" s="33"/>
      <c r="J253" s="33"/>
      <c r="K253" s="33"/>
      <c r="L253" s="33"/>
      <c r="M253" s="33"/>
      <c r="N253" s="33"/>
    </row>
    <row r="254" spans="1:14" hidden="1" x14ac:dyDescent="0.25">
      <c r="A254" s="37"/>
      <c r="B254" s="33"/>
      <c r="C254" s="33"/>
      <c r="D254" s="33"/>
      <c r="E254" s="33"/>
      <c r="F254" s="33"/>
      <c r="G254" s="33"/>
      <c r="H254" s="33"/>
      <c r="I254" s="33"/>
      <c r="J254" s="33"/>
      <c r="K254" s="33"/>
      <c r="L254" s="33"/>
      <c r="M254" s="33"/>
      <c r="N254" s="33"/>
    </row>
    <row r="255" spans="1:14" hidden="1" x14ac:dyDescent="0.25">
      <c r="A255" s="37"/>
      <c r="B255" s="33"/>
      <c r="C255" s="33"/>
      <c r="D255" s="33"/>
      <c r="E255" s="33"/>
      <c r="F255" s="33"/>
      <c r="G255" s="33"/>
      <c r="H255" s="33"/>
      <c r="I255" s="33"/>
      <c r="J255" s="33"/>
      <c r="K255" s="33"/>
      <c r="L255" s="33"/>
      <c r="M255" s="33"/>
      <c r="N255" s="33"/>
    </row>
    <row r="256" spans="1:14" hidden="1" x14ac:dyDescent="0.25">
      <c r="A256" s="37"/>
      <c r="B256" s="33"/>
      <c r="C256" s="33"/>
      <c r="D256" s="33"/>
      <c r="E256" s="33"/>
      <c r="F256" s="33"/>
      <c r="G256" s="33"/>
      <c r="H256" s="33"/>
      <c r="I256" s="33"/>
      <c r="J256" s="33"/>
      <c r="K256" s="33"/>
      <c r="L256" s="33"/>
      <c r="M256" s="33"/>
      <c r="N256" s="33"/>
    </row>
    <row r="257" spans="1:14" hidden="1" x14ac:dyDescent="0.25">
      <c r="A257" s="37"/>
      <c r="B257" s="33"/>
      <c r="C257" s="33"/>
      <c r="D257" s="33"/>
      <c r="E257" s="33"/>
      <c r="F257" s="33"/>
      <c r="G257" s="33"/>
      <c r="H257" s="33"/>
      <c r="I257" s="33"/>
      <c r="J257" s="33"/>
      <c r="K257" s="33"/>
      <c r="L257" s="33"/>
      <c r="M257" s="33"/>
      <c r="N257" s="33"/>
    </row>
    <row r="258" spans="1:14" hidden="1" x14ac:dyDescent="0.25">
      <c r="A258" s="37"/>
      <c r="B258" s="33"/>
      <c r="C258" s="33"/>
      <c r="D258" s="33"/>
      <c r="E258" s="33"/>
      <c r="F258" s="33"/>
      <c r="G258" s="33"/>
      <c r="H258" s="33"/>
      <c r="I258" s="33"/>
      <c r="J258" s="33"/>
      <c r="K258" s="33"/>
      <c r="L258" s="33"/>
      <c r="M258" s="33"/>
      <c r="N258" s="33"/>
    </row>
    <row r="259" spans="1:14" hidden="1" x14ac:dyDescent="0.25">
      <c r="A259" s="37"/>
      <c r="B259" s="33"/>
      <c r="C259" s="33"/>
      <c r="D259" s="33"/>
      <c r="E259" s="33"/>
      <c r="F259" s="33"/>
      <c r="G259" s="33"/>
      <c r="H259" s="33"/>
      <c r="I259" s="33"/>
      <c r="J259" s="33"/>
      <c r="K259" s="33"/>
      <c r="L259" s="33"/>
      <c r="M259" s="33"/>
      <c r="N259" s="33"/>
    </row>
    <row r="260" spans="1:14" hidden="1" x14ac:dyDescent="0.25">
      <c r="A260" s="37"/>
      <c r="B260" s="33"/>
      <c r="C260" s="33"/>
      <c r="D260" s="33"/>
      <c r="E260" s="33"/>
      <c r="F260" s="33"/>
      <c r="G260" s="33"/>
      <c r="H260" s="33"/>
      <c r="I260" s="33"/>
      <c r="J260" s="33"/>
      <c r="K260" s="33"/>
      <c r="L260" s="33"/>
      <c r="M260" s="33"/>
      <c r="N260" s="33"/>
    </row>
    <row r="261" spans="1:14" hidden="1" x14ac:dyDescent="0.25">
      <c r="A261" s="37"/>
      <c r="B261" s="33"/>
      <c r="C261" s="33"/>
      <c r="D261" s="33"/>
      <c r="E261" s="33"/>
      <c r="F261" s="33"/>
      <c r="G261" s="33"/>
      <c r="H261" s="33"/>
      <c r="I261" s="33"/>
      <c r="J261" s="33"/>
      <c r="K261" s="33"/>
      <c r="L261" s="33"/>
      <c r="M261" s="33"/>
      <c r="N261" s="33"/>
    </row>
    <row r="262" spans="1:14" hidden="1" x14ac:dyDescent="0.25">
      <c r="A262" s="37"/>
      <c r="B262" s="33"/>
      <c r="C262" s="33"/>
      <c r="D262" s="33"/>
      <c r="E262" s="33"/>
      <c r="F262" s="33"/>
      <c r="G262" s="33"/>
      <c r="H262" s="33"/>
      <c r="I262" s="33"/>
      <c r="J262" s="33"/>
      <c r="K262" s="33"/>
      <c r="L262" s="33"/>
      <c r="M262" s="33"/>
      <c r="N262" s="33"/>
    </row>
    <row r="263" spans="1:14" hidden="1" x14ac:dyDescent="0.25">
      <c r="A263" s="37"/>
      <c r="B263" s="33"/>
      <c r="C263" s="33"/>
      <c r="D263" s="33"/>
      <c r="E263" s="33"/>
      <c r="F263" s="33"/>
      <c r="G263" s="33"/>
      <c r="H263" s="33"/>
      <c r="I263" s="33"/>
      <c r="J263" s="33"/>
      <c r="K263" s="33"/>
      <c r="L263" s="33"/>
      <c r="M263" s="33"/>
      <c r="N263" s="33"/>
    </row>
    <row r="264" spans="1:14" hidden="1" x14ac:dyDescent="0.25">
      <c r="A264" s="37"/>
      <c r="B264" s="33"/>
      <c r="C264" s="33"/>
      <c r="D264" s="33"/>
      <c r="E264" s="33"/>
      <c r="F264" s="33"/>
      <c r="G264" s="33"/>
      <c r="H264" s="33"/>
      <c r="I264" s="33"/>
      <c r="J264" s="33"/>
      <c r="K264" s="33"/>
      <c r="L264" s="33"/>
      <c r="M264" s="33"/>
      <c r="N264" s="33"/>
    </row>
    <row r="265" spans="1:14" hidden="1" x14ac:dyDescent="0.25">
      <c r="A265" s="37"/>
      <c r="B265" s="33"/>
      <c r="C265" s="33"/>
      <c r="D265" s="33"/>
      <c r="E265" s="33"/>
      <c r="F265" s="33"/>
      <c r="G265" s="33"/>
      <c r="H265" s="33"/>
      <c r="I265" s="33"/>
      <c r="J265" s="33"/>
      <c r="K265" s="33"/>
      <c r="L265" s="33"/>
      <c r="M265" s="33"/>
      <c r="N265" s="33"/>
    </row>
    <row r="266" spans="1:14" hidden="1" x14ac:dyDescent="0.25">
      <c r="A266" s="37"/>
      <c r="B266" s="33"/>
      <c r="C266" s="33"/>
      <c r="D266" s="33"/>
      <c r="E266" s="33"/>
      <c r="F266" s="33"/>
      <c r="G266" s="33"/>
      <c r="H266" s="33"/>
      <c r="I266" s="33"/>
      <c r="J266" s="33"/>
      <c r="K266" s="33"/>
      <c r="L266" s="33"/>
      <c r="M266" s="33"/>
      <c r="N266" s="33"/>
    </row>
    <row r="267" spans="1:14" hidden="1" x14ac:dyDescent="0.25">
      <c r="A267" s="37"/>
      <c r="B267" s="33"/>
      <c r="C267" s="33"/>
      <c r="D267" s="33"/>
      <c r="E267" s="33"/>
      <c r="F267" s="33"/>
      <c r="G267" s="33"/>
      <c r="H267" s="33"/>
      <c r="I267" s="33"/>
      <c r="J267" s="33"/>
      <c r="K267" s="33"/>
      <c r="L267" s="33"/>
      <c r="M267" s="33"/>
      <c r="N267" s="33"/>
    </row>
    <row r="268" spans="1:14" hidden="1" x14ac:dyDescent="0.25">
      <c r="A268" s="37"/>
      <c r="B268" s="33"/>
      <c r="C268" s="33"/>
      <c r="D268" s="33"/>
      <c r="E268" s="33"/>
      <c r="F268" s="33"/>
      <c r="G268" s="33"/>
      <c r="H268" s="33"/>
      <c r="I268" s="33"/>
      <c r="J268" s="33"/>
      <c r="K268" s="33"/>
      <c r="L268" s="33"/>
      <c r="M268" s="33"/>
      <c r="N268" s="33"/>
    </row>
    <row r="269" spans="1:14" hidden="1" x14ac:dyDescent="0.25">
      <c r="A269" s="37"/>
      <c r="B269" s="33"/>
      <c r="C269" s="33"/>
      <c r="D269" s="33"/>
      <c r="E269" s="33"/>
      <c r="F269" s="33"/>
      <c r="G269" s="33"/>
      <c r="H269" s="33"/>
      <c r="I269" s="33"/>
      <c r="J269" s="33"/>
      <c r="K269" s="33"/>
      <c r="L269" s="33"/>
      <c r="M269" s="33"/>
      <c r="N269" s="33"/>
    </row>
    <row r="270" spans="1:14" hidden="1" x14ac:dyDescent="0.25">
      <c r="A270" s="37"/>
      <c r="B270" s="33"/>
      <c r="C270" s="33"/>
      <c r="D270" s="33"/>
      <c r="E270" s="33"/>
      <c r="F270" s="33"/>
      <c r="G270" s="33"/>
      <c r="H270" s="33"/>
      <c r="I270" s="33"/>
      <c r="J270" s="33"/>
      <c r="K270" s="33"/>
      <c r="L270" s="33"/>
      <c r="M270" s="33"/>
      <c r="N270" s="33"/>
    </row>
    <row r="271" spans="1:14" hidden="1" x14ac:dyDescent="0.25">
      <c r="A271" s="37"/>
      <c r="B271" s="33"/>
      <c r="C271" s="33"/>
      <c r="D271" s="33"/>
      <c r="E271" s="33"/>
      <c r="F271" s="33"/>
      <c r="G271" s="33"/>
      <c r="H271" s="33"/>
      <c r="I271" s="33"/>
      <c r="J271" s="33"/>
      <c r="K271" s="33"/>
      <c r="L271" s="33"/>
      <c r="M271" s="33"/>
      <c r="N271" s="33"/>
    </row>
    <row r="272" spans="1:14" hidden="1" x14ac:dyDescent="0.25">
      <c r="A272" s="37"/>
      <c r="B272" s="33"/>
      <c r="C272" s="33"/>
      <c r="D272" s="33"/>
      <c r="E272" s="33"/>
      <c r="F272" s="33"/>
      <c r="G272" s="33"/>
      <c r="H272" s="33"/>
      <c r="I272" s="33"/>
      <c r="J272" s="33"/>
      <c r="K272" s="33"/>
      <c r="L272" s="33"/>
      <c r="M272" s="33"/>
      <c r="N272" s="33"/>
    </row>
    <row r="273" spans="1:14" hidden="1" x14ac:dyDescent="0.25">
      <c r="A273" s="37"/>
      <c r="B273" s="33"/>
      <c r="C273" s="33"/>
      <c r="D273" s="33"/>
      <c r="E273" s="33"/>
      <c r="F273" s="33"/>
      <c r="G273" s="33"/>
      <c r="H273" s="33"/>
      <c r="I273" s="33"/>
      <c r="J273" s="33"/>
      <c r="K273" s="33"/>
      <c r="L273" s="33"/>
      <c r="M273" s="33"/>
      <c r="N273" s="33"/>
    </row>
    <row r="274" spans="1:14" hidden="1" x14ac:dyDescent="0.25">
      <c r="A274" s="37"/>
      <c r="B274" s="33"/>
      <c r="C274" s="33"/>
      <c r="D274" s="33"/>
      <c r="E274" s="33"/>
      <c r="F274" s="33"/>
      <c r="G274" s="33"/>
      <c r="H274" s="33"/>
      <c r="I274" s="33"/>
      <c r="J274" s="33"/>
      <c r="K274" s="33"/>
      <c r="L274" s="33"/>
      <c r="M274" s="33"/>
      <c r="N274" s="33"/>
    </row>
    <row r="275" spans="1:14" hidden="1" x14ac:dyDescent="0.25">
      <c r="A275" s="37"/>
      <c r="B275" s="33"/>
      <c r="C275" s="33"/>
      <c r="D275" s="33"/>
      <c r="E275" s="33"/>
      <c r="F275" s="33"/>
      <c r="G275" s="33"/>
      <c r="H275" s="33"/>
      <c r="I275" s="33"/>
      <c r="J275" s="33"/>
      <c r="K275" s="33"/>
      <c r="L275" s="33"/>
      <c r="M275" s="33"/>
      <c r="N275" s="33"/>
    </row>
    <row r="276" spans="1:14" hidden="1" x14ac:dyDescent="0.25">
      <c r="A276" s="37"/>
      <c r="B276" s="33"/>
      <c r="C276" s="33"/>
      <c r="D276" s="33"/>
      <c r="E276" s="33"/>
      <c r="F276" s="33"/>
      <c r="G276" s="33"/>
      <c r="H276" s="33"/>
      <c r="I276" s="33"/>
      <c r="J276" s="33"/>
      <c r="K276" s="33"/>
      <c r="L276" s="33"/>
      <c r="M276" s="33"/>
      <c r="N276" s="33"/>
    </row>
    <row r="277" spans="1:14" hidden="1" x14ac:dyDescent="0.25">
      <c r="A277" s="37"/>
      <c r="B277" s="33"/>
      <c r="C277" s="33"/>
      <c r="D277" s="33"/>
      <c r="E277" s="33"/>
      <c r="F277" s="33"/>
      <c r="G277" s="33"/>
      <c r="H277" s="33"/>
      <c r="I277" s="33"/>
      <c r="J277" s="33"/>
      <c r="K277" s="33"/>
      <c r="L277" s="33"/>
      <c r="M277" s="33"/>
      <c r="N277" s="33"/>
    </row>
    <row r="278" spans="1:14" hidden="1" x14ac:dyDescent="0.25">
      <c r="A278" s="37"/>
      <c r="B278" s="33"/>
      <c r="C278" s="33"/>
      <c r="D278" s="33"/>
      <c r="E278" s="33"/>
      <c r="F278" s="33"/>
      <c r="G278" s="33"/>
      <c r="H278" s="33"/>
      <c r="I278" s="33"/>
      <c r="J278" s="33"/>
      <c r="K278" s="33"/>
      <c r="L278" s="33"/>
      <c r="M278" s="33"/>
      <c r="N278" s="33"/>
    </row>
    <row r="279" spans="1:14" hidden="1" x14ac:dyDescent="0.25">
      <c r="A279" s="37"/>
      <c r="B279" s="33"/>
      <c r="C279" s="33"/>
      <c r="D279" s="33"/>
      <c r="E279" s="33"/>
      <c r="F279" s="33"/>
      <c r="G279" s="33"/>
      <c r="H279" s="33"/>
      <c r="I279" s="33"/>
      <c r="J279" s="33"/>
      <c r="K279" s="33"/>
      <c r="L279" s="33"/>
      <c r="M279" s="33"/>
      <c r="N279" s="33"/>
    </row>
    <row r="280" spans="1:14" hidden="1" x14ac:dyDescent="0.25">
      <c r="A280" s="37"/>
      <c r="B280" s="33"/>
      <c r="C280" s="33"/>
      <c r="D280" s="33"/>
      <c r="E280" s="33"/>
      <c r="F280" s="33"/>
      <c r="G280" s="33"/>
      <c r="H280" s="33"/>
      <c r="I280" s="33"/>
      <c r="J280" s="33"/>
      <c r="K280" s="33"/>
      <c r="L280" s="33"/>
      <c r="M280" s="33"/>
      <c r="N280" s="33"/>
    </row>
    <row r="281" spans="1:14" hidden="1" x14ac:dyDescent="0.25">
      <c r="A281" s="37"/>
      <c r="B281" s="33"/>
      <c r="C281" s="33"/>
      <c r="D281" s="33"/>
      <c r="E281" s="33"/>
      <c r="F281" s="33"/>
      <c r="G281" s="33"/>
      <c r="H281" s="33"/>
      <c r="I281" s="33"/>
      <c r="J281" s="33"/>
      <c r="K281" s="33"/>
      <c r="L281" s="33"/>
      <c r="M281" s="33"/>
      <c r="N281" s="33"/>
    </row>
    <row r="282" spans="1:14" hidden="1" x14ac:dyDescent="0.25"/>
    <row r="283" spans="1:14" hidden="1" x14ac:dyDescent="0.25"/>
    <row r="284" spans="1:14" hidden="1" x14ac:dyDescent="0.25"/>
    <row r="285" spans="1:14" hidden="1" x14ac:dyDescent="0.25"/>
    <row r="286" spans="1:14" hidden="1" x14ac:dyDescent="0.25"/>
    <row r="287" spans="1:14" hidden="1" x14ac:dyDescent="0.25"/>
    <row r="288" spans="1:14"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6" spans="1:18" ht="14.25" customHeight="1" x14ac:dyDescent="0.25">
      <c r="A866" s="1" t="s">
        <v>716</v>
      </c>
    </row>
    <row r="867" spans="1:18" x14ac:dyDescent="0.25">
      <c r="A867" s="2" t="s">
        <v>169</v>
      </c>
      <c r="B867" s="2" t="s">
        <v>2</v>
      </c>
      <c r="C867" s="2" t="s">
        <v>717</v>
      </c>
      <c r="D867" s="2" t="s">
        <v>718</v>
      </c>
      <c r="E867" s="2" t="s">
        <v>719</v>
      </c>
      <c r="F867" s="2" t="s">
        <v>168</v>
      </c>
    </row>
    <row r="868" spans="1:18" hidden="1" x14ac:dyDescent="0.25">
      <c r="A868" s="197">
        <v>43831</v>
      </c>
      <c r="B868" s="32" t="s">
        <v>162</v>
      </c>
      <c r="C868" s="198">
        <v>3217.42</v>
      </c>
      <c r="D868" s="197">
        <v>43831</v>
      </c>
      <c r="E868" s="32">
        <v>1</v>
      </c>
      <c r="F868" s="32">
        <v>2020</v>
      </c>
    </row>
    <row r="869" spans="1:18" hidden="1" x14ac:dyDescent="0.25">
      <c r="A869" s="197">
        <v>43862</v>
      </c>
      <c r="B869" s="32" t="s">
        <v>162</v>
      </c>
      <c r="C869" s="198">
        <v>7003.56</v>
      </c>
      <c r="D869" s="197">
        <v>43862</v>
      </c>
      <c r="E869" s="32">
        <v>1</v>
      </c>
      <c r="F869" s="32">
        <v>2020</v>
      </c>
      <c r="P869" s="199"/>
      <c r="Q869" s="199" t="s">
        <v>697</v>
      </c>
      <c r="R869" s="199" t="s">
        <v>698</v>
      </c>
    </row>
    <row r="870" spans="1:18" hidden="1" x14ac:dyDescent="0.25">
      <c r="A870" s="197">
        <v>43891</v>
      </c>
      <c r="B870" s="32" t="s">
        <v>162</v>
      </c>
      <c r="C870" s="198">
        <v>3870</v>
      </c>
      <c r="D870" s="197">
        <v>43891</v>
      </c>
      <c r="E870" s="32">
        <v>1</v>
      </c>
      <c r="F870" s="32">
        <v>2020</v>
      </c>
      <c r="P870" s="200" t="s">
        <v>2</v>
      </c>
      <c r="Q870" s="201">
        <v>2887.7</v>
      </c>
      <c r="R870" s="202">
        <v>2139</v>
      </c>
    </row>
    <row r="871" spans="1:18" hidden="1" x14ac:dyDescent="0.25">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25">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25">
      <c r="A873" s="197">
        <v>43983</v>
      </c>
      <c r="B873" s="32" t="s">
        <v>162</v>
      </c>
      <c r="C873" s="198">
        <v>2351.86</v>
      </c>
      <c r="D873" s="197">
        <v>43983</v>
      </c>
      <c r="E873" s="32">
        <v>1</v>
      </c>
      <c r="F873" s="32">
        <v>2020</v>
      </c>
    </row>
    <row r="874" spans="1:18" hidden="1" x14ac:dyDescent="0.25">
      <c r="A874" s="197">
        <v>44013</v>
      </c>
      <c r="B874" s="32" t="s">
        <v>162</v>
      </c>
      <c r="C874" s="198">
        <v>3620.72</v>
      </c>
      <c r="D874" s="197">
        <v>44013</v>
      </c>
      <c r="E874" s="32">
        <v>1</v>
      </c>
      <c r="F874" s="32">
        <v>2020</v>
      </c>
    </row>
    <row r="875" spans="1:18" hidden="1" x14ac:dyDescent="0.25">
      <c r="A875" s="197">
        <v>44044</v>
      </c>
      <c r="B875" s="32" t="s">
        <v>162</v>
      </c>
      <c r="C875" s="198">
        <v>6740.76</v>
      </c>
      <c r="D875" s="197">
        <v>44044</v>
      </c>
      <c r="E875" s="32">
        <v>1</v>
      </c>
      <c r="F875" s="32">
        <v>2020</v>
      </c>
    </row>
    <row r="876" spans="1:18" hidden="1" x14ac:dyDescent="0.25">
      <c r="A876" s="197">
        <v>44075</v>
      </c>
      <c r="B876" s="32" t="s">
        <v>162</v>
      </c>
      <c r="C876" s="198">
        <v>3943.33</v>
      </c>
      <c r="D876" s="197">
        <v>44075</v>
      </c>
      <c r="E876" s="32">
        <v>1</v>
      </c>
      <c r="F876" s="32">
        <v>2020</v>
      </c>
    </row>
    <row r="877" spans="1:18" hidden="1" x14ac:dyDescent="0.25">
      <c r="A877" s="197">
        <v>44105</v>
      </c>
      <c r="B877" s="32" t="s">
        <v>162</v>
      </c>
      <c r="C877" s="198">
        <v>3688.83</v>
      </c>
      <c r="D877" s="197">
        <v>44105</v>
      </c>
      <c r="E877" s="32">
        <v>1</v>
      </c>
      <c r="F877" s="32">
        <v>2020</v>
      </c>
    </row>
    <row r="878" spans="1:18" hidden="1" x14ac:dyDescent="0.25">
      <c r="A878" s="197">
        <v>44136</v>
      </c>
      <c r="B878" s="32" t="s">
        <v>162</v>
      </c>
      <c r="C878" s="198">
        <v>6021.58</v>
      </c>
      <c r="D878" s="197">
        <v>44136</v>
      </c>
      <c r="E878" s="32">
        <v>1</v>
      </c>
      <c r="F878" s="32">
        <v>2020</v>
      </c>
    </row>
    <row r="879" spans="1:18" hidden="1" x14ac:dyDescent="0.25">
      <c r="A879" s="197">
        <v>44166</v>
      </c>
      <c r="B879" s="32" t="s">
        <v>162</v>
      </c>
      <c r="C879" s="198">
        <v>8115.23</v>
      </c>
      <c r="D879" s="197">
        <v>44166</v>
      </c>
      <c r="E879" s="32">
        <v>1</v>
      </c>
      <c r="F879" s="32">
        <v>2020</v>
      </c>
    </row>
    <row r="880" spans="1:18" hidden="1" x14ac:dyDescent="0.25">
      <c r="A880" s="197">
        <v>44197</v>
      </c>
      <c r="B880" s="32" t="s">
        <v>162</v>
      </c>
      <c r="C880" s="198">
        <v>11005.93</v>
      </c>
      <c r="D880" s="197">
        <v>44228</v>
      </c>
      <c r="E880" s="32">
        <v>1</v>
      </c>
      <c r="F880" s="32">
        <v>2021</v>
      </c>
    </row>
    <row r="881" spans="1:37" hidden="1" x14ac:dyDescent="0.25">
      <c r="A881" s="197">
        <v>44228</v>
      </c>
      <c r="B881" s="32" t="s">
        <v>162</v>
      </c>
      <c r="C881" s="198">
        <v>8850.1</v>
      </c>
      <c r="D881" s="197">
        <v>44256</v>
      </c>
      <c r="E881" s="32">
        <v>1</v>
      </c>
      <c r="F881" s="32">
        <v>2021</v>
      </c>
    </row>
    <row r="882" spans="1:37" hidden="1" x14ac:dyDescent="0.25">
      <c r="A882" s="197">
        <v>44256</v>
      </c>
      <c r="B882" s="32" t="s">
        <v>162</v>
      </c>
      <c r="C882" s="198">
        <v>6846.17</v>
      </c>
      <c r="D882" s="197">
        <v>44287</v>
      </c>
      <c r="E882" s="32">
        <v>1</v>
      </c>
      <c r="F882" s="32">
        <v>2021</v>
      </c>
    </row>
    <row r="883" spans="1:37" hidden="1" x14ac:dyDescent="0.25">
      <c r="A883" s="197">
        <v>44287</v>
      </c>
      <c r="B883" s="32" t="s">
        <v>162</v>
      </c>
      <c r="C883" s="198">
        <v>10860.43</v>
      </c>
      <c r="D883" s="197">
        <v>44317</v>
      </c>
      <c r="E883" s="32">
        <v>1</v>
      </c>
      <c r="F883" s="32">
        <v>2021</v>
      </c>
    </row>
    <row r="884" spans="1:37" hidden="1" x14ac:dyDescent="0.25">
      <c r="A884" s="197">
        <v>44317</v>
      </c>
      <c r="B884" s="32" t="s">
        <v>162</v>
      </c>
      <c r="C884" s="198">
        <v>7115.54</v>
      </c>
      <c r="D884" s="197">
        <v>44348</v>
      </c>
      <c r="E884" s="32">
        <v>1</v>
      </c>
      <c r="F884" s="32">
        <v>2021</v>
      </c>
    </row>
    <row r="885" spans="1:37" hidden="1" x14ac:dyDescent="0.25">
      <c r="A885" s="197">
        <v>44348</v>
      </c>
      <c r="B885" s="32" t="s">
        <v>162</v>
      </c>
      <c r="C885" s="198">
        <v>6085.95</v>
      </c>
      <c r="D885" s="197">
        <v>44378</v>
      </c>
      <c r="E885" s="32">
        <v>1</v>
      </c>
      <c r="F885" s="32">
        <v>2021</v>
      </c>
      <c r="AJ885" s="33"/>
      <c r="AK885" s="54"/>
    </row>
    <row r="886" spans="1:37" ht="15" hidden="1" customHeight="1" thickBot="1" x14ac:dyDescent="0.3">
      <c r="A886" s="197">
        <v>44378</v>
      </c>
      <c r="B886" s="32" t="s">
        <v>162</v>
      </c>
      <c r="C886" s="198">
        <v>6042.51</v>
      </c>
      <c r="D886" s="197">
        <v>44409</v>
      </c>
      <c r="E886" s="32">
        <v>1</v>
      </c>
      <c r="F886" s="32">
        <v>2021</v>
      </c>
      <c r="Y886" s="203" t="s">
        <v>720</v>
      </c>
      <c r="Z886" s="203" t="s">
        <v>2</v>
      </c>
      <c r="AA886" s="204"/>
      <c r="AB886" s="205" t="s">
        <v>701</v>
      </c>
      <c r="AC886" s="32"/>
    </row>
    <row r="887" spans="1:37" hidden="1" x14ac:dyDescent="0.25">
      <c r="A887" s="197">
        <v>44409</v>
      </c>
      <c r="B887" s="32" t="s">
        <v>162</v>
      </c>
      <c r="C887" s="198">
        <v>12879.46</v>
      </c>
      <c r="D887" s="197">
        <v>44440</v>
      </c>
      <c r="E887" s="32">
        <v>1</v>
      </c>
      <c r="F887" s="32">
        <v>2021</v>
      </c>
      <c r="Y887" s="206">
        <v>2021</v>
      </c>
      <c r="Z887" s="420">
        <f>Z18</f>
        <v>8670.8058333333338</v>
      </c>
      <c r="AA887" s="206"/>
      <c r="AB887" s="207">
        <v>0</v>
      </c>
      <c r="AC887" s="208"/>
    </row>
    <row r="888" spans="1:37" hidden="1" x14ac:dyDescent="0.25">
      <c r="A888" s="197">
        <v>44440</v>
      </c>
      <c r="B888" s="32" t="s">
        <v>162</v>
      </c>
      <c r="C888" s="198">
        <v>4137.12</v>
      </c>
      <c r="D888" s="197">
        <v>44470</v>
      </c>
      <c r="E888" s="32">
        <v>1</v>
      </c>
      <c r="F888" s="32">
        <v>2021</v>
      </c>
      <c r="Y888" s="209">
        <v>2022</v>
      </c>
      <c r="Z888" s="421"/>
      <c r="AA888" s="209"/>
      <c r="AB888" s="210">
        <f>AC18</f>
        <v>9325.1491666666661</v>
      </c>
    </row>
    <row r="889" spans="1:37" hidden="1" x14ac:dyDescent="0.25">
      <c r="A889" s="197">
        <v>44470</v>
      </c>
      <c r="B889" s="32" t="s">
        <v>162</v>
      </c>
      <c r="C889" s="198">
        <v>9441.0400000000009</v>
      </c>
      <c r="D889" s="197">
        <v>44501</v>
      </c>
      <c r="E889" s="32">
        <v>1</v>
      </c>
      <c r="F889" s="32">
        <v>2021</v>
      </c>
      <c r="Y889" s="209">
        <v>2023</v>
      </c>
      <c r="Z889" s="421"/>
      <c r="AA889" s="209"/>
      <c r="AB889" s="210">
        <f>AF18</f>
        <v>8102.3050000000003</v>
      </c>
      <c r="AC889" s="53"/>
    </row>
    <row r="890" spans="1:37" ht="15" hidden="1" customHeight="1" thickBot="1" x14ac:dyDescent="0.3">
      <c r="A890" s="197">
        <v>44501</v>
      </c>
      <c r="B890" s="32" t="s">
        <v>162</v>
      </c>
      <c r="C890" s="198">
        <v>11233.63</v>
      </c>
      <c r="D890" s="197">
        <v>44531</v>
      </c>
      <c r="E890" s="32">
        <v>1</v>
      </c>
      <c r="F890" s="32">
        <v>2021</v>
      </c>
      <c r="Y890" s="211">
        <v>2024</v>
      </c>
      <c r="Z890" s="422"/>
      <c r="AA890" s="211"/>
      <c r="AB890" s="212">
        <f>AI16</f>
        <v>93060.81</v>
      </c>
    </row>
    <row r="891" spans="1:37" hidden="1" x14ac:dyDescent="0.25">
      <c r="A891" s="197">
        <v>44531</v>
      </c>
      <c r="B891" s="32" t="s">
        <v>162</v>
      </c>
      <c r="C891" s="198">
        <v>9551.7900000000009</v>
      </c>
      <c r="D891" s="197">
        <v>44562</v>
      </c>
      <c r="E891" s="32">
        <v>1</v>
      </c>
      <c r="F891" s="32">
        <v>2021</v>
      </c>
      <c r="Y891" s="32"/>
      <c r="Z891" s="32"/>
      <c r="AA891" s="32"/>
      <c r="AB891" s="32"/>
      <c r="AC891" s="54"/>
      <c r="AD891" s="54"/>
    </row>
    <row r="892" spans="1:37" hidden="1" x14ac:dyDescent="0.25">
      <c r="A892" s="197">
        <v>44562</v>
      </c>
      <c r="B892" s="32" t="s">
        <v>162</v>
      </c>
      <c r="C892" s="198">
        <v>10325.030000000001</v>
      </c>
      <c r="D892" s="197">
        <f>comissao[[#This Row],[Mês]]</f>
        <v>44562</v>
      </c>
      <c r="E892" s="32">
        <v>1</v>
      </c>
      <c r="F892" s="32">
        <v>2022</v>
      </c>
    </row>
    <row r="893" spans="1:37" hidden="1" x14ac:dyDescent="0.25">
      <c r="A893" s="197">
        <v>44593</v>
      </c>
      <c r="B893" s="32" t="s">
        <v>162</v>
      </c>
      <c r="C893" s="198">
        <v>6014.19</v>
      </c>
      <c r="D893" s="197">
        <f>comissao[[#This Row],[Mês]]</f>
        <v>44593</v>
      </c>
      <c r="E893" s="32">
        <v>1</v>
      </c>
      <c r="F893" s="32">
        <v>2022</v>
      </c>
    </row>
    <row r="894" spans="1:37" ht="21.6" hidden="1" customHeight="1" thickBot="1" x14ac:dyDescent="0.4">
      <c r="A894" s="197">
        <v>44621</v>
      </c>
      <c r="B894" s="32" t="s">
        <v>162</v>
      </c>
      <c r="C894" s="198">
        <v>7501</v>
      </c>
      <c r="D894" s="197">
        <f>comissao[[#This Row],[Mês]]</f>
        <v>44621</v>
      </c>
      <c r="E894" s="32">
        <v>1</v>
      </c>
      <c r="F894" s="32">
        <v>2022</v>
      </c>
      <c r="Y894" s="213" t="s">
        <v>721</v>
      </c>
      <c r="Z894" s="32" t="s">
        <v>722</v>
      </c>
      <c r="AA894" s="418" t="s">
        <v>723</v>
      </c>
      <c r="AB894" s="419"/>
      <c r="AC894" s="419"/>
    </row>
    <row r="895" spans="1:37" ht="15" hidden="1" customHeight="1" thickBot="1" x14ac:dyDescent="0.3">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25">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25">
      <c r="A898" s="197">
        <v>44743</v>
      </c>
      <c r="B898" s="32" t="s">
        <v>162</v>
      </c>
      <c r="C898" s="198">
        <v>9935.31</v>
      </c>
      <c r="D898" s="197">
        <f>comissao[[#This Row],[Mês]]</f>
        <v>44743</v>
      </c>
      <c r="E898" s="32">
        <v>1</v>
      </c>
      <c r="F898" s="32">
        <v>2022</v>
      </c>
      <c r="Z898" s="224" t="s">
        <v>727</v>
      </c>
    </row>
    <row r="899" spans="1:30" hidden="1" x14ac:dyDescent="0.25">
      <c r="A899" s="197">
        <v>44774</v>
      </c>
      <c r="B899" s="32" t="s">
        <v>162</v>
      </c>
      <c r="C899" s="198">
        <v>8170.34</v>
      </c>
      <c r="D899" s="197">
        <f>comissao[[#This Row],[Mês]]</f>
        <v>44774</v>
      </c>
      <c r="E899" s="32">
        <v>1</v>
      </c>
      <c r="F899" s="32">
        <v>2022</v>
      </c>
    </row>
    <row r="900" spans="1:30" ht="21" hidden="1" customHeight="1" x14ac:dyDescent="0.35">
      <c r="A900" s="197">
        <v>44805</v>
      </c>
      <c r="B900" s="32" t="s">
        <v>162</v>
      </c>
      <c r="C900" s="198">
        <v>14096.05</v>
      </c>
      <c r="D900" s="197">
        <f>comissao[[#This Row],[Mês]]</f>
        <v>44805</v>
      </c>
      <c r="E900" s="32">
        <v>1</v>
      </c>
      <c r="F900" s="32">
        <v>2022</v>
      </c>
      <c r="Y900" s="213" t="s">
        <v>728</v>
      </c>
    </row>
    <row r="901" spans="1:30" ht="15" hidden="1" customHeight="1" thickBot="1" x14ac:dyDescent="0.3">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25">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25">
      <c r="A904" s="197">
        <v>44931</v>
      </c>
      <c r="B904" s="32" t="s">
        <v>162</v>
      </c>
      <c r="C904" s="198">
        <v>6512.53</v>
      </c>
      <c r="D904" s="197">
        <f>comissao[[#This Row],[Mês]]</f>
        <v>44931</v>
      </c>
      <c r="E904" s="32">
        <v>1</v>
      </c>
      <c r="F904" s="32">
        <v>2023</v>
      </c>
    </row>
    <row r="905" spans="1:30" ht="21" hidden="1" customHeight="1" x14ac:dyDescent="0.35">
      <c r="A905" s="197">
        <v>44931</v>
      </c>
      <c r="B905" s="32" t="s">
        <v>161</v>
      </c>
      <c r="C905" s="198">
        <f>2057.71</f>
        <v>2057.71</v>
      </c>
      <c r="D905" s="197">
        <v>44962</v>
      </c>
      <c r="E905" s="32">
        <v>1</v>
      </c>
      <c r="F905" s="32">
        <v>2023</v>
      </c>
      <c r="Y905" s="213" t="s">
        <v>730</v>
      </c>
    </row>
    <row r="906" spans="1:30" ht="15" hidden="1" customHeight="1" thickBot="1" x14ac:dyDescent="0.3">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25">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25">
      <c r="A909" s="197">
        <v>44962</v>
      </c>
      <c r="B909" s="32" t="s">
        <v>704</v>
      </c>
      <c r="C909" s="198">
        <v>1817.54</v>
      </c>
      <c r="D909" s="197">
        <v>44990</v>
      </c>
      <c r="E909" s="32">
        <v>1</v>
      </c>
      <c r="F909" s="32">
        <v>2023</v>
      </c>
    </row>
    <row r="910" spans="1:30" hidden="1" x14ac:dyDescent="0.25">
      <c r="A910" s="197">
        <v>44990</v>
      </c>
      <c r="B910" s="32" t="s">
        <v>162</v>
      </c>
      <c r="C910" s="198">
        <v>6481.14</v>
      </c>
      <c r="D910" s="197">
        <f>comissao[[#This Row],[Mês]]</f>
        <v>44990</v>
      </c>
      <c r="E910" s="32">
        <v>1</v>
      </c>
      <c r="F910" s="32">
        <v>2023</v>
      </c>
    </row>
    <row r="911" spans="1:30" hidden="1" x14ac:dyDescent="0.25">
      <c r="A911" s="197">
        <v>44990</v>
      </c>
      <c r="B911" s="32" t="s">
        <v>161</v>
      </c>
      <c r="C911" s="198">
        <f>138.6+7604.34</f>
        <v>7742.9400000000005</v>
      </c>
      <c r="D911" s="197">
        <v>45021</v>
      </c>
      <c r="E911" s="32">
        <v>1</v>
      </c>
      <c r="F911" s="32">
        <v>2023</v>
      </c>
    </row>
    <row r="912" spans="1:30" hidden="1" x14ac:dyDescent="0.25">
      <c r="A912" s="197">
        <v>44990</v>
      </c>
      <c r="B912" s="32" t="s">
        <v>704</v>
      </c>
      <c r="C912" s="198">
        <f>6536.71+63</f>
        <v>6599.71</v>
      </c>
      <c r="D912" s="197">
        <v>45021</v>
      </c>
      <c r="E912" s="32">
        <v>1</v>
      </c>
      <c r="F912" s="32">
        <v>2023</v>
      </c>
    </row>
    <row r="913" spans="1:6" hidden="1" x14ac:dyDescent="0.25">
      <c r="A913" s="197">
        <v>45021</v>
      </c>
      <c r="B913" s="32" t="s">
        <v>162</v>
      </c>
      <c r="C913" s="198">
        <v>7030.18</v>
      </c>
      <c r="D913" s="197">
        <f>comissao[[#This Row],[Mês]]</f>
        <v>45021</v>
      </c>
      <c r="E913" s="32">
        <v>1</v>
      </c>
      <c r="F913" s="32">
        <v>2023</v>
      </c>
    </row>
    <row r="914" spans="1:6" hidden="1" x14ac:dyDescent="0.25">
      <c r="A914" s="197">
        <v>45021</v>
      </c>
      <c r="B914" s="32" t="s">
        <v>161</v>
      </c>
      <c r="C914" s="198">
        <v>4433.51</v>
      </c>
      <c r="D914" s="197">
        <v>45051</v>
      </c>
      <c r="E914" s="32">
        <v>1</v>
      </c>
      <c r="F914" s="32">
        <v>2023</v>
      </c>
    </row>
    <row r="915" spans="1:6" hidden="1" x14ac:dyDescent="0.25">
      <c r="A915" s="197">
        <v>45021</v>
      </c>
      <c r="B915" s="32" t="s">
        <v>704</v>
      </c>
      <c r="C915" s="198">
        <f>8924.82+670</f>
        <v>9594.82</v>
      </c>
      <c r="D915" s="197">
        <v>45051</v>
      </c>
      <c r="E915" s="32">
        <v>1</v>
      </c>
      <c r="F915" s="32">
        <v>2023</v>
      </c>
    </row>
    <row r="916" spans="1:6" hidden="1" x14ac:dyDescent="0.25">
      <c r="A916" s="197">
        <v>45051</v>
      </c>
      <c r="B916" s="32" t="s">
        <v>162</v>
      </c>
      <c r="C916" s="198">
        <v>3211.2</v>
      </c>
      <c r="D916" s="197">
        <f>comissao[[#This Row],[Mês]]</f>
        <v>45051</v>
      </c>
      <c r="E916" s="32">
        <v>1</v>
      </c>
      <c r="F916" s="32">
        <v>2023</v>
      </c>
    </row>
    <row r="917" spans="1:6" hidden="1" x14ac:dyDescent="0.25">
      <c r="A917" s="197">
        <v>45051</v>
      </c>
      <c r="B917" s="32" t="s">
        <v>161</v>
      </c>
      <c r="C917" s="198">
        <f>27.84+315.45</f>
        <v>343.28999999999996</v>
      </c>
      <c r="D917" s="197">
        <v>45082</v>
      </c>
      <c r="E917" s="32">
        <v>1</v>
      </c>
      <c r="F917" s="32">
        <v>2023</v>
      </c>
    </row>
    <row r="918" spans="1:6" hidden="1" x14ac:dyDescent="0.25">
      <c r="A918" s="197">
        <v>45051</v>
      </c>
      <c r="B918" s="32" t="s">
        <v>704</v>
      </c>
      <c r="C918" s="198">
        <f>1802.05+818.4</f>
        <v>2620.4499999999998</v>
      </c>
      <c r="D918" s="197">
        <v>45082</v>
      </c>
      <c r="E918" s="32">
        <v>1</v>
      </c>
      <c r="F918" s="32">
        <v>2023</v>
      </c>
    </row>
    <row r="919" spans="1:6" hidden="1" x14ac:dyDescent="0.25">
      <c r="A919" s="197">
        <v>45082</v>
      </c>
      <c r="B919" s="32" t="s">
        <v>162</v>
      </c>
      <c r="C919" s="198">
        <f>93.33+3158.63+10.95</f>
        <v>3262.91</v>
      </c>
      <c r="D919" s="197">
        <f>comissao[[#This Row],[Mês]]</f>
        <v>45082</v>
      </c>
      <c r="E919" s="32">
        <v>1</v>
      </c>
      <c r="F919" s="32">
        <v>2023</v>
      </c>
    </row>
    <row r="920" spans="1:6" hidden="1" x14ac:dyDescent="0.25">
      <c r="A920" s="197">
        <v>45082</v>
      </c>
      <c r="B920" s="32" t="s">
        <v>161</v>
      </c>
      <c r="C920" s="198">
        <f>2649.25+36.24+40.64</f>
        <v>2726.1299999999997</v>
      </c>
      <c r="D920" s="197">
        <v>45112</v>
      </c>
      <c r="E920" s="32">
        <v>1</v>
      </c>
      <c r="F920" s="32">
        <v>2023</v>
      </c>
    </row>
    <row r="921" spans="1:6" hidden="1" x14ac:dyDescent="0.25">
      <c r="A921" s="197">
        <v>45082</v>
      </c>
      <c r="B921" s="32" t="s">
        <v>704</v>
      </c>
      <c r="C921" s="198">
        <f>1382.06+818.4</f>
        <v>2200.46</v>
      </c>
      <c r="D921" s="197">
        <v>45112</v>
      </c>
      <c r="E921" s="32">
        <v>1</v>
      </c>
      <c r="F921" s="32">
        <v>2023</v>
      </c>
    </row>
    <row r="922" spans="1:6" hidden="1" x14ac:dyDescent="0.25">
      <c r="A922" s="197">
        <v>45112</v>
      </c>
      <c r="B922" s="32" t="s">
        <v>162</v>
      </c>
      <c r="C922" s="198">
        <f>1120.35+1400.01+1849.33+3338.42</f>
        <v>7708.11</v>
      </c>
      <c r="D922" s="197">
        <f>comissao[[#This Row],[Mês]]</f>
        <v>45112</v>
      </c>
      <c r="E922" s="32">
        <v>1</v>
      </c>
      <c r="F922" s="32">
        <v>2023</v>
      </c>
    </row>
    <row r="923" spans="1:6" hidden="1" x14ac:dyDescent="0.25">
      <c r="A923" s="197">
        <v>45112</v>
      </c>
      <c r="B923" s="32" t="s">
        <v>161</v>
      </c>
      <c r="C923" s="198">
        <f>53.26+313.68+2846.24</f>
        <v>3213.18</v>
      </c>
      <c r="D923" s="197">
        <v>45143</v>
      </c>
      <c r="E923" s="32">
        <v>1</v>
      </c>
      <c r="F923" s="32">
        <v>2023</v>
      </c>
    </row>
    <row r="924" spans="1:6" hidden="1" x14ac:dyDescent="0.25">
      <c r="A924" s="197">
        <v>45112</v>
      </c>
      <c r="B924" s="32" t="s">
        <v>704</v>
      </c>
      <c r="C924" s="198">
        <f>1159.4+142.02+2591.8</f>
        <v>3893.2200000000003</v>
      </c>
      <c r="D924" s="197">
        <v>45143</v>
      </c>
      <c r="E924" s="32">
        <v>1</v>
      </c>
      <c r="F924" s="32">
        <v>2023</v>
      </c>
    </row>
    <row r="925" spans="1:6" hidden="1" x14ac:dyDescent="0.25">
      <c r="A925" s="197">
        <v>45143</v>
      </c>
      <c r="B925" s="32" t="s">
        <v>162</v>
      </c>
      <c r="C925" s="198">
        <f>93.33+7207.97+684.01</f>
        <v>7985.31</v>
      </c>
      <c r="D925" s="197">
        <f>comissao[[#This Row],[Mês]]</f>
        <v>45143</v>
      </c>
      <c r="E925" s="32">
        <v>1</v>
      </c>
      <c r="F925" s="32">
        <v>2023</v>
      </c>
    </row>
    <row r="926" spans="1:6" hidden="1" x14ac:dyDescent="0.25">
      <c r="A926" s="197">
        <v>45143</v>
      </c>
      <c r="B926" s="32" t="s">
        <v>161</v>
      </c>
      <c r="C926" s="198">
        <f>59.46+883.14+41.24</f>
        <v>983.84</v>
      </c>
      <c r="D926" s="197">
        <v>45174</v>
      </c>
      <c r="E926" s="32">
        <v>1</v>
      </c>
      <c r="F926" s="32">
        <v>2023</v>
      </c>
    </row>
    <row r="927" spans="1:6" hidden="1" x14ac:dyDescent="0.25">
      <c r="A927" s="197">
        <v>45143</v>
      </c>
      <c r="B927" s="32" t="s">
        <v>704</v>
      </c>
      <c r="C927" s="198">
        <f>5748.13+142.02+211.4</f>
        <v>6101.55</v>
      </c>
      <c r="D927" s="197">
        <v>45174</v>
      </c>
      <c r="E927" s="32">
        <v>1</v>
      </c>
      <c r="F927" s="32">
        <v>2023</v>
      </c>
    </row>
    <row r="928" spans="1:6" hidden="1" x14ac:dyDescent="0.25">
      <c r="A928" s="197">
        <v>45174</v>
      </c>
      <c r="B928" s="32" t="s">
        <v>162</v>
      </c>
      <c r="C928" s="198">
        <f>348.01+211.06+1812.01+6156.82+7574.55</f>
        <v>16102.45</v>
      </c>
      <c r="D928" s="197">
        <f>comissao[[#This Row],[Mês]]</f>
        <v>45174</v>
      </c>
      <c r="E928" s="32">
        <v>1</v>
      </c>
      <c r="F928" s="32">
        <v>2023</v>
      </c>
    </row>
    <row r="929" spans="1:6" hidden="1" x14ac:dyDescent="0.25">
      <c r="A929" s="197">
        <v>45174</v>
      </c>
      <c r="B929" s="32" t="s">
        <v>161</v>
      </c>
      <c r="C929" s="198">
        <f>54.73+1856.74+40.58+1724.24</f>
        <v>3676.29</v>
      </c>
      <c r="D929" s="197">
        <v>45204</v>
      </c>
      <c r="E929" s="32">
        <v>1</v>
      </c>
      <c r="F929" s="32">
        <v>2023</v>
      </c>
    </row>
    <row r="930" spans="1:6" hidden="1" x14ac:dyDescent="0.25">
      <c r="A930" s="197">
        <v>45174</v>
      </c>
      <c r="B930" s="32" t="s">
        <v>704</v>
      </c>
      <c r="C930" s="198">
        <f>439.39+6108.28+2761.4</f>
        <v>9309.07</v>
      </c>
      <c r="D930" s="197">
        <v>45204</v>
      </c>
      <c r="E930" s="32">
        <v>1</v>
      </c>
      <c r="F930" s="32">
        <v>2023</v>
      </c>
    </row>
    <row r="931" spans="1:6" hidden="1" x14ac:dyDescent="0.25">
      <c r="A931" s="197">
        <v>45204</v>
      </c>
      <c r="B931" s="32" t="s">
        <v>162</v>
      </c>
      <c r="C931" s="198">
        <f>153.07+211.06+16364.38+25.25</f>
        <v>16753.759999999998</v>
      </c>
      <c r="D931" s="197">
        <f>comissao[[#This Row],[Mês]]</f>
        <v>45204</v>
      </c>
      <c r="E931" s="32">
        <v>1</v>
      </c>
      <c r="F931" s="32">
        <v>2023</v>
      </c>
    </row>
    <row r="932" spans="1:6" hidden="1" x14ac:dyDescent="0.25">
      <c r="A932" s="197">
        <v>45204</v>
      </c>
      <c r="B932" s="32" t="s">
        <v>161</v>
      </c>
      <c r="C932" s="198">
        <f>50.11+6017.26+52.41</f>
        <v>6119.78</v>
      </c>
      <c r="D932" s="197">
        <v>45235</v>
      </c>
      <c r="E932" s="32">
        <v>1</v>
      </c>
      <c r="F932" s="32">
        <v>2023</v>
      </c>
    </row>
    <row r="933" spans="1:6" hidden="1" x14ac:dyDescent="0.25">
      <c r="A933" s="197">
        <v>45204</v>
      </c>
      <c r="B933" s="32" t="s">
        <v>704</v>
      </c>
      <c r="C933" s="198">
        <f>142.02+17440.28+371.24+3567.2</f>
        <v>21520.74</v>
      </c>
      <c r="D933" s="197">
        <v>45235</v>
      </c>
      <c r="E933" s="32">
        <v>1</v>
      </c>
      <c r="F933" s="32">
        <v>2023</v>
      </c>
    </row>
    <row r="934" spans="1:6" hidden="1" x14ac:dyDescent="0.25">
      <c r="A934" s="197">
        <v>45235</v>
      </c>
      <c r="B934" s="32" t="s">
        <v>162</v>
      </c>
      <c r="C934" s="198">
        <f>29.87+211.06+8828.97+25.26</f>
        <v>9095.16</v>
      </c>
      <c r="D934" s="197">
        <f>comissao[[#This Row],[Mês]]</f>
        <v>45235</v>
      </c>
      <c r="E934" s="32">
        <v>1</v>
      </c>
      <c r="F934" s="32">
        <v>2023</v>
      </c>
    </row>
    <row r="935" spans="1:6" hidden="1" x14ac:dyDescent="0.25">
      <c r="A935" s="197">
        <v>45235</v>
      </c>
      <c r="B935" s="32" t="s">
        <v>161</v>
      </c>
      <c r="C935" s="198">
        <f>272.26+894.36+1613.87</f>
        <v>2780.49</v>
      </c>
      <c r="D935" s="197">
        <v>45265</v>
      </c>
      <c r="E935" s="32">
        <v>1</v>
      </c>
      <c r="F935" s="32">
        <v>2023</v>
      </c>
    </row>
    <row r="936" spans="1:6" hidden="1" x14ac:dyDescent="0.25">
      <c r="A936" s="197">
        <v>45235</v>
      </c>
      <c r="B936" s="32" t="s">
        <v>704</v>
      </c>
      <c r="C936" s="198">
        <f>136.3+8302.15+141.77+331.28</f>
        <v>8911.5</v>
      </c>
      <c r="D936" s="197">
        <v>45265</v>
      </c>
      <c r="E936" s="32">
        <v>1</v>
      </c>
      <c r="F936" s="32">
        <v>2023</v>
      </c>
    </row>
    <row r="937" spans="1:6" hidden="1" x14ac:dyDescent="0.25">
      <c r="A937" s="197">
        <v>45265</v>
      </c>
      <c r="B937" s="32" t="s">
        <v>162</v>
      </c>
      <c r="C937" s="198">
        <v>4520.88</v>
      </c>
      <c r="D937" s="197">
        <f>comissao[[#This Row],[Mês]]</f>
        <v>45265</v>
      </c>
      <c r="E937" s="32">
        <v>1</v>
      </c>
      <c r="F937" s="32">
        <v>2023</v>
      </c>
    </row>
    <row r="938" spans="1:6" hidden="1" x14ac:dyDescent="0.25">
      <c r="A938" s="197">
        <v>45265</v>
      </c>
      <c r="B938" s="32" t="s">
        <v>161</v>
      </c>
      <c r="C938" s="198">
        <f>2777.39-864.51+33.27+27.95</f>
        <v>1974.1</v>
      </c>
      <c r="D938" s="197">
        <v>45296</v>
      </c>
      <c r="E938" s="32">
        <v>1</v>
      </c>
      <c r="F938" s="32">
        <v>2023</v>
      </c>
    </row>
    <row r="939" spans="1:6" hidden="1" x14ac:dyDescent="0.25">
      <c r="A939" s="197">
        <v>45265</v>
      </c>
      <c r="B939" s="32" t="s">
        <v>704</v>
      </c>
      <c r="C939" s="198">
        <f>3400.81+142.02+10062.24-29.08</f>
        <v>13575.99</v>
      </c>
      <c r="D939" s="197">
        <v>45296</v>
      </c>
      <c r="E939" s="32">
        <v>1</v>
      </c>
      <c r="F939" s="32">
        <v>2023</v>
      </c>
    </row>
    <row r="940" spans="1:6" hidden="1" x14ac:dyDescent="0.25">
      <c r="A940" s="197">
        <v>45296</v>
      </c>
      <c r="B940" s="32" t="s">
        <v>162</v>
      </c>
      <c r="C940" s="198">
        <f>15.76+4941.03+211.06+130.67</f>
        <v>5298.52</v>
      </c>
      <c r="D940" s="197">
        <v>45327</v>
      </c>
      <c r="E940" s="32">
        <v>1</v>
      </c>
      <c r="F940" s="32">
        <v>2024</v>
      </c>
    </row>
    <row r="941" spans="1:6" hidden="1" x14ac:dyDescent="0.25">
      <c r="A941" s="197">
        <v>45296</v>
      </c>
      <c r="B941" s="32" t="s">
        <v>161</v>
      </c>
      <c r="C941" s="198">
        <f>1253.95+14.08+16.83+2577.1</f>
        <v>3861.96</v>
      </c>
      <c r="D941" s="197">
        <v>45327</v>
      </c>
      <c r="E941" s="32">
        <v>1</v>
      </c>
      <c r="F941" s="32">
        <v>2024</v>
      </c>
    </row>
    <row r="942" spans="1:6" hidden="1" x14ac:dyDescent="0.25">
      <c r="A942" s="197">
        <v>45296</v>
      </c>
      <c r="B942" s="32" t="s">
        <v>704</v>
      </c>
      <c r="C942" s="198">
        <f>4436.28+83.13+4299.79</f>
        <v>8819.2000000000007</v>
      </c>
      <c r="D942" s="197">
        <v>45327</v>
      </c>
      <c r="E942" s="32">
        <v>1</v>
      </c>
      <c r="F942" s="32">
        <v>2024</v>
      </c>
    </row>
    <row r="943" spans="1:6" hidden="1" x14ac:dyDescent="0.25">
      <c r="A943" s="197">
        <v>45296</v>
      </c>
      <c r="B943" s="32" t="s">
        <v>705</v>
      </c>
      <c r="C943" s="198">
        <v>120</v>
      </c>
      <c r="D943" s="197">
        <v>45327</v>
      </c>
      <c r="E943" s="32">
        <v>1</v>
      </c>
      <c r="F943" s="32">
        <v>2024</v>
      </c>
    </row>
    <row r="944" spans="1:6" hidden="1" x14ac:dyDescent="0.25">
      <c r="A944" s="197">
        <v>45327</v>
      </c>
      <c r="B944" s="32" t="s">
        <v>162</v>
      </c>
      <c r="C944" s="198">
        <v>13119.38</v>
      </c>
      <c r="D944" s="197">
        <v>45356</v>
      </c>
      <c r="E944" s="32">
        <v>1</v>
      </c>
      <c r="F944" s="32">
        <v>2024</v>
      </c>
    </row>
    <row r="945" spans="1:28" hidden="1" x14ac:dyDescent="0.25">
      <c r="A945" s="197">
        <v>45327</v>
      </c>
      <c r="B945" s="32" t="s">
        <v>161</v>
      </c>
      <c r="C945" s="198">
        <f>2113.55+394.22+14.08+40.58</f>
        <v>2562.4300000000003</v>
      </c>
      <c r="D945" s="197">
        <v>45356</v>
      </c>
      <c r="E945" s="32">
        <v>1</v>
      </c>
      <c r="F945" s="32">
        <v>2024</v>
      </c>
    </row>
    <row r="946" spans="1:28" hidden="1" x14ac:dyDescent="0.25">
      <c r="A946" s="197">
        <v>45327</v>
      </c>
      <c r="B946" s="32" t="s">
        <v>704</v>
      </c>
      <c r="C946" s="198">
        <v>6416.69</v>
      </c>
      <c r="D946" s="197">
        <v>45356</v>
      </c>
      <c r="E946" s="32">
        <v>1</v>
      </c>
      <c r="F946" s="32">
        <v>2024</v>
      </c>
    </row>
    <row r="947" spans="1:28" hidden="1" x14ac:dyDescent="0.25">
      <c r="A947" s="197">
        <v>45327</v>
      </c>
      <c r="B947" s="32" t="s">
        <v>705</v>
      </c>
      <c r="C947" s="198">
        <v>0</v>
      </c>
      <c r="D947" s="197">
        <v>45356</v>
      </c>
      <c r="E947" s="32">
        <v>1</v>
      </c>
      <c r="F947" s="32">
        <v>2024</v>
      </c>
    </row>
    <row r="948" spans="1:28" hidden="1" x14ac:dyDescent="0.25">
      <c r="A948" s="197">
        <v>45356</v>
      </c>
      <c r="B948" s="32" t="s">
        <v>162</v>
      </c>
      <c r="C948" s="198">
        <v>9686.09</v>
      </c>
      <c r="D948" s="197">
        <v>45387</v>
      </c>
      <c r="E948" s="32">
        <v>1</v>
      </c>
      <c r="F948" s="32">
        <v>2024</v>
      </c>
    </row>
    <row r="949" spans="1:28" hidden="1" x14ac:dyDescent="0.25">
      <c r="A949" s="197">
        <v>45356</v>
      </c>
      <c r="B949" s="32" t="s">
        <v>161</v>
      </c>
      <c r="C949" s="198">
        <v>4795.16</v>
      </c>
      <c r="D949" s="197">
        <v>45387</v>
      </c>
      <c r="E949" s="32">
        <v>1</v>
      </c>
      <c r="F949" s="32">
        <v>2024</v>
      </c>
    </row>
    <row r="950" spans="1:28" hidden="1" x14ac:dyDescent="0.25">
      <c r="A950" s="197">
        <v>45356</v>
      </c>
      <c r="B950" s="32" t="s">
        <v>704</v>
      </c>
      <c r="C950" s="198">
        <v>9548.93</v>
      </c>
      <c r="D950" s="197">
        <v>45387</v>
      </c>
      <c r="E950" s="32">
        <v>1</v>
      </c>
      <c r="F950" s="32">
        <v>2024</v>
      </c>
    </row>
    <row r="951" spans="1:28" hidden="1" x14ac:dyDescent="0.25">
      <c r="A951" s="197">
        <v>45356</v>
      </c>
      <c r="B951" s="32" t="s">
        <v>705</v>
      </c>
      <c r="C951" s="198">
        <v>0</v>
      </c>
      <c r="D951" s="197">
        <v>45387</v>
      </c>
      <c r="E951" s="32">
        <v>1</v>
      </c>
      <c r="F951" s="32">
        <v>2024</v>
      </c>
      <c r="Y951" s="32"/>
      <c r="Z951" s="32"/>
      <c r="AA951" s="32"/>
      <c r="AB951" s="32"/>
    </row>
    <row r="952" spans="1:28" hidden="1" x14ac:dyDescent="0.25">
      <c r="A952" s="197">
        <v>45387</v>
      </c>
      <c r="B952" s="32" t="s">
        <v>162</v>
      </c>
      <c r="C952" s="198">
        <v>11569.26</v>
      </c>
      <c r="D952" s="197">
        <v>45417</v>
      </c>
      <c r="E952" s="32">
        <v>1</v>
      </c>
      <c r="F952" s="32">
        <v>2024</v>
      </c>
      <c r="Y952" s="32"/>
      <c r="Z952" s="32"/>
      <c r="AA952" s="32"/>
      <c r="AB952" s="32"/>
    </row>
    <row r="953" spans="1:28" hidden="1" x14ac:dyDescent="0.25">
      <c r="A953" s="197">
        <v>45387</v>
      </c>
      <c r="B953" s="32" t="s">
        <v>161</v>
      </c>
      <c r="C953" s="198">
        <v>8473.4</v>
      </c>
      <c r="D953" s="197">
        <v>45417</v>
      </c>
      <c r="E953" s="32">
        <v>1</v>
      </c>
      <c r="F953" s="32">
        <v>2024</v>
      </c>
      <c r="Y953" s="32"/>
      <c r="Z953" s="32"/>
      <c r="AA953" s="32"/>
      <c r="AB953" s="32"/>
    </row>
    <row r="954" spans="1:28" hidden="1" x14ac:dyDescent="0.25">
      <c r="A954" s="197">
        <v>45387</v>
      </c>
      <c r="B954" s="32" t="s">
        <v>704</v>
      </c>
      <c r="C954" s="198">
        <v>9837.77</v>
      </c>
      <c r="D954" s="197">
        <v>45417</v>
      </c>
      <c r="E954" s="32">
        <v>1</v>
      </c>
      <c r="F954" s="32">
        <v>2024</v>
      </c>
      <c r="Y954" s="32"/>
      <c r="Z954" s="32"/>
      <c r="AA954" s="32"/>
      <c r="AB954" s="32"/>
    </row>
    <row r="955" spans="1:28" hidden="1" x14ac:dyDescent="0.25">
      <c r="A955" s="197">
        <v>45387</v>
      </c>
      <c r="B955" s="32" t="s">
        <v>705</v>
      </c>
      <c r="C955" s="198">
        <v>0</v>
      </c>
      <c r="D955" s="197">
        <v>45417</v>
      </c>
      <c r="E955" s="32">
        <v>1</v>
      </c>
      <c r="F955" s="32">
        <v>2024</v>
      </c>
      <c r="Y955" s="32"/>
      <c r="Z955" s="32"/>
      <c r="AA955" s="32"/>
      <c r="AB955" s="32"/>
    </row>
    <row r="956" spans="1:28" hidden="1" x14ac:dyDescent="0.25">
      <c r="A956" s="197">
        <v>45417</v>
      </c>
      <c r="B956" s="32" t="s">
        <v>162</v>
      </c>
      <c r="C956" s="198">
        <v>7174.82</v>
      </c>
      <c r="D956" s="197">
        <v>45448</v>
      </c>
      <c r="E956" s="32">
        <v>1</v>
      </c>
      <c r="F956" s="32">
        <v>2024</v>
      </c>
      <c r="Y956" s="32"/>
      <c r="Z956" s="32"/>
      <c r="AA956" s="32"/>
      <c r="AB956" s="32"/>
    </row>
    <row r="957" spans="1:28" hidden="1" x14ac:dyDescent="0.25">
      <c r="A957" s="197">
        <v>45417</v>
      </c>
      <c r="B957" s="32" t="s">
        <v>161</v>
      </c>
      <c r="C957" s="198">
        <v>4066.02</v>
      </c>
      <c r="D957" s="197">
        <v>45448</v>
      </c>
      <c r="E957" s="32">
        <v>1</v>
      </c>
      <c r="F957" s="32">
        <v>2024</v>
      </c>
      <c r="Y957" s="32"/>
      <c r="Z957" s="32"/>
      <c r="AA957" s="32"/>
      <c r="AB957" s="32"/>
    </row>
    <row r="958" spans="1:28" hidden="1" x14ac:dyDescent="0.25">
      <c r="A958" s="197">
        <v>45417</v>
      </c>
      <c r="B958" s="32" t="s">
        <v>704</v>
      </c>
      <c r="C958" s="198">
        <v>9566.2800000000007</v>
      </c>
      <c r="D958" s="197">
        <v>45448</v>
      </c>
      <c r="E958" s="32">
        <v>1</v>
      </c>
      <c r="F958" s="32">
        <v>2024</v>
      </c>
      <c r="Y958" s="32"/>
      <c r="Z958" s="32"/>
      <c r="AA958" s="32"/>
      <c r="AB958" s="32"/>
    </row>
    <row r="959" spans="1:28" hidden="1" x14ac:dyDescent="0.25">
      <c r="A959" s="197">
        <v>45417</v>
      </c>
      <c r="B959" s="32" t="s">
        <v>705</v>
      </c>
      <c r="C959" s="198">
        <v>201.43</v>
      </c>
      <c r="D959" s="197">
        <v>45448</v>
      </c>
      <c r="E959" s="32">
        <v>1</v>
      </c>
      <c r="F959" s="32">
        <v>2024</v>
      </c>
      <c r="Y959" s="32"/>
      <c r="Z959" s="32"/>
      <c r="AA959" s="32"/>
      <c r="AB959" s="32"/>
    </row>
    <row r="960" spans="1:28" hidden="1" x14ac:dyDescent="0.25">
      <c r="A960" s="197">
        <v>45448</v>
      </c>
      <c r="B960" s="32" t="s">
        <v>162</v>
      </c>
      <c r="C960" s="198">
        <v>677.04</v>
      </c>
      <c r="D960" s="197">
        <v>45478</v>
      </c>
      <c r="E960" s="32">
        <v>1</v>
      </c>
      <c r="F960" s="32">
        <v>2024</v>
      </c>
      <c r="Y960" s="32"/>
      <c r="Z960" s="32"/>
      <c r="AA960" s="32"/>
      <c r="AB960" s="32"/>
    </row>
    <row r="961" spans="1:6" hidden="1" x14ac:dyDescent="0.25">
      <c r="A961" s="197">
        <v>45448</v>
      </c>
      <c r="B961" s="32" t="s">
        <v>161</v>
      </c>
      <c r="C961" s="198">
        <v>1543.15</v>
      </c>
      <c r="D961" s="197">
        <v>45478</v>
      </c>
      <c r="E961" s="32">
        <v>1</v>
      </c>
      <c r="F961" s="32">
        <v>2024</v>
      </c>
    </row>
    <row r="962" spans="1:6" hidden="1" x14ac:dyDescent="0.25">
      <c r="A962" s="197">
        <v>45448</v>
      </c>
      <c r="B962" s="32" t="s">
        <v>704</v>
      </c>
      <c r="C962" s="198">
        <v>1151.46</v>
      </c>
      <c r="D962" s="197">
        <v>45478</v>
      </c>
      <c r="E962" s="32">
        <v>1</v>
      </c>
      <c r="F962" s="32">
        <v>2024</v>
      </c>
    </row>
    <row r="963" spans="1:6" hidden="1" x14ac:dyDescent="0.25">
      <c r="A963" s="197">
        <v>45448</v>
      </c>
      <c r="B963" s="32" t="s">
        <v>705</v>
      </c>
      <c r="C963" s="198">
        <v>0</v>
      </c>
      <c r="D963" s="197">
        <v>45478</v>
      </c>
      <c r="E963" s="32">
        <v>1</v>
      </c>
      <c r="F963" s="32">
        <v>2024</v>
      </c>
    </row>
    <row r="964" spans="1:6" hidden="1" x14ac:dyDescent="0.25">
      <c r="A964" s="197">
        <v>45478</v>
      </c>
      <c r="B964" s="32" t="s">
        <v>162</v>
      </c>
      <c r="C964" s="198">
        <v>6751.9</v>
      </c>
      <c r="D964" s="197">
        <v>45509</v>
      </c>
      <c r="E964" s="32">
        <v>1</v>
      </c>
      <c r="F964" s="32">
        <v>2024</v>
      </c>
    </row>
    <row r="965" spans="1:6" hidden="1" x14ac:dyDescent="0.25">
      <c r="A965" s="197">
        <v>45478</v>
      </c>
      <c r="B965" s="32" t="s">
        <v>161</v>
      </c>
      <c r="C965" s="198">
        <v>8068.59</v>
      </c>
      <c r="D965" s="197">
        <v>45509</v>
      </c>
      <c r="E965" s="32">
        <v>1</v>
      </c>
      <c r="F965" s="32">
        <v>2024</v>
      </c>
    </row>
    <row r="966" spans="1:6" hidden="1" x14ac:dyDescent="0.25">
      <c r="A966" s="197">
        <v>45478</v>
      </c>
      <c r="B966" s="32" t="s">
        <v>704</v>
      </c>
      <c r="C966" s="198">
        <v>28964.69</v>
      </c>
      <c r="D966" s="197">
        <v>45509</v>
      </c>
      <c r="E966" s="32">
        <v>1</v>
      </c>
      <c r="F966" s="32">
        <v>2024</v>
      </c>
    </row>
    <row r="967" spans="1:6" hidden="1" x14ac:dyDescent="0.25">
      <c r="A967" s="197">
        <v>45478</v>
      </c>
      <c r="B967" s="32" t="s">
        <v>705</v>
      </c>
      <c r="C967" s="198">
        <v>248.12</v>
      </c>
      <c r="D967" s="197">
        <v>45509</v>
      </c>
      <c r="E967" s="32">
        <v>1</v>
      </c>
      <c r="F967" s="32">
        <v>2024</v>
      </c>
    </row>
    <row r="968" spans="1:6" hidden="1" x14ac:dyDescent="0.25">
      <c r="A968" s="197">
        <v>45509</v>
      </c>
      <c r="B968" s="32" t="s">
        <v>162</v>
      </c>
      <c r="C968" s="198">
        <v>4793.07</v>
      </c>
      <c r="D968" s="197">
        <v>45540</v>
      </c>
      <c r="E968" s="32">
        <v>1</v>
      </c>
      <c r="F968" s="32">
        <v>2024</v>
      </c>
    </row>
    <row r="969" spans="1:6" hidden="1" x14ac:dyDescent="0.25">
      <c r="A969" s="197">
        <v>45509</v>
      </c>
      <c r="B969" s="32" t="s">
        <v>161</v>
      </c>
      <c r="C969" s="198">
        <f>266.07+1606.81+252.8</f>
        <v>2125.6799999999998</v>
      </c>
      <c r="D969" s="197">
        <v>45540</v>
      </c>
      <c r="E969" s="32">
        <v>1</v>
      </c>
      <c r="F969" s="32">
        <v>2024</v>
      </c>
    </row>
    <row r="970" spans="1:6" hidden="1" x14ac:dyDescent="0.25">
      <c r="A970" s="197">
        <v>45509</v>
      </c>
      <c r="B970" s="32" t="s">
        <v>704</v>
      </c>
      <c r="C970" s="198">
        <f>6966.07+4080.28</f>
        <v>11046.35</v>
      </c>
      <c r="D970" s="197">
        <v>45540</v>
      </c>
      <c r="E970" s="32">
        <v>1</v>
      </c>
      <c r="F970" s="32">
        <v>2024</v>
      </c>
    </row>
    <row r="971" spans="1:6" hidden="1" x14ac:dyDescent="0.25">
      <c r="A971" s="197">
        <v>45509</v>
      </c>
      <c r="B971" s="32" t="s">
        <v>705</v>
      </c>
      <c r="C971" s="198">
        <v>850.9</v>
      </c>
      <c r="D971" s="197">
        <v>45540</v>
      </c>
      <c r="E971" s="32">
        <v>1</v>
      </c>
      <c r="F971" s="32">
        <v>2024</v>
      </c>
    </row>
    <row r="972" spans="1:6" hidden="1" x14ac:dyDescent="0.25">
      <c r="A972" s="197">
        <v>45509</v>
      </c>
      <c r="B972" s="32" t="s">
        <v>707</v>
      </c>
      <c r="C972" s="198">
        <v>0</v>
      </c>
      <c r="D972" s="197">
        <v>45540</v>
      </c>
      <c r="E972" s="32">
        <v>1</v>
      </c>
      <c r="F972" s="32">
        <v>2024</v>
      </c>
    </row>
    <row r="973" spans="1:6" hidden="1" x14ac:dyDescent="0.25">
      <c r="A973" s="197">
        <v>45540</v>
      </c>
      <c r="B973" s="32" t="s">
        <v>162</v>
      </c>
      <c r="C973" s="198">
        <f>157.77+8033.3+211.06+229.13</f>
        <v>8631.26</v>
      </c>
      <c r="D973" s="197">
        <v>45570</v>
      </c>
      <c r="E973" s="32">
        <v>1</v>
      </c>
      <c r="F973" s="32">
        <v>2024</v>
      </c>
    </row>
    <row r="974" spans="1:6" hidden="1" x14ac:dyDescent="0.25">
      <c r="A974" s="197">
        <v>45540</v>
      </c>
      <c r="B974" s="32" t="s">
        <v>161</v>
      </c>
      <c r="C974" s="198">
        <f>1844.66+222.66+157.9</f>
        <v>2225.2200000000003</v>
      </c>
      <c r="D974" s="197">
        <v>45570</v>
      </c>
      <c r="E974" s="32">
        <v>1</v>
      </c>
      <c r="F974" s="32">
        <v>2024</v>
      </c>
    </row>
    <row r="975" spans="1:6" hidden="1" x14ac:dyDescent="0.25">
      <c r="A975" s="197">
        <v>45540</v>
      </c>
      <c r="B975" s="32" t="s">
        <v>704</v>
      </c>
      <c r="C975" s="198">
        <f>4945.92+11306.97</f>
        <v>16252.89</v>
      </c>
      <c r="D975" s="197">
        <v>45570</v>
      </c>
      <c r="E975" s="32">
        <v>1</v>
      </c>
      <c r="F975" s="32">
        <v>2024</v>
      </c>
    </row>
    <row r="976" spans="1:6" hidden="1" x14ac:dyDescent="0.25">
      <c r="A976" s="197">
        <v>45540</v>
      </c>
      <c r="B976" s="32" t="s">
        <v>705</v>
      </c>
      <c r="C976" s="198">
        <f>392.54</f>
        <v>392.54</v>
      </c>
      <c r="D976" s="197">
        <v>45570</v>
      </c>
      <c r="E976" s="32">
        <v>1</v>
      </c>
      <c r="F976" s="32">
        <v>2024</v>
      </c>
    </row>
    <row r="977" spans="1:6" hidden="1" x14ac:dyDescent="0.25">
      <c r="A977" s="197">
        <v>45570</v>
      </c>
      <c r="B977" s="32" t="s">
        <v>162</v>
      </c>
      <c r="C977" s="198">
        <v>21011.54</v>
      </c>
      <c r="D977" s="197">
        <v>45601</v>
      </c>
      <c r="E977" s="32">
        <v>1</v>
      </c>
      <c r="F977" s="32">
        <v>2024</v>
      </c>
    </row>
    <row r="978" spans="1:6" hidden="1" x14ac:dyDescent="0.25">
      <c r="A978" s="197">
        <v>45570</v>
      </c>
      <c r="B978" s="32" t="s">
        <v>161</v>
      </c>
      <c r="C978" s="198">
        <v>3052.37</v>
      </c>
      <c r="D978" s="197">
        <v>45601</v>
      </c>
      <c r="E978" s="32">
        <v>1</v>
      </c>
      <c r="F978" s="32">
        <v>2024</v>
      </c>
    </row>
    <row r="979" spans="1:6" hidden="1" x14ac:dyDescent="0.25">
      <c r="A979" s="197">
        <v>45570</v>
      </c>
      <c r="B979" s="32" t="s">
        <v>704</v>
      </c>
      <c r="C979" s="198">
        <v>25348.65</v>
      </c>
      <c r="D979" s="197">
        <v>45601</v>
      </c>
      <c r="E979" s="32">
        <v>1</v>
      </c>
      <c r="F979" s="32">
        <v>2024</v>
      </c>
    </row>
    <row r="980" spans="1:6" hidden="1" x14ac:dyDescent="0.25">
      <c r="A980" s="197">
        <v>45570</v>
      </c>
      <c r="B980" s="32" t="s">
        <v>705</v>
      </c>
      <c r="C980" s="198">
        <v>582.42999999999995</v>
      </c>
      <c r="D980" s="197">
        <v>45601</v>
      </c>
      <c r="E980" s="32">
        <v>1</v>
      </c>
      <c r="F980" s="32">
        <v>2024</v>
      </c>
    </row>
    <row r="981" spans="1:6" hidden="1" x14ac:dyDescent="0.25">
      <c r="A981" s="197">
        <v>45601</v>
      </c>
      <c r="B981" s="32" t="s">
        <v>162</v>
      </c>
      <c r="C981" s="198">
        <v>4347.93</v>
      </c>
      <c r="D981" s="197">
        <v>45631</v>
      </c>
      <c r="E981" s="32">
        <v>1</v>
      </c>
      <c r="F981" s="32">
        <v>2024</v>
      </c>
    </row>
    <row r="982" spans="1:6" hidden="1" x14ac:dyDescent="0.25">
      <c r="A982" s="197">
        <v>45601</v>
      </c>
      <c r="B982" s="32" t="s">
        <v>161</v>
      </c>
      <c r="C982" s="198">
        <f>134.54+888.86+5228.54</f>
        <v>6251.94</v>
      </c>
      <c r="D982" s="197">
        <v>45631</v>
      </c>
      <c r="E982" s="32">
        <v>1</v>
      </c>
      <c r="F982" s="32">
        <v>2024</v>
      </c>
    </row>
    <row r="983" spans="1:6" hidden="1" x14ac:dyDescent="0.25">
      <c r="A983" s="197">
        <v>45601</v>
      </c>
      <c r="B983" s="32" t="s">
        <v>704</v>
      </c>
      <c r="C983" s="198">
        <f>-111.22+555.77</f>
        <v>444.54999999999995</v>
      </c>
      <c r="D983" s="197">
        <v>45631</v>
      </c>
      <c r="E983" s="32">
        <v>1</v>
      </c>
      <c r="F983" s="32">
        <v>2024</v>
      </c>
    </row>
    <row r="984" spans="1:6" hidden="1" x14ac:dyDescent="0.25">
      <c r="A984" s="197">
        <v>45601</v>
      </c>
      <c r="B984" s="32" t="s">
        <v>705</v>
      </c>
      <c r="C984" s="198">
        <v>0</v>
      </c>
      <c r="D984" s="197">
        <v>45631</v>
      </c>
      <c r="E984" s="32">
        <v>1</v>
      </c>
      <c r="F984" s="32">
        <v>2024</v>
      </c>
    </row>
    <row r="985" spans="1:6" hidden="1" x14ac:dyDescent="0.25">
      <c r="A985" s="197">
        <v>45631</v>
      </c>
      <c r="B985" s="32" t="s">
        <v>162</v>
      </c>
      <c r="C985" s="198">
        <f>4995.4+79.37</f>
        <v>5074.7699999999995</v>
      </c>
      <c r="D985" s="197">
        <v>45662</v>
      </c>
      <c r="E985" s="32">
        <v>1</v>
      </c>
      <c r="F985" s="32">
        <v>2025</v>
      </c>
    </row>
    <row r="986" spans="1:6" hidden="1" x14ac:dyDescent="0.25">
      <c r="A986" s="197">
        <v>45631</v>
      </c>
      <c r="B986" s="32" t="s">
        <v>161</v>
      </c>
      <c r="C986" s="198">
        <f>3304.49+6040.4+681.24</f>
        <v>10026.129999999999</v>
      </c>
      <c r="D986" s="197">
        <v>45662</v>
      </c>
      <c r="E986" s="32">
        <v>1</v>
      </c>
      <c r="F986" s="32">
        <v>2025</v>
      </c>
    </row>
    <row r="987" spans="1:6" hidden="1" x14ac:dyDescent="0.25">
      <c r="A987" s="197">
        <v>45631</v>
      </c>
      <c r="B987" s="32" t="s">
        <v>704</v>
      </c>
      <c r="C987" s="198">
        <f>434.46+1210.9</f>
        <v>1645.3600000000001</v>
      </c>
      <c r="D987" s="197">
        <v>45662</v>
      </c>
      <c r="E987" s="32">
        <v>1</v>
      </c>
      <c r="F987" s="32">
        <v>2025</v>
      </c>
    </row>
    <row r="988" spans="1:6" hidden="1" x14ac:dyDescent="0.25">
      <c r="A988" s="197">
        <v>45631</v>
      </c>
      <c r="B988" s="32" t="s">
        <v>705</v>
      </c>
      <c r="C988" s="198">
        <v>83.7</v>
      </c>
      <c r="D988" s="197">
        <v>45662</v>
      </c>
      <c r="E988" s="32">
        <v>1</v>
      </c>
      <c r="F988" s="32">
        <v>2025</v>
      </c>
    </row>
    <row r="989" spans="1:6" hidden="1" x14ac:dyDescent="0.25">
      <c r="A989" s="197">
        <v>45662</v>
      </c>
      <c r="B989" s="32" t="s">
        <v>161</v>
      </c>
      <c r="C989" s="198">
        <f>12.74+3415.58+663.61</f>
        <v>4091.93</v>
      </c>
      <c r="D989" s="197">
        <v>45693</v>
      </c>
      <c r="E989" s="32">
        <v>1</v>
      </c>
      <c r="F989" s="32">
        <v>2025</v>
      </c>
    </row>
    <row r="990" spans="1:6" hidden="1" x14ac:dyDescent="0.25">
      <c r="A990" s="197">
        <v>45662</v>
      </c>
      <c r="B990" s="32" t="s">
        <v>704</v>
      </c>
      <c r="C990" s="198">
        <f>3334.94+16199.98</f>
        <v>19534.919999999998</v>
      </c>
      <c r="D990" s="197">
        <v>45693</v>
      </c>
      <c r="E990" s="32">
        <v>1</v>
      </c>
      <c r="F990" s="32">
        <v>2025</v>
      </c>
    </row>
    <row r="991" spans="1:6" hidden="1" x14ac:dyDescent="0.25">
      <c r="A991" s="197">
        <v>45662</v>
      </c>
      <c r="B991" s="32" t="s">
        <v>162</v>
      </c>
      <c r="C991" s="198">
        <f>4163.55+13779.4+215.6</f>
        <v>18158.55</v>
      </c>
      <c r="D991" s="197">
        <v>45693</v>
      </c>
      <c r="E991" s="32">
        <v>1</v>
      </c>
      <c r="F991" s="32">
        <v>2025</v>
      </c>
    </row>
    <row r="992" spans="1:6" hidden="1" x14ac:dyDescent="0.25">
      <c r="A992" s="197">
        <v>45692</v>
      </c>
      <c r="B992" s="32" t="s">
        <v>161</v>
      </c>
      <c r="C992" s="198">
        <f>3087.21+344.62+1021.41</f>
        <v>4453.24</v>
      </c>
      <c r="D992" s="197">
        <v>45721</v>
      </c>
      <c r="E992" s="32">
        <v>1</v>
      </c>
      <c r="F992" s="32">
        <v>2025</v>
      </c>
    </row>
    <row r="993" spans="1:6" hidden="1" x14ac:dyDescent="0.25">
      <c r="A993" s="197">
        <v>45692</v>
      </c>
      <c r="B993" s="32" t="s">
        <v>704</v>
      </c>
      <c r="C993" s="198">
        <f>352.94+24208.04</f>
        <v>24560.98</v>
      </c>
      <c r="D993" s="197">
        <v>45721</v>
      </c>
      <c r="E993" s="32">
        <v>1</v>
      </c>
      <c r="F993" s="32">
        <v>2025</v>
      </c>
    </row>
    <row r="994" spans="1:6" hidden="1" x14ac:dyDescent="0.25">
      <c r="A994" s="197">
        <v>45692</v>
      </c>
      <c r="B994" s="32" t="s">
        <v>162</v>
      </c>
      <c r="C994" s="198">
        <f>18.18+8930.52+169.05</f>
        <v>9117.75</v>
      </c>
      <c r="D994" s="197">
        <v>45721</v>
      </c>
      <c r="E994" s="32">
        <v>1</v>
      </c>
      <c r="F994" s="32">
        <v>2025</v>
      </c>
    </row>
    <row r="995" spans="1:6" hidden="1" x14ac:dyDescent="0.25">
      <c r="A995" s="197">
        <v>45692</v>
      </c>
      <c r="B995" s="32" t="s">
        <v>705</v>
      </c>
      <c r="C995" s="198">
        <v>151.59</v>
      </c>
      <c r="D995" s="197">
        <v>45721</v>
      </c>
      <c r="E995" s="32">
        <v>1</v>
      </c>
      <c r="F995" s="32">
        <v>2025</v>
      </c>
    </row>
    <row r="996" spans="1:6" hidden="1" x14ac:dyDescent="0.25">
      <c r="A996" s="197">
        <v>45720</v>
      </c>
      <c r="B996" s="32" t="s">
        <v>161</v>
      </c>
      <c r="C996" s="198">
        <f>6844.76+274.1+374.1</f>
        <v>7492.9600000000009</v>
      </c>
      <c r="D996" s="197">
        <v>45752</v>
      </c>
      <c r="E996" s="32">
        <v>1</v>
      </c>
      <c r="F996" s="32">
        <v>2025</v>
      </c>
    </row>
    <row r="997" spans="1:6" hidden="1" x14ac:dyDescent="0.25">
      <c r="A997" s="197">
        <v>45720</v>
      </c>
      <c r="B997" s="32" t="s">
        <v>704</v>
      </c>
      <c r="C997" s="198">
        <f>3888.14+3182.78</f>
        <v>7070.92</v>
      </c>
      <c r="D997" s="197">
        <v>45752</v>
      </c>
      <c r="E997" s="32">
        <v>1</v>
      </c>
      <c r="F997" s="32">
        <v>2025</v>
      </c>
    </row>
    <row r="998" spans="1:6" hidden="1" x14ac:dyDescent="0.25">
      <c r="A998" s="197">
        <v>45720</v>
      </c>
      <c r="B998" s="32" t="s">
        <v>162</v>
      </c>
      <c r="C998" s="198">
        <f>165.64+5154.43+166.6</f>
        <v>5486.670000000001</v>
      </c>
      <c r="D998" s="197">
        <v>45752</v>
      </c>
      <c r="E998" s="32">
        <v>1</v>
      </c>
      <c r="F998" s="32">
        <v>2025</v>
      </c>
    </row>
    <row r="999" spans="1:6" hidden="1" x14ac:dyDescent="0.25">
      <c r="A999" s="197">
        <v>45720</v>
      </c>
      <c r="B999" s="32" t="s">
        <v>705</v>
      </c>
      <c r="C999" s="198">
        <v>176.76</v>
      </c>
      <c r="D999" s="197">
        <v>45752</v>
      </c>
      <c r="E999" s="32">
        <v>1</v>
      </c>
      <c r="F999" s="32">
        <v>2025</v>
      </c>
    </row>
    <row r="1000" spans="1:6" hidden="1" x14ac:dyDescent="0.25">
      <c r="A1000" s="197">
        <v>45752</v>
      </c>
      <c r="B1000" s="32" t="s">
        <v>161</v>
      </c>
      <c r="C1000" s="198">
        <f>352.98+4445.74+250.9</f>
        <v>5049.619999999999</v>
      </c>
      <c r="D1000" s="197">
        <v>45782</v>
      </c>
      <c r="E1000" s="32">
        <v>1</v>
      </c>
      <c r="F1000" s="32">
        <v>2025</v>
      </c>
    </row>
    <row r="1001" spans="1:6" hidden="1" x14ac:dyDescent="0.25">
      <c r="A1001" s="197">
        <v>45752</v>
      </c>
      <c r="B1001" s="32" t="s">
        <v>704</v>
      </c>
      <c r="C1001" s="198">
        <f>676.8+15392.75</f>
        <v>16069.55</v>
      </c>
      <c r="D1001" s="197">
        <v>45782</v>
      </c>
      <c r="E1001" s="32">
        <v>1</v>
      </c>
      <c r="F1001" s="32">
        <v>2025</v>
      </c>
    </row>
    <row r="1002" spans="1:6" hidden="1" x14ac:dyDescent="0.25">
      <c r="A1002" s="197">
        <v>45752</v>
      </c>
      <c r="B1002" s="32" t="s">
        <v>162</v>
      </c>
      <c r="C1002" s="198">
        <v>8112.66</v>
      </c>
      <c r="D1002" s="197">
        <v>45782</v>
      </c>
      <c r="E1002" s="32">
        <v>1</v>
      </c>
      <c r="F1002" s="32">
        <v>2025</v>
      </c>
    </row>
    <row r="1003" spans="1:6" hidden="1" x14ac:dyDescent="0.25">
      <c r="A1003" s="197">
        <v>45752</v>
      </c>
      <c r="B1003" s="32" t="s">
        <v>705</v>
      </c>
      <c r="C1003" s="198">
        <v>70.47</v>
      </c>
      <c r="D1003" s="197">
        <v>45782</v>
      </c>
      <c r="E1003" s="32">
        <v>1</v>
      </c>
      <c r="F1003" s="32">
        <v>2025</v>
      </c>
    </row>
    <row r="1004" spans="1:6" hidden="1" x14ac:dyDescent="0.25">
      <c r="A1004" s="197">
        <v>45782</v>
      </c>
      <c r="B1004" s="32" t="s">
        <v>161</v>
      </c>
      <c r="C1004" s="198">
        <f>2874.02+512.41+117.63</f>
        <v>3504.06</v>
      </c>
      <c r="D1004" s="197">
        <v>45813</v>
      </c>
      <c r="E1004" s="32">
        <v>1</v>
      </c>
      <c r="F1004" s="32">
        <v>2025</v>
      </c>
    </row>
    <row r="1005" spans="1:6" hidden="1" x14ac:dyDescent="0.25">
      <c r="A1005" s="197">
        <v>45782</v>
      </c>
      <c r="B1005" s="32" t="s">
        <v>704</v>
      </c>
      <c r="C1005" s="198">
        <f>901.03+23649.83</f>
        <v>24550.86</v>
      </c>
      <c r="D1005" s="197">
        <v>45813</v>
      </c>
      <c r="E1005" s="32">
        <v>1</v>
      </c>
      <c r="F1005" s="32">
        <v>2025</v>
      </c>
    </row>
    <row r="1006" spans="1:6" hidden="1" x14ac:dyDescent="0.25">
      <c r="A1006" s="197">
        <v>45782</v>
      </c>
      <c r="B1006" s="32" t="s">
        <v>162</v>
      </c>
      <c r="C1006" s="198">
        <f>452.46+13860.57+36.26</f>
        <v>14349.289999999999</v>
      </c>
      <c r="D1006" s="197">
        <v>45813</v>
      </c>
      <c r="E1006" s="32">
        <v>1</v>
      </c>
      <c r="F1006" s="32">
        <v>2025</v>
      </c>
    </row>
    <row r="1007" spans="1:6" hidden="1" x14ac:dyDescent="0.25">
      <c r="A1007" s="197">
        <v>45813</v>
      </c>
      <c r="B1007" s="32" t="s">
        <v>161</v>
      </c>
      <c r="C1007" s="198">
        <f>393.68+3340.53+4414.41</f>
        <v>8148.62</v>
      </c>
      <c r="D1007" s="197">
        <v>45843</v>
      </c>
      <c r="E1007" s="32">
        <v>1</v>
      </c>
      <c r="F1007" s="32">
        <v>2025</v>
      </c>
    </row>
    <row r="1008" spans="1:6" hidden="1" x14ac:dyDescent="0.25">
      <c r="A1008" s="197">
        <v>45813</v>
      </c>
      <c r="B1008" s="32" t="s">
        <v>704</v>
      </c>
      <c r="C1008" s="198">
        <f>951.57+13632.01</f>
        <v>14583.58</v>
      </c>
      <c r="D1008" s="197">
        <v>45843</v>
      </c>
      <c r="E1008" s="32">
        <v>1</v>
      </c>
      <c r="F1008" s="32">
        <v>2025</v>
      </c>
    </row>
    <row r="1009" spans="1:6" hidden="1" x14ac:dyDescent="0.25">
      <c r="A1009" s="197">
        <v>45813</v>
      </c>
      <c r="B1009" s="32" t="s">
        <v>162</v>
      </c>
      <c r="C1009" s="198">
        <f>18518.86</f>
        <v>18518.86</v>
      </c>
      <c r="D1009" s="197">
        <v>45843</v>
      </c>
      <c r="E1009" s="32">
        <v>1</v>
      </c>
      <c r="F1009" s="32">
        <v>2025</v>
      </c>
    </row>
    <row r="1010" spans="1:6" hidden="1" x14ac:dyDescent="0.25">
      <c r="A1010" s="197">
        <v>45843</v>
      </c>
      <c r="B1010" s="32" t="s">
        <v>161</v>
      </c>
      <c r="C1010" s="198">
        <f>205+2767.73</f>
        <v>2972.73</v>
      </c>
      <c r="D1010" s="197">
        <v>45874</v>
      </c>
      <c r="E1010" s="32">
        <v>1</v>
      </c>
      <c r="F1010" s="32">
        <v>2025</v>
      </c>
    </row>
    <row r="1011" spans="1:6" hidden="1" x14ac:dyDescent="0.25">
      <c r="A1011" s="197">
        <v>45843</v>
      </c>
      <c r="B1011" s="32" t="s">
        <v>704</v>
      </c>
      <c r="C1011" s="198">
        <f>623.69+7156.42</f>
        <v>7780.1100000000006</v>
      </c>
      <c r="D1011" s="197">
        <v>45874</v>
      </c>
      <c r="E1011" s="32">
        <v>1</v>
      </c>
      <c r="F1011" s="32">
        <v>2025</v>
      </c>
    </row>
    <row r="1012" spans="1:6" hidden="1" x14ac:dyDescent="0.25">
      <c r="A1012" s="197">
        <v>45843</v>
      </c>
      <c r="B1012" s="32" t="s">
        <v>162</v>
      </c>
      <c r="C1012" s="198">
        <f>635.61+5629.33</f>
        <v>6264.94</v>
      </c>
      <c r="D1012" s="197">
        <v>45874</v>
      </c>
      <c r="E1012" s="32">
        <v>1</v>
      </c>
      <c r="F1012" s="32">
        <v>2025</v>
      </c>
    </row>
    <row r="1013" spans="1:6" hidden="1" x14ac:dyDescent="0.25">
      <c r="A1013" s="197">
        <v>45874</v>
      </c>
      <c r="B1013" s="32" t="s">
        <v>161</v>
      </c>
      <c r="C1013" s="198">
        <f>1440.43+756.13</f>
        <v>2196.56</v>
      </c>
      <c r="D1013" s="197">
        <v>45905</v>
      </c>
      <c r="E1013" s="32">
        <v>1</v>
      </c>
      <c r="F1013" s="32">
        <v>2025</v>
      </c>
    </row>
    <row r="1014" spans="1:6" hidden="1" x14ac:dyDescent="0.25">
      <c r="A1014" s="197">
        <v>45874</v>
      </c>
      <c r="B1014" s="32" t="s">
        <v>704</v>
      </c>
      <c r="C1014" s="198">
        <f>6254.95+875.97</f>
        <v>7130.92</v>
      </c>
      <c r="D1014" s="197">
        <v>45905</v>
      </c>
      <c r="E1014" s="32">
        <v>1</v>
      </c>
      <c r="F1014" s="32">
        <v>2025</v>
      </c>
    </row>
    <row r="1015" spans="1:6" hidden="1" x14ac:dyDescent="0.25">
      <c r="A1015" s="197">
        <v>45874</v>
      </c>
      <c r="B1015" s="32" t="s">
        <v>162</v>
      </c>
      <c r="C1015" s="198">
        <f>1217.06+7359.87</f>
        <v>8576.93</v>
      </c>
      <c r="D1015" s="197">
        <v>45905</v>
      </c>
      <c r="E1015" s="32">
        <v>1</v>
      </c>
      <c r="F1015" s="32">
        <v>2025</v>
      </c>
    </row>
    <row r="1016" spans="1:6" hidden="1" x14ac:dyDescent="0.25">
      <c r="A1016" s="197">
        <v>45905</v>
      </c>
      <c r="B1016" s="32" t="s">
        <v>161</v>
      </c>
      <c r="C1016" s="198">
        <f>2932.73+381.61</f>
        <v>3314.34</v>
      </c>
      <c r="D1016" s="197">
        <v>45935</v>
      </c>
      <c r="E1016" s="32">
        <v>1</v>
      </c>
      <c r="F1016" s="32">
        <v>2025</v>
      </c>
    </row>
    <row r="1017" spans="1:6" hidden="1" x14ac:dyDescent="0.25">
      <c r="A1017" s="197">
        <v>45905</v>
      </c>
      <c r="B1017" s="32" t="s">
        <v>704</v>
      </c>
      <c r="C1017" s="198">
        <f>4605.9+10194.08</f>
        <v>14799.98</v>
      </c>
      <c r="D1017" s="197">
        <v>45935</v>
      </c>
      <c r="E1017" s="32">
        <v>1</v>
      </c>
      <c r="F1017" s="32">
        <v>2025</v>
      </c>
    </row>
    <row r="1018" spans="1:6" hidden="1" x14ac:dyDescent="0.25">
      <c r="A1018" s="197">
        <v>45905</v>
      </c>
      <c r="B1018" s="32" t="s">
        <v>162</v>
      </c>
      <c r="C1018" s="198">
        <f>12161.44+2166.16</f>
        <v>14327.6</v>
      </c>
      <c r="D1018" s="197">
        <v>45935</v>
      </c>
      <c r="E1018" s="32">
        <v>1</v>
      </c>
      <c r="F1018" s="32">
        <v>2025</v>
      </c>
    </row>
    <row r="1019" spans="1:6" hidden="1" x14ac:dyDescent="0.25">
      <c r="A1019" s="197">
        <v>45935</v>
      </c>
      <c r="B1019" s="32" t="s">
        <v>161</v>
      </c>
      <c r="C1019" s="198">
        <f>2869.7+281.65+26.99</f>
        <v>3178.3399999999997</v>
      </c>
      <c r="D1019" s="197">
        <v>45966</v>
      </c>
      <c r="E1019" s="32">
        <v>1</v>
      </c>
      <c r="F1019" s="32">
        <v>2025</v>
      </c>
    </row>
    <row r="1020" spans="1:6" hidden="1" x14ac:dyDescent="0.25">
      <c r="A1020" s="197">
        <v>45935</v>
      </c>
      <c r="B1020" s="32" t="s">
        <v>704</v>
      </c>
      <c r="C1020" s="198">
        <f>686.6+9285.71</f>
        <v>9972.31</v>
      </c>
      <c r="D1020" s="197">
        <v>45966</v>
      </c>
      <c r="E1020" s="32">
        <v>1</v>
      </c>
      <c r="F1020" s="32">
        <v>2025</v>
      </c>
    </row>
    <row r="1021" spans="1:6" hidden="1" x14ac:dyDescent="0.25">
      <c r="A1021" s="197">
        <v>45935</v>
      </c>
      <c r="B1021" s="32" t="s">
        <v>162</v>
      </c>
      <c r="C1021" s="198">
        <f>5234.89+635.61</f>
        <v>5870.5</v>
      </c>
      <c r="D1021" s="197">
        <v>45966</v>
      </c>
      <c r="E1021" s="32">
        <v>1</v>
      </c>
      <c r="F1021" s="32">
        <v>2025</v>
      </c>
    </row>
    <row r="1022" spans="1:6" hidden="1" x14ac:dyDescent="0.25">
      <c r="A1022" s="197">
        <v>45966</v>
      </c>
      <c r="B1022" s="32" t="s">
        <v>161</v>
      </c>
      <c r="C1022" s="198">
        <f>145.91+7302.18</f>
        <v>7448.09</v>
      </c>
      <c r="D1022" s="197">
        <v>45996</v>
      </c>
      <c r="E1022" s="32">
        <v>1</v>
      </c>
      <c r="F1022" s="32">
        <v>2025</v>
      </c>
    </row>
    <row r="1023" spans="1:6" hidden="1" x14ac:dyDescent="0.25">
      <c r="A1023" s="197">
        <v>45966</v>
      </c>
      <c r="B1023" s="32" t="s">
        <v>704</v>
      </c>
      <c r="C1023" s="198">
        <f>89.04+5036.63</f>
        <v>5125.67</v>
      </c>
      <c r="D1023" s="197">
        <v>45996</v>
      </c>
      <c r="E1023" s="32">
        <v>1</v>
      </c>
      <c r="F1023" s="32">
        <v>2025</v>
      </c>
    </row>
    <row r="1024" spans="1:6" hidden="1" x14ac:dyDescent="0.25">
      <c r="A1024" s="197">
        <v>45966</v>
      </c>
      <c r="B1024" s="32" t="s">
        <v>162</v>
      </c>
      <c r="C1024" s="198">
        <v>11664.54</v>
      </c>
      <c r="D1024" s="197">
        <v>45996</v>
      </c>
      <c r="E1024" s="32">
        <v>1</v>
      </c>
      <c r="F1024" s="32">
        <v>2025</v>
      </c>
    </row>
    <row r="1025" spans="1:6" hidden="1" x14ac:dyDescent="0.25">
      <c r="A1025" s="197">
        <v>45996</v>
      </c>
      <c r="B1025" s="32" t="s">
        <v>161</v>
      </c>
      <c r="C1025" s="198">
        <f>111.48+123.2+6040.22</f>
        <v>6274.9000000000005</v>
      </c>
      <c r="D1025" s="197">
        <v>46027</v>
      </c>
      <c r="E1025" s="32">
        <v>1</v>
      </c>
      <c r="F1025" s="32">
        <v>2026</v>
      </c>
    </row>
    <row r="1026" spans="1:6" hidden="1" x14ac:dyDescent="0.25">
      <c r="A1026" s="197">
        <v>45996</v>
      </c>
      <c r="B1026" s="32" t="s">
        <v>704</v>
      </c>
      <c r="C1026" s="198">
        <f>623.28+10646.2</f>
        <v>11269.480000000001</v>
      </c>
      <c r="D1026" s="197">
        <v>46027</v>
      </c>
      <c r="E1026" s="32">
        <v>1</v>
      </c>
      <c r="F1026" s="32">
        <v>2026</v>
      </c>
    </row>
    <row r="1027" spans="1:6" hidden="1" x14ac:dyDescent="0.25">
      <c r="A1027" s="197">
        <v>45996</v>
      </c>
      <c r="B1027" s="32" t="s">
        <v>162</v>
      </c>
      <c r="C1027" s="198">
        <f>257.49+18336.82</f>
        <v>18594.310000000001</v>
      </c>
      <c r="D1027" s="197">
        <v>46027</v>
      </c>
      <c r="E1027" s="32">
        <v>1</v>
      </c>
      <c r="F1027" s="32">
        <v>2026</v>
      </c>
    </row>
    <row r="1028" spans="1:6" x14ac:dyDescent="0.25">
      <c r="A1028" s="197">
        <v>46027</v>
      </c>
      <c r="B1028" s="32" t="s">
        <v>161</v>
      </c>
      <c r="C1028" s="198">
        <f>223.64+3945.8+253.943</f>
        <v>4423.3830000000007</v>
      </c>
      <c r="D1028" s="197">
        <v>46058</v>
      </c>
      <c r="E1028" s="32">
        <v>1</v>
      </c>
      <c r="F1028" s="32">
        <v>2026</v>
      </c>
    </row>
    <row r="1029" spans="1:6" x14ac:dyDescent="0.25">
      <c r="A1029" s="197">
        <v>46027</v>
      </c>
      <c r="B1029" s="32" t="s">
        <v>704</v>
      </c>
      <c r="C1029" s="198">
        <f>1056.96+411.23</f>
        <v>1468.19</v>
      </c>
      <c r="D1029" s="197">
        <v>46058</v>
      </c>
      <c r="E1029" s="32">
        <v>1</v>
      </c>
      <c r="F1029" s="32">
        <v>2026</v>
      </c>
    </row>
    <row r="1030" spans="1:6" x14ac:dyDescent="0.25">
      <c r="A1030" s="197">
        <v>46027</v>
      </c>
      <c r="B1030" s="32" t="s">
        <v>162</v>
      </c>
      <c r="C1030" s="198">
        <f>53.55+16541.23</f>
        <v>16594.78</v>
      </c>
      <c r="D1030" s="197">
        <v>46058</v>
      </c>
      <c r="E1030" s="32">
        <v>1</v>
      </c>
      <c r="F1030" s="32">
        <v>2026</v>
      </c>
    </row>
    <row r="1031" spans="1:6" x14ac:dyDescent="0.25">
      <c r="A1031" s="197">
        <v>46058</v>
      </c>
      <c r="B1031" s="32" t="s">
        <v>161</v>
      </c>
      <c r="C1031" s="198">
        <f>28.16+1204.26+3272.02</f>
        <v>4504.4400000000005</v>
      </c>
      <c r="D1031" s="197">
        <v>46086</v>
      </c>
      <c r="E1031" s="32">
        <v>1</v>
      </c>
      <c r="F1031" s="32">
        <v>2026</v>
      </c>
    </row>
    <row r="1032" spans="1:6" x14ac:dyDescent="0.25">
      <c r="A1032" s="197">
        <v>46058</v>
      </c>
      <c r="B1032" s="32" t="s">
        <v>704</v>
      </c>
      <c r="C1032" s="198">
        <f>10792.63+8628.02</f>
        <v>19420.650000000001</v>
      </c>
      <c r="D1032" s="197">
        <v>46086</v>
      </c>
      <c r="E1032" s="32">
        <v>1</v>
      </c>
      <c r="F1032" s="32">
        <v>2026</v>
      </c>
    </row>
    <row r="1033" spans="1:6" x14ac:dyDescent="0.25">
      <c r="A1033" s="197">
        <v>46058</v>
      </c>
      <c r="B1033" s="32" t="s">
        <v>162</v>
      </c>
      <c r="C1033" s="198">
        <f>30776.53</f>
        <v>30776.53</v>
      </c>
      <c r="D1033" s="197">
        <v>46086</v>
      </c>
      <c r="E1033" s="32">
        <v>1</v>
      </c>
      <c r="F1033" s="32">
        <v>2026</v>
      </c>
    </row>
    <row r="1034" spans="1:6" x14ac:dyDescent="0.25">
      <c r="A1034" s="197">
        <v>46086</v>
      </c>
      <c r="B1034" s="32" t="s">
        <v>161</v>
      </c>
      <c r="C1034" s="198">
        <f>217.56+4711.64+52.66</f>
        <v>4981.8600000000006</v>
      </c>
      <c r="D1034" s="197">
        <v>46117</v>
      </c>
      <c r="E1034" s="32">
        <v>1</v>
      </c>
      <c r="F1034" s="32">
        <v>2026</v>
      </c>
    </row>
    <row r="1035" spans="1:6" x14ac:dyDescent="0.25">
      <c r="A1035" s="197">
        <v>46086</v>
      </c>
      <c r="B1035" s="32" t="s">
        <v>704</v>
      </c>
      <c r="C1035" s="198">
        <f>243.16+965.8+9132.04</f>
        <v>10341</v>
      </c>
      <c r="D1035" s="197">
        <v>46117</v>
      </c>
      <c r="E1035" s="32">
        <v>1</v>
      </c>
      <c r="F1035" s="32">
        <v>2026</v>
      </c>
    </row>
    <row r="1036" spans="1:6" x14ac:dyDescent="0.25">
      <c r="A1036" s="197">
        <v>46086</v>
      </c>
      <c r="B1036" s="32" t="s">
        <v>162</v>
      </c>
      <c r="C1036" s="198">
        <f>3453.55+20144.12</f>
        <v>23597.67</v>
      </c>
      <c r="D1036" s="197">
        <v>46117</v>
      </c>
      <c r="E1036" s="32">
        <v>1</v>
      </c>
      <c r="F1036" s="32">
        <v>2026</v>
      </c>
    </row>
    <row r="1037" spans="1:6" x14ac:dyDescent="0.25">
      <c r="A1037" s="197">
        <v>46117</v>
      </c>
      <c r="B1037" s="32" t="s">
        <v>161</v>
      </c>
      <c r="C1037" s="198">
        <f>161.96+638.02+9807.27</f>
        <v>10607.25</v>
      </c>
      <c r="D1037" s="197">
        <v>46147</v>
      </c>
      <c r="E1037" s="32">
        <v>1</v>
      </c>
      <c r="F1037" s="32">
        <v>2026</v>
      </c>
    </row>
    <row r="1038" spans="1:6" x14ac:dyDescent="0.25">
      <c r="A1038" s="197">
        <v>46117</v>
      </c>
      <c r="B1038" s="32" t="s">
        <v>704</v>
      </c>
      <c r="C1038" s="198">
        <f>3111.79+5882.93+2492.74</f>
        <v>11487.460000000001</v>
      </c>
      <c r="D1038" s="197">
        <v>46147</v>
      </c>
      <c r="E1038" s="32">
        <v>1</v>
      </c>
      <c r="F1038" s="32">
        <v>2026</v>
      </c>
    </row>
    <row r="1039" spans="1:6" x14ac:dyDescent="0.25">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5" x14ac:dyDescent="0.25"/>
  <cols>
    <col min="1" max="1" width="16.570312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26.7109375" bestFit="1" customWidth="1"/>
    <col min="10" max="10" width="80.85546875" bestFit="1" customWidth="1"/>
    <col min="11" max="11" width="40.7109375" bestFit="1" customWidth="1"/>
    <col min="12" max="12" width="18.7109375" bestFit="1" customWidth="1"/>
    <col min="13" max="13" width="39.85546875" bestFit="1" customWidth="1"/>
    <col min="14" max="14" width="17" bestFit="1" customWidth="1"/>
    <col min="15" max="15" width="30.140625" bestFit="1" customWidth="1"/>
    <col min="16" max="16" width="21" bestFit="1" customWidth="1"/>
    <col min="17" max="17" width="24" bestFit="1" customWidth="1"/>
    <col min="18" max="18" width="9.140625"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6.570312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30" bestFit="1" customWidth="1"/>
    <col min="38" max="38" width="80.85546875" bestFit="1" customWidth="1"/>
    <col min="39" max="39" width="19.7109375" bestFit="1" customWidth="1"/>
    <col min="40" max="40" width="15.28515625" bestFit="1" customWidth="1"/>
    <col min="41" max="41" width="17.2851562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7109375" bestFit="1" customWidth="1"/>
  </cols>
  <sheetData>
    <row r="1" spans="1:50" x14ac:dyDescent="0.25">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25">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25">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25">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25">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25">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25">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25">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25">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25">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25">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25">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25">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25">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25">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25">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25">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25">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25">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25">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25">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25">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25">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25">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25">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25">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25">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25">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25">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25">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25">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25">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25">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25">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25">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25">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25">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25">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25">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25">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25">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25">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25">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25">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25">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25">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25">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25">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25">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25">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25">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25">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25">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25">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25">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25">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25">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25">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25">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25">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25">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25">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25">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25">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25">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25">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25">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25">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25">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25">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25">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25">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25">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25">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25">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25">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25">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25">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25">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25">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25">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25">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25">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25">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25">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25">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25">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25">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25">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25">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25">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25">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25">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25">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25">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25">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25">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25">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25">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25">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25">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25">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25">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25">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25">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25">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25">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25">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25">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25">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25">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25">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25">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25">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25">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25">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25">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25">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25">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25">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25">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25">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25">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25">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25">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25">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25">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25">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25">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25">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25">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25">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25">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25">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25">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25">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25">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25">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25">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25">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25">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25">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25">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25">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25">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25">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25">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25">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25">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25">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25">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25">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25">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25">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25">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25">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25">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25">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25">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25">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25">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25">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25">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25">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25">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25">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25">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25">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25">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25">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25">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25">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25">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25">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25">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25">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25">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25">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25">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25">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25">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25">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25">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25">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25">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25">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25">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25">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25">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25">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25">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25">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25">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25">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25">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25">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25">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25">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25">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25">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25">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25">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25">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25">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25">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25">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25">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25">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25">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25">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25">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25">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25">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25">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25">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25">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25">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25">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25">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25">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25">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25">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25">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25">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25">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25">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25">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25">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25">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25">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25">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25">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25">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25">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25">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25">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25">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25">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25">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25">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25">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25">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25">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25">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25">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25">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25">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25">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25">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25">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25">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25">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25">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25">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25">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25">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25">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25">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25">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25">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25">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25">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25">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25">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25">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25">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25">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25">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25">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25">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25">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25">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25">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25">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25">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25">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25">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25">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25">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25">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25">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25">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25">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25">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25">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25">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25">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25">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25">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25">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25">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25">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25">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25">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25">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25">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25">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25">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25">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25">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25">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25">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25">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25">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25">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25">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25">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25">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25">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25">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25">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25">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25">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25">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25">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25">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25">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25">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25">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25">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25">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25">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25">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25">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25">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25">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25">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25">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25">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25">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25">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25">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25">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25">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25">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25">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25">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25">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25">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25">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25">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25">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25">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25">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25">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25">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25">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25">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25">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25">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25">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25">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25">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25">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25">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25">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25">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25">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25">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25">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25">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25">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25">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25">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25">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25">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25">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25">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25">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25">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25">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25">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25">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25">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25">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25">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25">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25">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25">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25">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25">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25">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25">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25">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25">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25">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25">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25">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25">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25">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25">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25">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25">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25">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25">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25">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25">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25">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25">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25">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25">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25">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25">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25">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25">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25">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25">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25">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25">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25">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25">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25">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25">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25">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25">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25">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25">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25">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25">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25">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25">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25">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25">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25">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25">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25">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25">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25">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25">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25">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25">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25">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25">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25">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25">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25">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25">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25">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25">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25">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25">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25">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25">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25">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25">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25">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25">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25">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25">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25">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25">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25">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25">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25">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25">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25">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25">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25">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25">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25">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25">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25">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25">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25">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25">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25">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25">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25">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25">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25">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25">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25">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25">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5" x14ac:dyDescent="0.25"/>
  <cols>
    <col min="1" max="1" width="80.85546875" bestFit="1" customWidth="1"/>
    <col min="2" max="2" width="14.85546875" bestFit="1" customWidth="1"/>
    <col min="3" max="3" width="11.28515625" bestFit="1" customWidth="1"/>
    <col min="4" max="4" width="12" bestFit="1" customWidth="1"/>
    <col min="5" max="5" width="80.85546875" bestFit="1" customWidth="1"/>
    <col min="6" max="6" width="51" bestFit="1" customWidth="1"/>
    <col min="7" max="7" width="64.7109375" bestFit="1" customWidth="1"/>
    <col min="8" max="8" width="12" bestFit="1" customWidth="1"/>
    <col min="9" max="9" width="80" bestFit="1" customWidth="1"/>
    <col min="10" max="10" width="60.28515625" bestFit="1" customWidth="1"/>
    <col min="11" max="11" width="43" bestFit="1" customWidth="1"/>
    <col min="12" max="12" width="18.7109375" bestFit="1" customWidth="1"/>
    <col min="13" max="13" width="39.85546875" bestFit="1" customWidth="1"/>
    <col min="14" max="14" width="13.140625" bestFit="1" customWidth="1"/>
    <col min="15" max="15" width="62.28515625" bestFit="1" customWidth="1"/>
    <col min="16" max="16" width="23" bestFit="1" customWidth="1"/>
    <col min="17" max="19" width="22.1406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22.28515625" bestFit="1" customWidth="1"/>
    <col min="30" max="30" width="21" bestFit="1" customWidth="1"/>
    <col min="31" max="31" width="21.140625" bestFit="1" customWidth="1"/>
    <col min="32" max="32" width="27.140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23.7109375" bestFit="1" customWidth="1"/>
    <col min="41" max="41" width="16.7109375" bestFit="1" customWidth="1"/>
    <col min="42" max="42" width="12.85546875" bestFit="1" customWidth="1"/>
    <col min="43" max="43" width="7.28515625" bestFit="1" customWidth="1"/>
  </cols>
  <sheetData>
    <row r="1" spans="1:43" x14ac:dyDescent="0.25">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25">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25">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25">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25">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25">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25">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25">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25">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25">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25">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25">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25">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25">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25">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25">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25">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25">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25">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25">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25">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25">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25">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25">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25">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25">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25">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25">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25">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25">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25">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25">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25">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25">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25">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25">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25">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25">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25">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25">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25">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25">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25">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25">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25">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25">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25">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25">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25">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25">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25">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25">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25">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25">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25">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25">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25">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25">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25">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25">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25">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25">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25">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25">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25">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25">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25">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25">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25">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25">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25">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25">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25">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25">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25">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25">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25">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25">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25">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25">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25">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25">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25">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25">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25">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25">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25">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25">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25">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25">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25">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25">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25">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25">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25">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25">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25">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25">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25">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25">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25">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25">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25">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25">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25">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25">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25">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25">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25">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25">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25">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25">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25">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25">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25">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25">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25">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25">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25">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25">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25">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25">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25">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25">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25">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25">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25">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25">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25">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25">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25">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25">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25">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25">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25">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25">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25">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25">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25">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25">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25">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25">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25">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25">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25">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25">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25">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25">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25">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25">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25">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25">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25">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25">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25">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25">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25">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25">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25">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25">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25">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25">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25">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25">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25">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25">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25">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25">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25">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25">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25">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25">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25">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25">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25">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25">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25">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25">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25">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25">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25">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25">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25">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25">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25">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25">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25">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25">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25">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25">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25">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25">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25">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25">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25">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25">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25">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25">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25">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25">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25">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25">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25">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25">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25">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25">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25">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25">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25">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25">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25">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25">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25">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25">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25">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25">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25">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25">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25">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25">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25">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25">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25">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25">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25">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25">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25">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25">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25">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25">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25">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25">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25">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25">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25">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25">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25">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25">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25">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25">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25">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25">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25">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25">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25">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25">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25">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25">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25">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25">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25">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25">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25">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25">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25">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25">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25">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25">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25">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25">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25">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25">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25">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25">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25">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25">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25">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25">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25">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25">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25">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25">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25">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25">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25">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25">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25">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25">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25">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25">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25">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25">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25">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25">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25">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25">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25">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25">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25">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25">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25">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25">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25">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25">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25">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25">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25">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25">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25">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25">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25">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25">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25">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25">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25">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25">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25">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25">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25">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25">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25">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25">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25">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25">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25">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25">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25">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25">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25">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25">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25">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25">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25">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25">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25">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25">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25">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25">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25">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25">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25">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25">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25">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25">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25">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25">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25">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25">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25">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25">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25">
      <c r="A341" t="s">
        <v>31</v>
      </c>
      <c r="B341">
        <v>635</v>
      </c>
      <c r="D341">
        <v>2634</v>
      </c>
      <c r="E341" t="s">
        <v>4166</v>
      </c>
      <c r="AA341" s="31"/>
      <c r="AB341" s="61"/>
      <c r="AD341" s="31"/>
      <c r="AE341" s="61"/>
      <c r="AQ341">
        <v>1</v>
      </c>
    </row>
    <row r="342" spans="1:43" x14ac:dyDescent="0.25">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25">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25">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25">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25">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25">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25">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25">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25">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25">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25">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25">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25">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25">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25">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25">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25">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25">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25">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25">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25">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25">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25">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25">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25">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25">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25">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25">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25">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25">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25">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25">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25">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25">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25">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25">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25">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25">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25">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25">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25">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25">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25">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25">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25">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25">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25">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25">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25">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25">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25">
      <c r="A392" t="s">
        <v>31</v>
      </c>
      <c r="B392">
        <v>753</v>
      </c>
      <c r="C392">
        <v>152</v>
      </c>
      <c r="D392">
        <v>3021</v>
      </c>
      <c r="E392" t="s">
        <v>4266</v>
      </c>
      <c r="AA392" s="31"/>
      <c r="AB392" s="61"/>
      <c r="AD392" s="31"/>
      <c r="AE392" s="61"/>
      <c r="AQ392">
        <v>1</v>
      </c>
    </row>
    <row r="393" spans="1:43" x14ac:dyDescent="0.25">
      <c r="A393" t="s">
        <v>4267</v>
      </c>
      <c r="AA393" s="31"/>
      <c r="AB393" s="61"/>
      <c r="AD393" s="31"/>
      <c r="AE393" s="61"/>
      <c r="AQ393">
        <v>1</v>
      </c>
    </row>
    <row r="394" spans="1:43" x14ac:dyDescent="0.25">
      <c r="A394" t="s">
        <v>4268</v>
      </c>
      <c r="AA394" s="31"/>
      <c r="AB394" s="61"/>
      <c r="AD394" s="31"/>
      <c r="AE394" s="61"/>
      <c r="AQ394">
        <v>1</v>
      </c>
    </row>
    <row r="395" spans="1:43" x14ac:dyDescent="0.25">
      <c r="A395" t="s">
        <v>4269</v>
      </c>
      <c r="AA395" s="31"/>
      <c r="AB395" s="61"/>
      <c r="AD395" s="31"/>
      <c r="AE395" s="61"/>
      <c r="AQ395">
        <v>1</v>
      </c>
    </row>
    <row r="396" spans="1:43" x14ac:dyDescent="0.25">
      <c r="A396" t="s">
        <v>4270</v>
      </c>
      <c r="AA396" s="31"/>
      <c r="AB396" s="61"/>
      <c r="AD396" s="31"/>
      <c r="AE396" s="61"/>
      <c r="AQ396">
        <v>1</v>
      </c>
    </row>
    <row r="397" spans="1:43" x14ac:dyDescent="0.25">
      <c r="A397" t="s">
        <v>4271</v>
      </c>
      <c r="AA397" s="31"/>
      <c r="AB397" s="61"/>
      <c r="AD397" s="31"/>
      <c r="AE397" s="61"/>
      <c r="AQ397">
        <v>1</v>
      </c>
    </row>
    <row r="398" spans="1:43" x14ac:dyDescent="0.25">
      <c r="A398" t="s">
        <v>4271</v>
      </c>
      <c r="AA398" s="31"/>
      <c r="AB398" s="61"/>
      <c r="AD398" s="31"/>
      <c r="AE398" s="61"/>
      <c r="AQ398">
        <v>1</v>
      </c>
    </row>
    <row r="399" spans="1:43" x14ac:dyDescent="0.25">
      <c r="A399" t="s">
        <v>4271</v>
      </c>
      <c r="AA399" s="31"/>
      <c r="AB399" s="61"/>
      <c r="AD399" s="31"/>
      <c r="AE399" s="61"/>
      <c r="AQ399">
        <v>1</v>
      </c>
    </row>
    <row r="400" spans="1:43" x14ac:dyDescent="0.25">
      <c r="A400" t="s">
        <v>4271</v>
      </c>
      <c r="AA400" s="31"/>
      <c r="AB400" s="61"/>
      <c r="AD400" s="31"/>
      <c r="AE400" s="61"/>
      <c r="AQ400">
        <v>1</v>
      </c>
    </row>
    <row r="401" spans="1:43" x14ac:dyDescent="0.25">
      <c r="A401" t="s">
        <v>4272</v>
      </c>
      <c r="AA401" s="31"/>
      <c r="AB401" s="61"/>
      <c r="AD401" s="31"/>
      <c r="AE401" s="61"/>
      <c r="AQ401">
        <v>1</v>
      </c>
    </row>
    <row r="402" spans="1:43" x14ac:dyDescent="0.25">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25">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25">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25">
      <c r="A405" t="s">
        <v>31</v>
      </c>
      <c r="B405">
        <v>765</v>
      </c>
      <c r="C405">
        <v>85</v>
      </c>
      <c r="D405">
        <v>3062</v>
      </c>
      <c r="E405" t="s">
        <v>4280</v>
      </c>
      <c r="AA405" s="31"/>
      <c r="AB405" s="61"/>
      <c r="AD405" s="31"/>
      <c r="AE405" s="61"/>
      <c r="AQ405">
        <v>1</v>
      </c>
    </row>
    <row r="406" spans="1:43" x14ac:dyDescent="0.25">
      <c r="A406" t="s">
        <v>4281</v>
      </c>
      <c r="AA406" s="31"/>
      <c r="AB406" s="61"/>
      <c r="AD406" s="31"/>
      <c r="AE406" s="61"/>
      <c r="AQ406">
        <v>1</v>
      </c>
    </row>
    <row r="407" spans="1:43" x14ac:dyDescent="0.25">
      <c r="A407" t="s">
        <v>4282</v>
      </c>
      <c r="AA407" s="31"/>
      <c r="AB407" s="61"/>
      <c r="AD407" s="31"/>
      <c r="AE407" s="61"/>
      <c r="AQ407">
        <v>1</v>
      </c>
    </row>
    <row r="408" spans="1:43" x14ac:dyDescent="0.25">
      <c r="A408" t="s">
        <v>4283</v>
      </c>
      <c r="AA408" s="31"/>
      <c r="AB408" s="61"/>
      <c r="AD408" s="31"/>
      <c r="AE408" s="61"/>
      <c r="AQ408">
        <v>1</v>
      </c>
    </row>
    <row r="409" spans="1:43" x14ac:dyDescent="0.25">
      <c r="A409" t="s">
        <v>4284</v>
      </c>
      <c r="AA409" s="31"/>
      <c r="AB409" s="61"/>
      <c r="AD409" s="31"/>
      <c r="AE409" s="61"/>
      <c r="AQ409">
        <v>1</v>
      </c>
    </row>
    <row r="410" spans="1:43" x14ac:dyDescent="0.25">
      <c r="A410" t="s">
        <v>4267</v>
      </c>
      <c r="AA410" s="31"/>
      <c r="AB410" s="61"/>
      <c r="AD410" s="31"/>
      <c r="AE410" s="61"/>
      <c r="AQ410">
        <v>1</v>
      </c>
    </row>
    <row r="411" spans="1:43" x14ac:dyDescent="0.25">
      <c r="A411" t="s">
        <v>4285</v>
      </c>
      <c r="AA411" s="31"/>
      <c r="AB411" s="61"/>
      <c r="AD411" s="31"/>
      <c r="AE411" s="61"/>
      <c r="AQ411">
        <v>1</v>
      </c>
    </row>
    <row r="412" spans="1:43" x14ac:dyDescent="0.25">
      <c r="A412" t="s">
        <v>4269</v>
      </c>
      <c r="AA412" s="31"/>
      <c r="AB412" s="61"/>
      <c r="AD412" s="31"/>
      <c r="AE412" s="61"/>
      <c r="AQ412">
        <v>1</v>
      </c>
    </row>
    <row r="413" spans="1:43" x14ac:dyDescent="0.25">
      <c r="A413" t="s">
        <v>4270</v>
      </c>
      <c r="AA413" s="31"/>
      <c r="AB413" s="61"/>
      <c r="AD413" s="31"/>
      <c r="AE413" s="61"/>
      <c r="AQ413">
        <v>1</v>
      </c>
    </row>
    <row r="414" spans="1:43" x14ac:dyDescent="0.25">
      <c r="A414" t="s">
        <v>4286</v>
      </c>
      <c r="AA414" s="31"/>
      <c r="AB414" s="61"/>
      <c r="AD414" s="31"/>
      <c r="AE414" s="61"/>
      <c r="AQ414">
        <v>1</v>
      </c>
    </row>
    <row r="415" spans="1:43" x14ac:dyDescent="0.25">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25">
      <c r="A416" t="s">
        <v>31</v>
      </c>
      <c r="B416">
        <v>791</v>
      </c>
      <c r="C416">
        <v>182</v>
      </c>
      <c r="D416">
        <v>3085</v>
      </c>
      <c r="E416" t="s">
        <v>4291</v>
      </c>
      <c r="AA416" s="31"/>
      <c r="AB416" s="61"/>
      <c r="AD416" s="31"/>
      <c r="AE416" s="61"/>
      <c r="AQ416">
        <v>1</v>
      </c>
    </row>
    <row r="417" spans="1:43" x14ac:dyDescent="0.25">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25">
      <c r="A418" t="s">
        <v>31</v>
      </c>
      <c r="B418">
        <v>797</v>
      </c>
      <c r="C418">
        <v>103</v>
      </c>
      <c r="D418">
        <v>3089</v>
      </c>
      <c r="E418" t="s">
        <v>4295</v>
      </c>
      <c r="AA418" s="31"/>
      <c r="AB418" s="61"/>
      <c r="AD418" s="31"/>
      <c r="AE418" s="61"/>
      <c r="AQ418">
        <v>1</v>
      </c>
    </row>
    <row r="419" spans="1:43" x14ac:dyDescent="0.25">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25">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25">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25">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25">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25">
      <c r="A424" t="s">
        <v>31</v>
      </c>
      <c r="B424">
        <v>807</v>
      </c>
      <c r="C424">
        <v>0</v>
      </c>
      <c r="D424">
        <v>3104</v>
      </c>
      <c r="E424" t="s">
        <v>4307</v>
      </c>
      <c r="AA424" s="31"/>
      <c r="AB424" s="61"/>
      <c r="AD424" s="31"/>
      <c r="AE424" s="61"/>
      <c r="AQ424">
        <v>1</v>
      </c>
    </row>
    <row r="425" spans="1:43" x14ac:dyDescent="0.25">
      <c r="A425" t="s">
        <v>4308</v>
      </c>
      <c r="AA425" s="31"/>
      <c r="AB425" s="61"/>
      <c r="AD425" s="31"/>
      <c r="AE425" s="61"/>
      <c r="AQ425">
        <v>1</v>
      </c>
    </row>
    <row r="426" spans="1:43" x14ac:dyDescent="0.25">
      <c r="A426" t="s">
        <v>4309</v>
      </c>
      <c r="AA426" s="31"/>
      <c r="AB426" s="61"/>
      <c r="AD426" s="31"/>
      <c r="AE426" s="61"/>
      <c r="AQ426">
        <v>1</v>
      </c>
    </row>
    <row r="427" spans="1:43" x14ac:dyDescent="0.25">
      <c r="A427" t="s">
        <v>4310</v>
      </c>
      <c r="AA427" s="31"/>
      <c r="AB427" s="61"/>
      <c r="AD427" s="31"/>
      <c r="AE427" s="61"/>
      <c r="AQ427">
        <v>1</v>
      </c>
    </row>
    <row r="428" spans="1:43" x14ac:dyDescent="0.25">
      <c r="A428" t="s">
        <v>4311</v>
      </c>
      <c r="AA428" s="31"/>
      <c r="AB428" s="61"/>
      <c r="AD428" s="31"/>
      <c r="AE428" s="61"/>
      <c r="AQ428">
        <v>1</v>
      </c>
    </row>
    <row r="429" spans="1:43" x14ac:dyDescent="0.25">
      <c r="A429" t="s">
        <v>4312</v>
      </c>
      <c r="AA429" s="31"/>
      <c r="AB429" s="61"/>
      <c r="AD429" s="31"/>
      <c r="AE429" s="61"/>
      <c r="AQ429">
        <v>1</v>
      </c>
    </row>
    <row r="430" spans="1:43" x14ac:dyDescent="0.25">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25">
      <c r="A431" t="s">
        <v>31</v>
      </c>
      <c r="B431">
        <v>808</v>
      </c>
      <c r="C431">
        <v>0</v>
      </c>
      <c r="D431">
        <v>3105</v>
      </c>
      <c r="E431" t="s">
        <v>4319</v>
      </c>
      <c r="AA431" s="31"/>
      <c r="AB431" s="61"/>
      <c r="AD431" s="31"/>
      <c r="AE431" s="61"/>
      <c r="AQ431">
        <v>1</v>
      </c>
    </row>
    <row r="432" spans="1:43" x14ac:dyDescent="0.25">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25">
      <c r="A433" t="s">
        <v>31</v>
      </c>
      <c r="B433">
        <v>809</v>
      </c>
      <c r="C433">
        <v>0</v>
      </c>
      <c r="D433">
        <v>3106</v>
      </c>
      <c r="E433" t="s">
        <v>4323</v>
      </c>
      <c r="AA433" s="31"/>
      <c r="AB433" s="61"/>
      <c r="AD433" s="31"/>
      <c r="AE433" s="61"/>
      <c r="AQ433">
        <v>1</v>
      </c>
    </row>
    <row r="434" spans="1:43" x14ac:dyDescent="0.25">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25">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25">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25">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25">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25">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25">
      <c r="A440" t="s">
        <v>31</v>
      </c>
      <c r="B440">
        <v>815</v>
      </c>
      <c r="C440">
        <v>191</v>
      </c>
      <c r="D440">
        <v>3115</v>
      </c>
      <c r="E440" t="s">
        <v>4343</v>
      </c>
      <c r="AA440" s="31"/>
      <c r="AB440" s="61"/>
      <c r="AD440" s="31"/>
      <c r="AE440" s="61"/>
      <c r="AQ440">
        <v>1</v>
      </c>
    </row>
    <row r="441" spans="1:43" x14ac:dyDescent="0.25">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25">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25">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25">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25">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25">
      <c r="A446" t="s">
        <v>31</v>
      </c>
      <c r="B446">
        <v>825</v>
      </c>
      <c r="C446">
        <v>0</v>
      </c>
      <c r="D446">
        <v>3125</v>
      </c>
      <c r="E446" t="s">
        <v>4357</v>
      </c>
      <c r="AA446" s="31"/>
      <c r="AB446" s="61"/>
      <c r="AD446" s="31"/>
      <c r="AE446" s="61"/>
      <c r="AQ446">
        <v>1</v>
      </c>
    </row>
    <row r="447" spans="1:43" x14ac:dyDescent="0.25">
      <c r="A447" t="s">
        <v>4308</v>
      </c>
      <c r="AA447" s="31"/>
      <c r="AB447" s="61"/>
      <c r="AD447" s="31"/>
      <c r="AE447" s="61"/>
      <c r="AQ447">
        <v>1</v>
      </c>
    </row>
    <row r="448" spans="1:43" x14ac:dyDescent="0.25">
      <c r="A448" t="s">
        <v>4358</v>
      </c>
      <c r="AA448" s="31"/>
      <c r="AB448" s="61"/>
      <c r="AD448" s="31"/>
      <c r="AE448" s="61"/>
      <c r="AQ448">
        <v>1</v>
      </c>
    </row>
    <row r="449" spans="1:43" x14ac:dyDescent="0.25">
      <c r="A449" t="s">
        <v>4311</v>
      </c>
      <c r="AA449" s="31"/>
      <c r="AB449" s="61"/>
      <c r="AD449" s="31"/>
      <c r="AE449" s="61"/>
      <c r="AQ449">
        <v>1</v>
      </c>
    </row>
    <row r="450" spans="1:43" x14ac:dyDescent="0.25">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25">
      <c r="A451" t="s">
        <v>31</v>
      </c>
      <c r="B451">
        <v>826</v>
      </c>
      <c r="C451">
        <v>0</v>
      </c>
      <c r="D451">
        <v>3126</v>
      </c>
      <c r="E451" t="s">
        <v>4363</v>
      </c>
      <c r="AA451" s="31"/>
      <c r="AB451" s="61"/>
      <c r="AD451" s="31"/>
      <c r="AE451" s="61"/>
      <c r="AQ451">
        <v>1</v>
      </c>
    </row>
    <row r="452" spans="1:43" x14ac:dyDescent="0.25">
      <c r="A452" t="s">
        <v>4364</v>
      </c>
      <c r="AA452" s="31"/>
      <c r="AB452" s="61"/>
      <c r="AD452" s="31"/>
      <c r="AE452" s="61"/>
      <c r="AQ452">
        <v>1</v>
      </c>
    </row>
    <row r="453" spans="1:43" x14ac:dyDescent="0.25">
      <c r="A453" t="s">
        <v>4365</v>
      </c>
      <c r="AA453" s="31"/>
      <c r="AB453" s="61"/>
      <c r="AD453" s="31"/>
      <c r="AE453" s="61"/>
      <c r="AQ453">
        <v>1</v>
      </c>
    </row>
    <row r="454" spans="1:43" x14ac:dyDescent="0.25">
      <c r="A454" t="s">
        <v>4366</v>
      </c>
      <c r="AA454" s="31"/>
      <c r="AB454" s="61"/>
      <c r="AD454" s="31"/>
      <c r="AE454" s="61"/>
      <c r="AQ454">
        <v>1</v>
      </c>
    </row>
    <row r="455" spans="1:43" x14ac:dyDescent="0.25">
      <c r="A455" t="s">
        <v>4366</v>
      </c>
      <c r="AA455" s="31"/>
      <c r="AB455" s="61"/>
      <c r="AD455" s="31"/>
      <c r="AE455" s="61"/>
      <c r="AQ455">
        <v>1</v>
      </c>
    </row>
    <row r="456" spans="1:43" x14ac:dyDescent="0.25">
      <c r="A456" t="s">
        <v>4367</v>
      </c>
      <c r="AA456" s="31"/>
      <c r="AB456" s="61"/>
      <c r="AD456" s="31"/>
      <c r="AE456" s="61"/>
      <c r="AQ456">
        <v>1</v>
      </c>
    </row>
    <row r="457" spans="1:43" x14ac:dyDescent="0.25">
      <c r="A457" t="s">
        <v>4368</v>
      </c>
      <c r="AA457" s="31"/>
      <c r="AB457" s="61"/>
      <c r="AD457" s="31"/>
      <c r="AE457" s="61"/>
      <c r="AQ457">
        <v>1</v>
      </c>
    </row>
    <row r="458" spans="1:43" x14ac:dyDescent="0.25">
      <c r="A458" t="s">
        <v>4369</v>
      </c>
      <c r="AA458" s="31"/>
      <c r="AB458" s="61"/>
      <c r="AD458" s="31"/>
      <c r="AE458" s="61"/>
      <c r="AQ458">
        <v>1</v>
      </c>
    </row>
    <row r="459" spans="1:43" x14ac:dyDescent="0.25">
      <c r="A459" t="s">
        <v>4370</v>
      </c>
      <c r="AA459" s="31"/>
      <c r="AB459" s="61"/>
      <c r="AD459" s="31"/>
      <c r="AE459" s="61"/>
      <c r="AQ459">
        <v>1</v>
      </c>
    </row>
    <row r="460" spans="1:43" x14ac:dyDescent="0.25">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25">
      <c r="A461" t="s">
        <v>31</v>
      </c>
      <c r="B461">
        <v>827</v>
      </c>
      <c r="C461">
        <v>0</v>
      </c>
      <c r="D461">
        <v>3127</v>
      </c>
      <c r="E461" t="s">
        <v>4376</v>
      </c>
      <c r="AA461" s="31"/>
      <c r="AB461" s="61"/>
      <c r="AD461" s="31"/>
      <c r="AE461" s="61"/>
      <c r="AQ461">
        <v>1</v>
      </c>
    </row>
    <row r="462" spans="1:43" x14ac:dyDescent="0.25">
      <c r="A462" t="s">
        <v>4308</v>
      </c>
      <c r="AA462" s="31"/>
      <c r="AB462" s="61"/>
      <c r="AD462" s="31"/>
      <c r="AE462" s="61"/>
      <c r="AQ462">
        <v>1</v>
      </c>
    </row>
    <row r="463" spans="1:43" x14ac:dyDescent="0.25">
      <c r="A463" t="s">
        <v>4377</v>
      </c>
      <c r="AA463" s="31"/>
      <c r="AB463" s="61"/>
      <c r="AD463" s="31"/>
      <c r="AE463" s="61"/>
      <c r="AQ463">
        <v>1</v>
      </c>
    </row>
    <row r="464" spans="1:43" x14ac:dyDescent="0.25">
      <c r="A464" t="s">
        <v>4311</v>
      </c>
      <c r="AA464" s="31"/>
      <c r="AB464" s="61"/>
      <c r="AD464" s="31"/>
      <c r="AE464" s="61"/>
      <c r="AQ464">
        <v>1</v>
      </c>
    </row>
    <row r="465" spans="1:43" x14ac:dyDescent="0.25">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25">
      <c r="A466" t="s">
        <v>31</v>
      </c>
      <c r="B466">
        <v>828</v>
      </c>
      <c r="C466">
        <v>0</v>
      </c>
      <c r="D466">
        <v>3128</v>
      </c>
      <c r="E466" t="s">
        <v>4381</v>
      </c>
      <c r="AA466" s="31"/>
      <c r="AB466" s="61"/>
      <c r="AD466" s="31"/>
      <c r="AE466" s="61"/>
      <c r="AQ466">
        <v>1</v>
      </c>
    </row>
    <row r="467" spans="1:43" x14ac:dyDescent="0.25">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25">
      <c r="A468" t="s">
        <v>31</v>
      </c>
      <c r="B468">
        <v>829</v>
      </c>
      <c r="C468">
        <v>0</v>
      </c>
      <c r="D468">
        <v>3130</v>
      </c>
      <c r="E468" t="s">
        <v>4386</v>
      </c>
      <c r="AA468" s="31"/>
      <c r="AB468" s="61"/>
      <c r="AD468" s="31"/>
      <c r="AE468" s="61"/>
      <c r="AQ468">
        <v>1</v>
      </c>
    </row>
    <row r="469" spans="1:43" x14ac:dyDescent="0.25">
      <c r="A469" t="s">
        <v>4387</v>
      </c>
      <c r="AA469" s="31"/>
      <c r="AB469" s="61"/>
      <c r="AD469" s="31"/>
      <c r="AE469" s="61"/>
      <c r="AQ469">
        <v>1</v>
      </c>
    </row>
    <row r="470" spans="1:43" x14ac:dyDescent="0.25">
      <c r="A470" t="s">
        <v>4388</v>
      </c>
      <c r="AA470" s="31"/>
      <c r="AB470" s="61"/>
      <c r="AD470" s="31"/>
      <c r="AE470" s="61"/>
      <c r="AQ470">
        <v>1</v>
      </c>
    </row>
    <row r="471" spans="1:43" x14ac:dyDescent="0.25">
      <c r="A471" t="s">
        <v>4389</v>
      </c>
      <c r="AA471" s="31"/>
      <c r="AB471" s="61"/>
      <c r="AD471" s="31"/>
      <c r="AE471" s="61"/>
      <c r="AQ471">
        <v>1</v>
      </c>
    </row>
    <row r="472" spans="1:43" x14ac:dyDescent="0.25">
      <c r="A472" t="s">
        <v>4390</v>
      </c>
      <c r="AA472" s="31"/>
      <c r="AB472" s="61"/>
      <c r="AD472" s="31"/>
      <c r="AE472" s="61"/>
      <c r="AQ472">
        <v>1</v>
      </c>
    </row>
    <row r="473" spans="1:43" x14ac:dyDescent="0.25">
      <c r="A473" t="s">
        <v>4391</v>
      </c>
      <c r="AA473" s="31"/>
      <c r="AB473" s="61"/>
      <c r="AD473" s="31"/>
      <c r="AE473" s="61"/>
      <c r="AQ473">
        <v>1</v>
      </c>
    </row>
    <row r="474" spans="1:43" x14ac:dyDescent="0.25">
      <c r="A474" t="s">
        <v>4392</v>
      </c>
      <c r="AA474" s="31"/>
      <c r="AB474" s="61"/>
      <c r="AD474" s="31"/>
      <c r="AE474" s="61"/>
      <c r="AQ474">
        <v>1</v>
      </c>
    </row>
    <row r="475" spans="1:43" x14ac:dyDescent="0.25">
      <c r="A475" t="s">
        <v>4393</v>
      </c>
      <c r="AA475" s="31"/>
      <c r="AB475" s="61"/>
      <c r="AD475" s="31"/>
      <c r="AE475" s="61"/>
      <c r="AQ475">
        <v>1</v>
      </c>
    </row>
    <row r="476" spans="1:43" x14ac:dyDescent="0.25">
      <c r="A476" t="s">
        <v>4394</v>
      </c>
      <c r="AA476" s="31"/>
      <c r="AB476" s="61"/>
      <c r="AD476" s="31"/>
      <c r="AE476" s="61"/>
      <c r="AQ476">
        <v>1</v>
      </c>
    </row>
    <row r="477" spans="1:43" x14ac:dyDescent="0.25">
      <c r="A477" t="s">
        <v>4395</v>
      </c>
      <c r="AA477" s="31"/>
      <c r="AB477" s="61"/>
      <c r="AD477" s="31"/>
      <c r="AE477" s="61"/>
      <c r="AQ477">
        <v>1</v>
      </c>
    </row>
    <row r="478" spans="1:43" x14ac:dyDescent="0.25">
      <c r="A478" t="s">
        <v>4388</v>
      </c>
      <c r="AA478" s="31"/>
      <c r="AB478" s="61"/>
      <c r="AD478" s="31"/>
      <c r="AE478" s="61"/>
      <c r="AQ478">
        <v>1</v>
      </c>
    </row>
    <row r="479" spans="1:43" x14ac:dyDescent="0.25">
      <c r="A479" t="s">
        <v>4389</v>
      </c>
      <c r="AA479" s="31"/>
      <c r="AB479" s="61"/>
      <c r="AD479" s="31"/>
      <c r="AE479" s="61"/>
      <c r="AQ479">
        <v>1</v>
      </c>
    </row>
    <row r="480" spans="1:43" x14ac:dyDescent="0.25">
      <c r="A480" t="s">
        <v>4390</v>
      </c>
      <c r="AA480" s="31"/>
      <c r="AB480" s="61"/>
      <c r="AD480" s="31"/>
      <c r="AE480" s="61"/>
      <c r="AQ480">
        <v>1</v>
      </c>
    </row>
    <row r="481" spans="1:43" x14ac:dyDescent="0.25">
      <c r="A481" t="s">
        <v>4391</v>
      </c>
      <c r="AA481" s="31"/>
      <c r="AB481" s="61"/>
      <c r="AD481" s="31"/>
      <c r="AE481" s="61"/>
      <c r="AQ481">
        <v>1</v>
      </c>
    </row>
    <row r="482" spans="1:43" x14ac:dyDescent="0.25">
      <c r="A482" t="s">
        <v>4392</v>
      </c>
      <c r="AA482" s="31"/>
      <c r="AB482" s="61"/>
      <c r="AD482" s="31"/>
      <c r="AE482" s="61"/>
      <c r="AQ482">
        <v>1</v>
      </c>
    </row>
    <row r="483" spans="1:43" x14ac:dyDescent="0.25">
      <c r="A483" t="s">
        <v>4393</v>
      </c>
      <c r="AA483" s="31"/>
      <c r="AB483" s="61"/>
      <c r="AD483" s="31"/>
      <c r="AE483" s="61"/>
      <c r="AQ483">
        <v>1</v>
      </c>
    </row>
    <row r="484" spans="1:43" x14ac:dyDescent="0.25">
      <c r="A484" t="s">
        <v>4394</v>
      </c>
      <c r="AA484" s="31"/>
      <c r="AB484" s="61"/>
      <c r="AD484" s="31"/>
      <c r="AE484" s="61"/>
      <c r="AQ484">
        <v>1</v>
      </c>
    </row>
    <row r="485" spans="1:43" x14ac:dyDescent="0.25">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25">
      <c r="A486" t="s">
        <v>31</v>
      </c>
      <c r="B486">
        <v>830</v>
      </c>
      <c r="C486">
        <v>0</v>
      </c>
      <c r="D486">
        <v>3131</v>
      </c>
      <c r="E486" t="s">
        <v>4381</v>
      </c>
      <c r="AA486" s="31"/>
      <c r="AB486" s="61"/>
      <c r="AD486" s="31"/>
      <c r="AE486" s="61"/>
      <c r="AQ486">
        <v>1</v>
      </c>
    </row>
    <row r="487" spans="1:43" x14ac:dyDescent="0.25">
      <c r="A487" t="s">
        <v>4397</v>
      </c>
      <c r="AA487" s="31"/>
      <c r="AB487" s="61"/>
      <c r="AD487" s="31"/>
      <c r="AE487" s="61"/>
      <c r="AQ487">
        <v>1</v>
      </c>
    </row>
    <row r="488" spans="1:43" x14ac:dyDescent="0.25">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25">
      <c r="A489" t="s">
        <v>22</v>
      </c>
      <c r="B489">
        <v>831</v>
      </c>
      <c r="C489">
        <v>0</v>
      </c>
      <c r="D489">
        <v>3132</v>
      </c>
      <c r="E489" t="s">
        <v>4400</v>
      </c>
      <c r="AA489" s="31"/>
      <c r="AB489" s="61"/>
      <c r="AD489" s="31"/>
      <c r="AE489" s="61"/>
      <c r="AQ489">
        <v>1</v>
      </c>
    </row>
    <row r="490" spans="1:43" x14ac:dyDescent="0.25">
      <c r="A490" t="s">
        <v>4308</v>
      </c>
      <c r="AA490" s="31"/>
      <c r="AB490" s="61"/>
      <c r="AD490" s="31"/>
      <c r="AE490" s="61"/>
      <c r="AQ490">
        <v>1</v>
      </c>
    </row>
    <row r="491" spans="1:43" x14ac:dyDescent="0.25">
      <c r="A491" t="s">
        <v>4401</v>
      </c>
      <c r="AA491" s="31"/>
      <c r="AB491" s="61"/>
      <c r="AD491" s="31"/>
      <c r="AE491" s="61"/>
      <c r="AQ491">
        <v>1</v>
      </c>
    </row>
    <row r="492" spans="1:43" x14ac:dyDescent="0.25">
      <c r="A492" t="s">
        <v>4311</v>
      </c>
      <c r="AA492" s="31"/>
      <c r="AB492" s="61"/>
      <c r="AD492" s="31"/>
      <c r="AE492" s="61"/>
      <c r="AQ492">
        <v>1</v>
      </c>
    </row>
    <row r="493" spans="1:43" x14ac:dyDescent="0.25">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25">
      <c r="A494" t="s">
        <v>31</v>
      </c>
      <c r="B494">
        <v>832</v>
      </c>
      <c r="C494">
        <v>0</v>
      </c>
      <c r="D494">
        <v>3133</v>
      </c>
      <c r="E494" t="s">
        <v>4408</v>
      </c>
      <c r="AA494" s="31"/>
      <c r="AB494" s="61"/>
      <c r="AD494" s="31"/>
      <c r="AE494" s="61"/>
      <c r="AQ494">
        <v>1</v>
      </c>
    </row>
    <row r="495" spans="1:43" x14ac:dyDescent="0.25">
      <c r="A495" t="s">
        <v>4409</v>
      </c>
      <c r="AA495" s="31"/>
      <c r="AB495" s="61"/>
      <c r="AD495" s="31"/>
      <c r="AE495" s="61"/>
      <c r="AQ495">
        <v>1</v>
      </c>
    </row>
    <row r="496" spans="1:43" x14ac:dyDescent="0.25">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25">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25">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25">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25">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25">
      <c r="A501" t="s">
        <v>44</v>
      </c>
      <c r="B501">
        <v>837</v>
      </c>
      <c r="C501">
        <v>0</v>
      </c>
      <c r="D501">
        <v>3138</v>
      </c>
      <c r="E501" t="s">
        <v>4429</v>
      </c>
      <c r="AA501" s="31"/>
      <c r="AB501" s="61"/>
      <c r="AD501" s="31"/>
      <c r="AE501" s="61"/>
      <c r="AQ501">
        <v>1</v>
      </c>
    </row>
    <row r="502" spans="1:43" x14ac:dyDescent="0.25">
      <c r="A502" t="s">
        <v>4430</v>
      </c>
      <c r="AA502" s="31"/>
      <c r="AB502" s="61"/>
      <c r="AD502" s="31"/>
      <c r="AE502" s="61"/>
      <c r="AQ502">
        <v>1</v>
      </c>
    </row>
    <row r="503" spans="1:43" x14ac:dyDescent="0.25">
      <c r="A503" t="s">
        <v>4431</v>
      </c>
      <c r="AA503" s="31"/>
      <c r="AB503" s="61"/>
      <c r="AD503" s="31"/>
      <c r="AE503" s="61"/>
      <c r="AQ503">
        <v>1</v>
      </c>
    </row>
    <row r="504" spans="1:43" x14ac:dyDescent="0.25">
      <c r="A504" t="s">
        <v>4432</v>
      </c>
      <c r="AA504" s="31"/>
      <c r="AB504" s="61"/>
      <c r="AD504" s="31"/>
      <c r="AE504" s="61"/>
      <c r="AQ504">
        <v>1</v>
      </c>
    </row>
    <row r="505" spans="1:43" x14ac:dyDescent="0.25">
      <c r="A505" t="s">
        <v>4433</v>
      </c>
      <c r="AA505" s="31"/>
      <c r="AB505" s="61"/>
      <c r="AD505" s="31"/>
      <c r="AE505" s="61"/>
      <c r="AQ505">
        <v>1</v>
      </c>
    </row>
    <row r="506" spans="1:43" x14ac:dyDescent="0.25">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25">
      <c r="A507" t="s">
        <v>44</v>
      </c>
      <c r="B507">
        <v>838</v>
      </c>
      <c r="C507">
        <v>0</v>
      </c>
      <c r="D507">
        <v>3139</v>
      </c>
      <c r="E507" t="s">
        <v>4439</v>
      </c>
      <c r="AA507" s="31"/>
      <c r="AB507" s="61"/>
      <c r="AD507" s="31"/>
      <c r="AE507" s="61"/>
      <c r="AQ507">
        <v>1</v>
      </c>
    </row>
    <row r="508" spans="1:43" x14ac:dyDescent="0.25">
      <c r="A508" t="s">
        <v>4440</v>
      </c>
      <c r="AA508" s="31"/>
      <c r="AB508" s="61"/>
      <c r="AD508" s="31"/>
      <c r="AE508" s="61"/>
      <c r="AQ508">
        <v>1</v>
      </c>
    </row>
    <row r="509" spans="1:43" x14ac:dyDescent="0.25">
      <c r="A509" t="s">
        <v>4441</v>
      </c>
      <c r="AA509" s="31"/>
      <c r="AB509" s="61"/>
      <c r="AD509" s="31"/>
      <c r="AE509" s="61"/>
      <c r="AQ509">
        <v>1</v>
      </c>
    </row>
    <row r="510" spans="1:43" x14ac:dyDescent="0.25">
      <c r="A510" t="s">
        <v>4442</v>
      </c>
      <c r="AA510" s="31"/>
      <c r="AB510" s="61"/>
      <c r="AD510" s="31"/>
      <c r="AE510" s="61"/>
      <c r="AQ510">
        <v>1</v>
      </c>
    </row>
    <row r="511" spans="1:43" x14ac:dyDescent="0.25">
      <c r="A511" t="s">
        <v>4443</v>
      </c>
      <c r="AA511" s="31"/>
      <c r="AB511" s="61"/>
      <c r="AD511" s="31"/>
      <c r="AE511" s="61"/>
      <c r="AQ511">
        <v>1</v>
      </c>
    </row>
    <row r="512" spans="1:43" x14ac:dyDescent="0.25">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25">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25">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25">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25">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25">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25">
      <c r="A518" t="s">
        <v>22</v>
      </c>
      <c r="B518">
        <v>845</v>
      </c>
      <c r="C518">
        <v>0</v>
      </c>
      <c r="D518">
        <v>3146</v>
      </c>
      <c r="E518" t="s">
        <v>4400</v>
      </c>
      <c r="AA518" s="31"/>
      <c r="AB518" s="61"/>
      <c r="AD518" s="31"/>
      <c r="AE518" s="61"/>
      <c r="AQ518">
        <v>1</v>
      </c>
    </row>
    <row r="519" spans="1:43" x14ac:dyDescent="0.25">
      <c r="A519" t="s">
        <v>4308</v>
      </c>
      <c r="AA519" s="31"/>
      <c r="AB519" s="61"/>
      <c r="AD519" s="31"/>
      <c r="AE519" s="61"/>
      <c r="AQ519">
        <v>1</v>
      </c>
    </row>
    <row r="520" spans="1:43" x14ac:dyDescent="0.25">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25">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25">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25">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25">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25">
      <c r="A525" t="s">
        <v>31</v>
      </c>
      <c r="B525">
        <v>857</v>
      </c>
      <c r="C525">
        <v>0</v>
      </c>
      <c r="D525">
        <v>3161</v>
      </c>
      <c r="E525" t="s">
        <v>4482</v>
      </c>
      <c r="AA525" s="31"/>
      <c r="AB525" s="61"/>
      <c r="AD525" s="31"/>
      <c r="AE525" s="61"/>
      <c r="AQ525">
        <v>1</v>
      </c>
    </row>
    <row r="526" spans="1:43" x14ac:dyDescent="0.25">
      <c r="A526" t="s">
        <v>4483</v>
      </c>
      <c r="AA526" s="31"/>
      <c r="AB526" s="61"/>
      <c r="AD526" s="31"/>
      <c r="AE526" s="61"/>
      <c r="AQ526">
        <v>1</v>
      </c>
    </row>
    <row r="527" spans="1:43" x14ac:dyDescent="0.25">
      <c r="A527" t="s">
        <v>4484</v>
      </c>
      <c r="AA527" s="31"/>
      <c r="AB527" s="61"/>
      <c r="AD527" s="31"/>
      <c r="AE527" s="61"/>
      <c r="AQ527">
        <v>1</v>
      </c>
    </row>
    <row r="528" spans="1:43" x14ac:dyDescent="0.25">
      <c r="A528" t="s">
        <v>4485</v>
      </c>
      <c r="AA528" s="31"/>
      <c r="AB528" s="61"/>
      <c r="AD528" s="31"/>
      <c r="AE528" s="61"/>
      <c r="AQ528">
        <v>1</v>
      </c>
    </row>
    <row r="529" spans="1:43" x14ac:dyDescent="0.25">
      <c r="A529" t="s">
        <v>4486</v>
      </c>
      <c r="AA529" s="31"/>
      <c r="AB529" s="61"/>
      <c r="AD529" s="31"/>
      <c r="AE529" s="61"/>
      <c r="AQ529">
        <v>1</v>
      </c>
    </row>
    <row r="530" spans="1:43" x14ac:dyDescent="0.25">
      <c r="A530" t="s">
        <v>4487</v>
      </c>
      <c r="AA530" s="31"/>
      <c r="AB530" s="61"/>
      <c r="AD530" s="31"/>
      <c r="AE530" s="61"/>
      <c r="AQ530">
        <v>1</v>
      </c>
    </row>
    <row r="531" spans="1:43" x14ac:dyDescent="0.25">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25">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25">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25">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25">
      <c r="A535" t="s">
        <v>31</v>
      </c>
      <c r="B535">
        <v>875</v>
      </c>
      <c r="D535">
        <v>3181</v>
      </c>
      <c r="E535" t="s">
        <v>4502</v>
      </c>
      <c r="AA535" s="31"/>
      <c r="AB535" s="61"/>
      <c r="AD535" s="31"/>
      <c r="AE535" s="61"/>
      <c r="AQ535">
        <v>1</v>
      </c>
    </row>
    <row r="536" spans="1:43" x14ac:dyDescent="0.25">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25">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25">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25">
      <c r="A539" t="s">
        <v>31</v>
      </c>
      <c r="B539">
        <v>881</v>
      </c>
      <c r="C539">
        <v>0</v>
      </c>
      <c r="D539">
        <v>3195</v>
      </c>
      <c r="E539" t="s">
        <v>4513</v>
      </c>
      <c r="AA539" s="31"/>
      <c r="AB539" s="61"/>
      <c r="AD539" s="31"/>
      <c r="AE539" s="61"/>
      <c r="AQ539">
        <v>1</v>
      </c>
    </row>
    <row r="540" spans="1:43" x14ac:dyDescent="0.25">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25">
      <c r="A541" t="s">
        <v>31</v>
      </c>
      <c r="B541">
        <v>896</v>
      </c>
      <c r="C541">
        <v>181</v>
      </c>
      <c r="D541">
        <v>3212</v>
      </c>
      <c r="E541" t="s">
        <v>4518</v>
      </c>
      <c r="AA541" s="31"/>
      <c r="AB541" s="61"/>
      <c r="AD541" s="31"/>
      <c r="AE541" s="61"/>
      <c r="AQ541">
        <v>1</v>
      </c>
    </row>
    <row r="542" spans="1:43" x14ac:dyDescent="0.25">
      <c r="A542" t="s">
        <v>4519</v>
      </c>
      <c r="AA542" s="31"/>
      <c r="AB542" s="61"/>
      <c r="AD542" s="31"/>
      <c r="AE542" s="61"/>
      <c r="AQ542">
        <v>1</v>
      </c>
    </row>
    <row r="543" spans="1:43" x14ac:dyDescent="0.25">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25">
      <c r="A544" t="s">
        <v>31</v>
      </c>
      <c r="B544">
        <v>897</v>
      </c>
      <c r="C544">
        <v>133</v>
      </c>
      <c r="D544">
        <v>3213</v>
      </c>
      <c r="E544" t="s">
        <v>4522</v>
      </c>
      <c r="AA544" s="31"/>
      <c r="AB544" s="61"/>
      <c r="AD544" s="31"/>
      <c r="AE544" s="61"/>
      <c r="AQ544">
        <v>1</v>
      </c>
    </row>
    <row r="545" spans="1:43" x14ac:dyDescent="0.25">
      <c r="A545" t="s">
        <v>4523</v>
      </c>
      <c r="AA545" s="31"/>
      <c r="AB545" s="61"/>
      <c r="AD545" s="31"/>
      <c r="AE545" s="61"/>
      <c r="AQ545">
        <v>1</v>
      </c>
    </row>
    <row r="546" spans="1:43" x14ac:dyDescent="0.25">
      <c r="A546" t="s">
        <v>4524</v>
      </c>
      <c r="AA546" s="31"/>
      <c r="AB546" s="61"/>
      <c r="AD546" s="31"/>
      <c r="AE546" s="61"/>
      <c r="AQ546">
        <v>1</v>
      </c>
    </row>
    <row r="547" spans="1:43" x14ac:dyDescent="0.25">
      <c r="A547" t="s">
        <v>4525</v>
      </c>
      <c r="AA547" s="31"/>
      <c r="AB547" s="61"/>
      <c r="AD547" s="31"/>
      <c r="AE547" s="61"/>
      <c r="AQ547">
        <v>1</v>
      </c>
    </row>
    <row r="548" spans="1:43" x14ac:dyDescent="0.25">
      <c r="A548" t="s">
        <v>4526</v>
      </c>
      <c r="AA548" s="31"/>
      <c r="AB548" s="61"/>
      <c r="AD548" s="31"/>
      <c r="AE548" s="61"/>
      <c r="AQ548">
        <v>1</v>
      </c>
    </row>
    <row r="549" spans="1:43" x14ac:dyDescent="0.25">
      <c r="A549" t="s">
        <v>4525</v>
      </c>
      <c r="AA549" s="31"/>
      <c r="AB549" s="61"/>
      <c r="AD549" s="31"/>
      <c r="AE549" s="61"/>
      <c r="AQ549">
        <v>1</v>
      </c>
    </row>
    <row r="550" spans="1:43" x14ac:dyDescent="0.25">
      <c r="A550" t="s">
        <v>4527</v>
      </c>
      <c r="AA550" s="31"/>
      <c r="AB550" s="61"/>
      <c r="AD550" s="31"/>
      <c r="AE550" s="61"/>
      <c r="AQ550">
        <v>1</v>
      </c>
    </row>
    <row r="551" spans="1:43" x14ac:dyDescent="0.25">
      <c r="A551" t="s">
        <v>4528</v>
      </c>
      <c r="AA551" s="31"/>
      <c r="AB551" s="61"/>
      <c r="AD551" s="31"/>
      <c r="AE551" s="61"/>
      <c r="AQ551">
        <v>1</v>
      </c>
    </row>
    <row r="552" spans="1:43" x14ac:dyDescent="0.25">
      <c r="A552" t="s">
        <v>4529</v>
      </c>
      <c r="AA552" s="31"/>
      <c r="AB552" s="61"/>
      <c r="AD552" s="31"/>
      <c r="AE552" s="61"/>
      <c r="AQ552">
        <v>1</v>
      </c>
    </row>
    <row r="553" spans="1:43" x14ac:dyDescent="0.25">
      <c r="A553" t="s">
        <v>4530</v>
      </c>
      <c r="AA553" s="31"/>
      <c r="AB553" s="61"/>
      <c r="AD553" s="31"/>
      <c r="AE553" s="61"/>
      <c r="AQ553">
        <v>1</v>
      </c>
    </row>
    <row r="554" spans="1:43" x14ac:dyDescent="0.25">
      <c r="A554" t="s">
        <v>4531</v>
      </c>
      <c r="AA554" s="31"/>
      <c r="AB554" s="61"/>
      <c r="AD554" s="31"/>
      <c r="AE554" s="61"/>
      <c r="AQ554">
        <v>1</v>
      </c>
    </row>
    <row r="555" spans="1:43" x14ac:dyDescent="0.25">
      <c r="A555" t="s">
        <v>4532</v>
      </c>
      <c r="AA555" s="31"/>
      <c r="AB555" s="61"/>
      <c r="AD555" s="31"/>
      <c r="AE555" s="61"/>
      <c r="AQ555">
        <v>1</v>
      </c>
    </row>
    <row r="556" spans="1:43" x14ac:dyDescent="0.25">
      <c r="A556" t="s">
        <v>4533</v>
      </c>
      <c r="AA556" s="31"/>
      <c r="AB556" s="61"/>
      <c r="AD556" s="31"/>
      <c r="AE556" s="61"/>
      <c r="AQ556">
        <v>1</v>
      </c>
    </row>
    <row r="557" spans="1:43" x14ac:dyDescent="0.25">
      <c r="A557" t="s">
        <v>4534</v>
      </c>
      <c r="AA557" s="31"/>
      <c r="AB557" s="61"/>
      <c r="AD557" s="31"/>
      <c r="AE557" s="61"/>
      <c r="AQ557">
        <v>1</v>
      </c>
    </row>
    <row r="558" spans="1:43" x14ac:dyDescent="0.25">
      <c r="A558" t="s">
        <v>4535</v>
      </c>
      <c r="AA558" s="31"/>
      <c r="AB558" s="61"/>
      <c r="AD558" s="31"/>
      <c r="AE558" s="61"/>
      <c r="AQ558">
        <v>1</v>
      </c>
    </row>
    <row r="559" spans="1:43" x14ac:dyDescent="0.25">
      <c r="A559" t="s">
        <v>4536</v>
      </c>
      <c r="AA559" s="31"/>
      <c r="AB559" s="61"/>
      <c r="AD559" s="31"/>
      <c r="AE559" s="61"/>
      <c r="AQ559">
        <v>1</v>
      </c>
    </row>
    <row r="560" spans="1:43" x14ac:dyDescent="0.25">
      <c r="A560" t="s">
        <v>4537</v>
      </c>
      <c r="AA560" s="31"/>
      <c r="AB560" s="61"/>
      <c r="AD560" s="31"/>
      <c r="AE560" s="61"/>
      <c r="AQ560">
        <v>1</v>
      </c>
    </row>
    <row r="561" spans="1:43" x14ac:dyDescent="0.25">
      <c r="A561" t="s">
        <v>4538</v>
      </c>
      <c r="AA561" s="31"/>
      <c r="AB561" s="61"/>
      <c r="AD561" s="31"/>
      <c r="AE561" s="61"/>
      <c r="AQ561">
        <v>1</v>
      </c>
    </row>
    <row r="562" spans="1:43" x14ac:dyDescent="0.25">
      <c r="A562" t="s">
        <v>4539</v>
      </c>
      <c r="AA562" s="31"/>
      <c r="AB562" s="61"/>
      <c r="AD562" s="31"/>
      <c r="AE562" s="61"/>
      <c r="AQ562">
        <v>1</v>
      </c>
    </row>
    <row r="563" spans="1:43" x14ac:dyDescent="0.25">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25">
      <c r="A564" t="s">
        <v>31</v>
      </c>
      <c r="B564">
        <v>898</v>
      </c>
      <c r="D564">
        <v>3214</v>
      </c>
      <c r="E564" t="s">
        <v>4545</v>
      </c>
      <c r="AA564" s="31"/>
      <c r="AB564" s="61"/>
      <c r="AD564" s="31"/>
      <c r="AE564" s="61"/>
      <c r="AQ564">
        <v>1</v>
      </c>
    </row>
    <row r="565" spans="1:43" x14ac:dyDescent="0.25">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25">
      <c r="A566" t="s">
        <v>31</v>
      </c>
      <c r="B566">
        <v>899</v>
      </c>
      <c r="C566">
        <v>210</v>
      </c>
      <c r="D566">
        <v>3215</v>
      </c>
      <c r="E566" t="s">
        <v>4548</v>
      </c>
      <c r="AA566" s="31"/>
      <c r="AB566" s="61"/>
      <c r="AD566" s="31"/>
      <c r="AE566" s="61"/>
      <c r="AQ566">
        <v>1</v>
      </c>
    </row>
    <row r="567" spans="1:43" x14ac:dyDescent="0.25">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25">
      <c r="A568" t="s">
        <v>31</v>
      </c>
      <c r="B568">
        <v>904</v>
      </c>
      <c r="D568">
        <v>3221</v>
      </c>
      <c r="E568" t="s">
        <v>4553</v>
      </c>
      <c r="AA568" s="31"/>
      <c r="AB568" s="61"/>
      <c r="AD568" s="31"/>
      <c r="AE568" s="61"/>
      <c r="AQ568">
        <v>1</v>
      </c>
    </row>
    <row r="569" spans="1:43" x14ac:dyDescent="0.25">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25">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25">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25">
      <c r="A572" t="s">
        <v>31</v>
      </c>
      <c r="B572">
        <v>911</v>
      </c>
      <c r="D572">
        <v>3247</v>
      </c>
      <c r="E572" t="s">
        <v>4562</v>
      </c>
      <c r="AA572" s="31"/>
      <c r="AB572" s="61"/>
      <c r="AD572" s="31"/>
      <c r="AE572" s="61"/>
      <c r="AQ572">
        <v>1</v>
      </c>
    </row>
    <row r="573" spans="1:43" x14ac:dyDescent="0.25">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25">
      <c r="A574" t="s">
        <v>31</v>
      </c>
      <c r="B574">
        <v>913</v>
      </c>
      <c r="C574">
        <v>173</v>
      </c>
      <c r="D574">
        <v>3251</v>
      </c>
      <c r="E574" t="s">
        <v>4569</v>
      </c>
      <c r="AA574" s="31"/>
      <c r="AB574" s="61"/>
      <c r="AD574" s="31"/>
      <c r="AE574" s="61"/>
      <c r="AQ574">
        <v>1</v>
      </c>
    </row>
    <row r="575" spans="1:43" x14ac:dyDescent="0.25">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25">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25">
      <c r="A577" t="s">
        <v>31</v>
      </c>
      <c r="B577">
        <v>916</v>
      </c>
      <c r="C577">
        <v>196</v>
      </c>
      <c r="D577">
        <v>3254</v>
      </c>
      <c r="E577" t="s">
        <v>4573</v>
      </c>
      <c r="AA577" s="31"/>
      <c r="AB577" s="61"/>
      <c r="AD577" s="31"/>
      <c r="AE577" s="61"/>
      <c r="AQ577">
        <v>1</v>
      </c>
    </row>
    <row r="578" spans="1:43" x14ac:dyDescent="0.25">
      <c r="A578" t="s">
        <v>4574</v>
      </c>
      <c r="AA578" s="31"/>
      <c r="AB578" s="61"/>
      <c r="AD578" s="31"/>
      <c r="AE578" s="61"/>
      <c r="AQ578">
        <v>1</v>
      </c>
    </row>
    <row r="579" spans="1:43" x14ac:dyDescent="0.25">
      <c r="A579" t="s">
        <v>4575</v>
      </c>
      <c r="AA579" s="31"/>
      <c r="AB579" s="61"/>
      <c r="AD579" s="31"/>
      <c r="AE579" s="61"/>
      <c r="AQ579">
        <v>1</v>
      </c>
    </row>
    <row r="580" spans="1:43" x14ac:dyDescent="0.25">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25">
      <c r="A581" t="s">
        <v>31</v>
      </c>
      <c r="B581">
        <v>917</v>
      </c>
      <c r="C581">
        <v>196</v>
      </c>
      <c r="D581">
        <v>3255</v>
      </c>
      <c r="E581" t="s">
        <v>4573</v>
      </c>
      <c r="AA581" s="31"/>
      <c r="AB581" s="61"/>
      <c r="AD581" s="31"/>
      <c r="AE581" s="61"/>
      <c r="AQ581">
        <v>1</v>
      </c>
    </row>
    <row r="582" spans="1:43" x14ac:dyDescent="0.25">
      <c r="A582" t="s">
        <v>4574</v>
      </c>
      <c r="AA582" s="31"/>
      <c r="AB582" s="61"/>
      <c r="AD582" s="31"/>
      <c r="AE582" s="61"/>
      <c r="AQ582">
        <v>1</v>
      </c>
    </row>
    <row r="583" spans="1:43" x14ac:dyDescent="0.25">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25">
      <c r="A584" t="s">
        <v>31</v>
      </c>
      <c r="B584">
        <v>918</v>
      </c>
      <c r="C584">
        <v>196</v>
      </c>
      <c r="D584">
        <v>3256</v>
      </c>
      <c r="E584" t="s">
        <v>4573</v>
      </c>
      <c r="AA584" s="31"/>
      <c r="AB584" s="61"/>
      <c r="AD584" s="31"/>
      <c r="AE584" s="61"/>
      <c r="AQ584">
        <v>1</v>
      </c>
    </row>
    <row r="585" spans="1:43" x14ac:dyDescent="0.25">
      <c r="A585" t="s">
        <v>4574</v>
      </c>
      <c r="AA585" s="31"/>
      <c r="AB585" s="61"/>
      <c r="AD585" s="31"/>
      <c r="AE585" s="61"/>
      <c r="AQ585">
        <v>1</v>
      </c>
    </row>
    <row r="586" spans="1:43" x14ac:dyDescent="0.25">
      <c r="A586" t="s">
        <v>4575</v>
      </c>
      <c r="AA586" s="31"/>
      <c r="AB586" s="61"/>
      <c r="AD586" s="31"/>
      <c r="AE586" s="61"/>
      <c r="AQ586">
        <v>1</v>
      </c>
    </row>
    <row r="587" spans="1:43" x14ac:dyDescent="0.25">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25">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25">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25">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25">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25">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25">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25">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workbookViewId="0">
      <selection activeCell="AK490" sqref="AK490"/>
    </sheetView>
  </sheetViews>
  <sheetFormatPr defaultRowHeight="15" x14ac:dyDescent="0.25"/>
  <cols>
    <col min="1" max="1" width="17.85546875" bestFit="1" customWidth="1"/>
    <col min="2" max="2" width="15.7109375" bestFit="1" customWidth="1"/>
    <col min="3" max="3" width="12.140625" bestFit="1" customWidth="1"/>
    <col min="4" max="4" width="12.7109375" bestFit="1" customWidth="1"/>
    <col min="5" max="5" width="80.85546875" bestFit="1" customWidth="1"/>
    <col min="6" max="6" width="13.85546875" bestFit="1" customWidth="1"/>
    <col min="7" max="7" width="80.85546875" bestFit="1" customWidth="1"/>
    <col min="8" max="8" width="12" bestFit="1" customWidth="1"/>
    <col min="9" max="9" width="80.85546875" bestFit="1" customWidth="1"/>
    <col min="10" max="11" width="64.85546875" bestFit="1" customWidth="1"/>
    <col min="12" max="12" width="41.7109375" bestFit="1" customWidth="1"/>
    <col min="13" max="13" width="20" bestFit="1" customWidth="1"/>
    <col min="14" max="14" width="42.85546875" bestFit="1" customWidth="1"/>
    <col min="15" max="15" width="11.28515625" bestFit="1" customWidth="1"/>
    <col min="16" max="16" width="64.5703125" bestFit="1" customWidth="1"/>
    <col min="17" max="17" width="23" bestFit="1" customWidth="1"/>
    <col min="18" max="18" width="9.140625" bestFit="1" customWidth="1"/>
    <col min="19" max="19" width="14.85546875" bestFit="1" customWidth="1"/>
    <col min="20" max="20" width="22.7109375" bestFit="1" customWidth="1"/>
    <col min="21" max="21" width="20.7109375" bestFit="1" customWidth="1"/>
    <col min="22" max="22" width="24.85546875" bestFit="1" customWidth="1"/>
    <col min="23" max="23" width="31.85546875" bestFit="1" customWidth="1"/>
    <col min="24" max="24" width="12.28515625" bestFit="1" customWidth="1"/>
    <col min="25" max="25" width="14.42578125" bestFit="1" customWidth="1"/>
    <col min="26" max="26" width="14" bestFit="1" customWidth="1"/>
    <col min="27" max="27" width="24.140625" bestFit="1" customWidth="1"/>
    <col min="28" max="28" width="17.140625" bestFit="1" customWidth="1"/>
    <col min="29" max="29" width="17.28515625" bestFit="1" customWidth="1"/>
    <col min="30" max="30" width="8.7109375" bestFit="1" customWidth="1"/>
    <col min="31" max="31" width="21.85546875" bestFit="1" customWidth="1"/>
    <col min="32" max="32" width="22.140625" bestFit="1" customWidth="1"/>
    <col min="33" max="33" width="29.5703125" bestFit="1" customWidth="1"/>
    <col min="34" max="34" width="16.5703125" bestFit="1" customWidth="1"/>
    <col min="35" max="35" width="15.5703125" bestFit="1" customWidth="1"/>
    <col min="36" max="37" width="20.42578125" bestFit="1" customWidth="1"/>
    <col min="38" max="38" width="17.28515625" bestFit="1" customWidth="1"/>
    <col min="39" max="39" width="14.28515625" bestFit="1" customWidth="1"/>
    <col min="40" max="40" width="8.28515625" bestFit="1" customWidth="1"/>
    <col min="41" max="41" width="12.28515625" bestFit="1" customWidth="1"/>
    <col min="42" max="42" width="17.28515625" bestFit="1" customWidth="1"/>
    <col min="43" max="43" width="24.85546875" bestFit="1" customWidth="1"/>
    <col min="44" max="44" width="7.28515625" bestFit="1" customWidth="1"/>
  </cols>
  <sheetData>
    <row r="1" spans="1:44" x14ac:dyDescent="0.25">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25">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25">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25">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25">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25">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25">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25">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25">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25">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25">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25">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25">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25">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25">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25">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25">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25">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25">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25">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25">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25">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25">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25">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25">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25">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25">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25">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25">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25">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25">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25">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25">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25">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25">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25">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25">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25">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25">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25">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25">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25">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25">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25">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25">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25">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25">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25">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25">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25">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25">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25">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25">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25">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25">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25">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25">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25">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25">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25">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25">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25">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25">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25">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25">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25">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25">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25">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25">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25">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25">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25">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25">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25">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25">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25">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25">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25">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25">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25">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25">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25">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25">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25">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25">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25">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25">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25">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25">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25">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25">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25">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25">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25">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25">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25">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25">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25">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25">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25">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25">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25">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25">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25">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25">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25">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25">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25">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25">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25">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25">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25">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25">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25">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25">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25">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25">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25">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25">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25">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25">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25">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25">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25">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25">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25">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25">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25">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25">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25">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25">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25">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25">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25">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25">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25">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25">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25">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25">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25">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25">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25">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25">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25">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25">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25">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25">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25">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25">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25">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25">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25">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25">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25">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25">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25">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25">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25">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25">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25">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25">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25">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25">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25">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25">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25">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25">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25">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25">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25">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25">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25">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25">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25">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25">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25">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25">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25">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25">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25">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25">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25">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25">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25">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25">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25">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25">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25">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25">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25">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25">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25">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25">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25">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25">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25">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25">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25">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25">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25">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25">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25">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25">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25">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25">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25">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25">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25">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25">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25">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25">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25">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25">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25">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25">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25">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25">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25">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25">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25">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25">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25">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25">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25">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25">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25">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25">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25">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25">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25">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25">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25">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25">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25">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25">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25">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25">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25">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25">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25">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25">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25">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25">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25">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25">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25">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25">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25">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25">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25">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25">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25">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25">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25">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25">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25">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25">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25">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25">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25">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25">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25">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25">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25">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25">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25">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25">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25">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25">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25">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25">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25">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25">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25">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25">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25">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25">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25">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25">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25">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25">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25">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25">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25">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25">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25">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25">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25">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25">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25">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25">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25">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25">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25">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25">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25">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25">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25">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25">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25">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25">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25">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25">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25">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25">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25">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25">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25">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25">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25">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25">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25">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25">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25">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25">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25">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25">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25">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25">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25">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25">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25">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25">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25">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25">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25">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25">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25">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25">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25">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25">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25">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25">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25">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25">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25">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25">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25">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25">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25">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25">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25">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25">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25">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25">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25">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25">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25">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25">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25">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25">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25">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25">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25">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25">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25">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25">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25">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25">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25">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25">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25">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25">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25">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25">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25">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25">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25">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25">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25">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25">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25">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25">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25">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25">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25">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25">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25">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25">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25">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25">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25">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25">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25">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25">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25">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25">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25">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25">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25">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25">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25">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25">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25">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25">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25">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25">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25">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25">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25">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25">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25">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25">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25">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25">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25">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25">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25">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25">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25">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25">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25">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25">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25">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25">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25">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25">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25">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25">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25">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25">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25">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25">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25">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25">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25">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25">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25">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25">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25">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25">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25">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25">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25">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25">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25">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25">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25">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25">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25">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25">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25">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25">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25">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25">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25">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25">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25">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25">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25">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25">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25">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25">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25">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25">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25">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25">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25">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25">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25">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25">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25">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25">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25">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25">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25">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25">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25">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25">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25">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25">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25">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25">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25">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25">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25">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25">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25">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25">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25">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25">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25">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25">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25">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25">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25">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25">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25">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25">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25">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25">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workbookViewId="0">
      <selection activeCell="E22" sqref="E22"/>
    </sheetView>
  </sheetViews>
  <sheetFormatPr defaultRowHeight="15" x14ac:dyDescent="0.25"/>
  <cols>
    <col min="1" max="1" width="17.85546875" bestFit="1" customWidth="1"/>
    <col min="2" max="2" width="17.7109375" bestFit="1" customWidth="1"/>
    <col min="3" max="3" width="12.140625" bestFit="1" customWidth="1"/>
    <col min="4" max="4" width="12.7109375" bestFit="1" customWidth="1"/>
    <col min="5" max="6" width="80.85546875" bestFit="1" customWidth="1"/>
    <col min="7" max="7" width="72.7109375" bestFit="1" customWidth="1"/>
    <col min="8" max="8" width="12" bestFit="1" customWidth="1"/>
    <col min="9" max="9" width="27.42578125" bestFit="1" customWidth="1"/>
    <col min="10" max="11" width="80.85546875" bestFit="1" customWidth="1"/>
    <col min="12" max="12" width="41.7109375" bestFit="1" customWidth="1"/>
    <col min="13" max="13" width="20" bestFit="1" customWidth="1"/>
    <col min="14" max="14" width="42.7109375" bestFit="1" customWidth="1"/>
    <col min="15" max="15" width="17.85546875" bestFit="1" customWidth="1"/>
    <col min="16" max="16" width="32.140625" bestFit="1" customWidth="1"/>
    <col min="17" max="17" width="22.140625" bestFit="1" customWidth="1"/>
    <col min="18" max="18" width="24.28515625" bestFit="1" customWidth="1"/>
    <col min="19" max="19" width="13.28515625" bestFit="1" customWidth="1"/>
    <col min="20" max="20" width="24.42578125" bestFit="1" customWidth="1"/>
    <col min="21" max="21" width="19" bestFit="1" customWidth="1"/>
    <col min="22" max="22" width="21.140625" bestFit="1" customWidth="1"/>
    <col min="23" max="23" width="63.28515625" bestFit="1" customWidth="1"/>
    <col min="24" max="24" width="17.42578125" bestFit="1" customWidth="1"/>
    <col min="25" max="25" width="32.28515625" bestFit="1" customWidth="1"/>
    <col min="26" max="26" width="33" bestFit="1" customWidth="1"/>
    <col min="27" max="27" width="29.85546875" bestFit="1" customWidth="1"/>
    <col min="28" max="28" width="12.28515625" bestFit="1" customWidth="1"/>
    <col min="29" max="29" width="14.42578125" bestFit="1" customWidth="1"/>
    <col min="30" max="30" width="27.28515625" bestFit="1" customWidth="1"/>
    <col min="31" max="31" width="17.85546875" bestFit="1" customWidth="1"/>
    <col min="32" max="32" width="17.140625" bestFit="1" customWidth="1"/>
    <col min="33" max="33" width="17.28515625" bestFit="1" customWidth="1"/>
    <col min="34" max="34" width="16.7109375" bestFit="1" customWidth="1"/>
    <col min="35" max="35" width="8.7109375" bestFit="1" customWidth="1"/>
    <col min="36" max="36" width="21.85546875" bestFit="1" customWidth="1"/>
    <col min="37" max="37" width="22.140625" bestFit="1" customWidth="1"/>
    <col min="38" max="38" width="33.7109375" bestFit="1" customWidth="1"/>
    <col min="39" max="39" width="80.85546875" bestFit="1" customWidth="1"/>
    <col min="40" max="40" width="20.5703125" bestFit="1" customWidth="1"/>
    <col min="41" max="41" width="15.5703125" bestFit="1" customWidth="1"/>
    <col min="42" max="42" width="18.28515625" bestFit="1" customWidth="1"/>
    <col min="43" max="44" width="20.42578125" bestFit="1" customWidth="1"/>
    <col min="45" max="45" width="17.28515625" bestFit="1" customWidth="1"/>
    <col min="46" max="46" width="14.28515625" bestFit="1" customWidth="1"/>
    <col min="47" max="47" width="8.28515625" bestFit="1" customWidth="1"/>
    <col min="48" max="48" width="35" bestFit="1" customWidth="1"/>
    <col min="49" max="49" width="12.28515625" bestFit="1" customWidth="1"/>
    <col min="50" max="50" width="17.28515625" bestFit="1" customWidth="1"/>
    <col min="51" max="51" width="7.28515625" bestFit="1" customWidth="1"/>
  </cols>
  <sheetData>
    <row r="1" spans="1:51" x14ac:dyDescent="0.25">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25">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25">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25">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25">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25">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25">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25">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25">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25">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25">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25">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25">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25">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25">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25">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25">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25">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25">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25">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25">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25">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25">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25">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25">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25">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25">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25">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25">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25">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25">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25">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25">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25">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25">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25">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25">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25">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25">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25">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25">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25">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25">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25">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25">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25">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25">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25">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25">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25">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25">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25">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25">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25">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25">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25">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25">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25">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25">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25">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25">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25">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25">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25">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25">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25">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25">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25">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25">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25">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25">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25">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25">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25">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25">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25">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25">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25">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25">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25">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25">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25">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25">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25">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25">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25">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25">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25">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25">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25">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25">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25">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25">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25">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25">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25">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25">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25">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25">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25">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25">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25">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25">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25">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25">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25">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25">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25">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25">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25">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25">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25">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25">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25">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25">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25">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25">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25">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25">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25">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25">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25">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25">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25">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25">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25">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25">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25">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25">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25">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25">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25">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25">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25">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25">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25">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25">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25">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25">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25">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25">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25">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25">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25">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25">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25">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25">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25">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25">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25">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25">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25">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25">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25">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25">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25">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25">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25">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25">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25">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25">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25">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25">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25">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25">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25">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25">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25">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25">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25">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25">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25">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25">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25">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25">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25">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25">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25">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25">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25">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25">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25">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25">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25">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25">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25">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25">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25">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25">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25">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25">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25">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25">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25">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25">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25">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25">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25">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25">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25">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25">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25">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25">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25">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25">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25">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25">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25">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25">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25">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25">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25">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25">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25">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25">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25">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25">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25">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25">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25">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25">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25">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25">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25">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25">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25">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25">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25">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25">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25">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25">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25">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25">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25">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25">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25">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25">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25">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25">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25">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25">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25">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25">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25">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25">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25">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25">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25">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25">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25">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25">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25">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25">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25">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25">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25">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25">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25">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25">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25">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25">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25">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25">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25">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25">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25">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25">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25">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25">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25">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25">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25">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25">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25">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25">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25">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25">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25">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25">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25">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25">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25">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25">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25">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25">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25">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25">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25">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25">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25">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25">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25">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25">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25">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25">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25">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25">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25">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25">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25">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25">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25">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25">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25">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25">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25">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25">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25">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25">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25">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25">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25">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25">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25">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25">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25">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25">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25">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25">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25">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25">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25">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25">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25">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25">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25">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25">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25">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25">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25">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25">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25">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25">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25">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25">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25">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25">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25">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25">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25">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25">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25">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25">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25">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25">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25">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25">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25">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25">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25">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25">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25">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25">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25">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25">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25">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25">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25">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25">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25">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25">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25">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25">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25">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25">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25">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25">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25">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25">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25">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25">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25">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25">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25">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25">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25">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25">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25">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25">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25">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25">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25">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25">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25">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25">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25">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25">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25">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25">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25">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25">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25">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25">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25">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25">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25">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25">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25">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25">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25">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25">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25">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25">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25">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25">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25">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25">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25">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25">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25">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25">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25">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25">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25">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25">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25">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25">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25">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25">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25">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25">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25">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25">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25">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25">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25">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25">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25">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25">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25">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25">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25">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25">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25">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25">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25">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25">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25">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25">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25">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25">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25">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25">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25">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25">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25">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25">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25">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25">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25">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25">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25">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25">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25">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25">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25">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25">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25">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25">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25">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25">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25">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25">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25">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25">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25">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25">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25">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25">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25">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25">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25">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25">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25">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25">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25">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25">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25">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25">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25">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25">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25">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25">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25">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25">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25">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25">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25">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25">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25">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25">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25">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25">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25">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25">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25">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25">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25">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25">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25">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25">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25">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25">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25">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25">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25">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25">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25">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25">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25">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25">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25">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25">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25">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25">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25">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25">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25">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25">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25">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25">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25">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25">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25">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25">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25">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25">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25">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25">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25">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25">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25">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25">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25">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25">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25">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25">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25">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25">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25">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25">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25">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25">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25">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25">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25">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25">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25">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25">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25">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25">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25">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25">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25">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25">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25">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25">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25">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25">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25">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25">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25">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25">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25">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25">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25">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25">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25">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25">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25">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25">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25">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25">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25">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25">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25">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25">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25">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25">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25">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25">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25">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25">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25">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25">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25">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25">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25">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25">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25">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25">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25">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25">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25">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25">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25">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25">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25">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25">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25">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25">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25">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25">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25">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25">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25">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373" workbookViewId="0">
      <selection activeCell="A712" sqref="A712"/>
    </sheetView>
  </sheetViews>
  <sheetFormatPr defaultRowHeight="15" x14ac:dyDescent="0.25"/>
  <cols>
    <col min="1" max="1" width="17.8554687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76" bestFit="1" customWidth="1"/>
    <col min="10" max="10" width="80.85546875" bestFit="1" customWidth="1"/>
    <col min="11" max="11" width="40.7109375" bestFit="1" customWidth="1"/>
    <col min="12" max="12" width="18.7109375" bestFit="1" customWidth="1"/>
    <col min="13" max="13" width="44.28515625" bestFit="1" customWidth="1"/>
    <col min="14" max="14" width="17" bestFit="1" customWidth="1"/>
    <col min="15" max="15" width="30.140625" bestFit="1" customWidth="1"/>
    <col min="16" max="16" width="35.28515625" bestFit="1" customWidth="1"/>
    <col min="17" max="17" width="25.140625" bestFit="1" customWidth="1"/>
    <col min="18" max="18" width="19"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7.8554687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56.140625" bestFit="1" customWidth="1"/>
    <col min="38" max="38" width="80.85546875" bestFit="1" customWidth="1"/>
    <col min="39" max="39" width="19.7109375" bestFit="1" customWidth="1"/>
    <col min="40" max="40" width="15.28515625" bestFit="1" customWidth="1"/>
    <col min="41" max="41" width="17.8554687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140625" bestFit="1" customWidth="1"/>
  </cols>
  <sheetData>
    <row r="1" spans="1:50" x14ac:dyDescent="0.25">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25">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25">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25">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25">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25">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25">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25">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25">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25">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25">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25">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25">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25">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25">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25">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25">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25">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25">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25">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25">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25">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25">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25">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25">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25">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25">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25">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25">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25">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25">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25">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25">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25">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25">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25">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25">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25">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25">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25">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25">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25">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25">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25">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25">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25">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25">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25">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25">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25">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25">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25">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25">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25">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25">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25">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25">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25">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25">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25">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25">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25">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25">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25">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25">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25">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25">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25">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25">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25">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25">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25">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25">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25">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25">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25">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25">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25">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25">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25">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25">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25">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25">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25">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25">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25">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25">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25">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25">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25">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25">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25">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25">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25">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25">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25">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25">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25">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25">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25">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25">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25">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25">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25">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25">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25">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25">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25">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25">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25">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25">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25">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25">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25">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25">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25">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25">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25">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25">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25">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25">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25">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25">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25">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25">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25">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25">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25">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25">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25">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25">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25">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25">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25">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25">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25">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25">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25">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25">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25">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25">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25">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25">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25">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25">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25">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25">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25">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25">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25">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25">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25">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25">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25">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25">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25">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25">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25">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25">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25">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25">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25">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25">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25">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25">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25">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25">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25">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25">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25">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25">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25">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25">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25">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25">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25">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25">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25">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25">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25">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25">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25">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25">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25">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25">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25">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25">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25">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25">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25">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25">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25">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25">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25">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25">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25">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25">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25">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25">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25">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25">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25">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25">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25">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25">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25">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25">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25">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25">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25">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25">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25">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25">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25">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25">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25">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25">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25">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25">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25">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25">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25">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25">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25">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25">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25">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25">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25">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25">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25">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25">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25">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25">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25">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25">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25">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25">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25">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25">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25">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25">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25">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25">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25">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25">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25">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25">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25">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25">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25">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25">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25">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25">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25">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25">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25">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25">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25">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25">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25">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25">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25">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25">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25">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25">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25">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25">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25">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25">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25">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25">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25">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25">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25">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25">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25">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25">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25">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25">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25">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25">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25">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25">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25">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25">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25">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25">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25">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25">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25">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25">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25">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25">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25">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25">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25">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25">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25">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25">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25">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25">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25">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25">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25">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25">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25">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25">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25">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25">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25">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25">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25">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25">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25">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25">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25">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25">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25">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25">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25">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25">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25">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25">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25">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25">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25">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25">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25">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25">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25">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25">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25">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25">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25">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25">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25">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25">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25">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25">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25">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25">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25">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25">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25">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25">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25">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25">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25">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25">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25">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25">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25">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25">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25">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25">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25">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25">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25">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25">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25">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25">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25">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25">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25">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25">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25">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25">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25">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25">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25">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25">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25">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25">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25">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25">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25">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25">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25">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25">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25">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25">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25">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25">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25">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25">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25">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25">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25">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25">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25">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25">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25">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25">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25">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25">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25">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25">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25">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25">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25">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25">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25">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25">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25">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25">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25">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25">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25">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25">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25">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25">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25">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25">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25">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25">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25">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25">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25">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25">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25">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25">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25">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25">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25">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25">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25">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25">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25">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25">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25">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25">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25">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25">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25">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25">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25">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25">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25">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25">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25">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25">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25">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25">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25">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25">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25">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25">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25">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25">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25">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25">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25">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25">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25">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25">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25">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25">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25">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25">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25">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25">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25">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25">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25">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25">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25">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25">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25">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25">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25">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25">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25">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25">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25">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25">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25">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25">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25">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25">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25">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25">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25">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25">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25">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25">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25">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25">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25">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25">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25">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25">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25">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25">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25">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25">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25">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25">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25">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25">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25">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25">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25">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25">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25">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25">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25">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25">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25">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25">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25">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25">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25">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25">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25">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25">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25">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25">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25">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25">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25">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25">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25">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25">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25">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25">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25">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25">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25">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25">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25">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25">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25">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25">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25">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25">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25">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25">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25">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25">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25">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25">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25">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25">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25">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25">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25">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25">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25">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25">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25">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25">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25">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25">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25">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25">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25">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25">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25">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25">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25">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25">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25">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25">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25">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25">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25">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25">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25">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25">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25">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25">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25">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25">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25">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25">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25">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25">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25">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25">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25">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25">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25">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25">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25">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25">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25">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25">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25">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25">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25">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25">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25">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25">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25">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25">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25">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25">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25">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25">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25">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25">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25">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25">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25">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25">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25">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25">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25">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25">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25">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25">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25">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25">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25">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25">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25">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25">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25">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25">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25">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25">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25">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25">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25">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25">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25">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25">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25">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25">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25">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25">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25">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25">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25">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25">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25">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25">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25">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25">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25">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25">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25">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25">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25">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25">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25">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25">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25">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25">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25">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25">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25">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25">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25">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25">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25">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25">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25">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25">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25">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25">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25">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25">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25">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25">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25">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25">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25">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25">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25">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25">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25">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25">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25">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25">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25">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25">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25">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25">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25">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25">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25">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25">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25">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25">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25">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25">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25">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25">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25">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25">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25">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25">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25">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25">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25">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25">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25">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25">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25">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25">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25">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25">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25">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25">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25">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25">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25">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25">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25">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25">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25">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25">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25">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25">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25">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25">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5" x14ac:dyDescent="0.25"/>
  <cols>
    <col min="1" max="1" width="16.5703125" bestFit="1" customWidth="1"/>
    <col min="2" max="2" width="14.85546875" bestFit="1" customWidth="1"/>
    <col min="3" max="3" width="11.28515625" bestFit="1" customWidth="1"/>
    <col min="4" max="4" width="11.85546875" bestFit="1" customWidth="1"/>
    <col min="5" max="5" width="80.85546875" bestFit="1" customWidth="1"/>
    <col min="6" max="6" width="13.5703125" bestFit="1" customWidth="1"/>
    <col min="7" max="7" width="80" bestFit="1" customWidth="1"/>
    <col min="8" max="8" width="12" bestFit="1" customWidth="1"/>
    <col min="9" max="9" width="80" bestFit="1" customWidth="1"/>
    <col min="10" max="10" width="60.28515625" bestFit="1" customWidth="1"/>
    <col min="11" max="11" width="40.7109375" bestFit="1" customWidth="1"/>
    <col min="12" max="12" width="18.7109375" bestFit="1" customWidth="1"/>
    <col min="13" max="13" width="39.85546875" bestFit="1" customWidth="1"/>
    <col min="14" max="14" width="10.7109375" bestFit="1" customWidth="1"/>
    <col min="15" max="15" width="61.85546875" bestFit="1" customWidth="1"/>
    <col min="16" max="16" width="23" bestFit="1" customWidth="1"/>
    <col min="17" max="17" width="8.85546875" bestFit="1" customWidth="1"/>
    <col min="18" max="18" width="13.7109375" bestFit="1" customWidth="1"/>
    <col min="19" max="19" width="21.57031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8.5703125" bestFit="1" customWidth="1"/>
    <col min="30" max="30" width="21" bestFit="1" customWidth="1"/>
    <col min="31" max="31" width="21.140625" bestFit="1" customWidth="1"/>
    <col min="32" max="32" width="40.28515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11.85546875" bestFit="1" customWidth="1"/>
    <col min="41" max="41" width="16.7109375" bestFit="1" customWidth="1"/>
    <col min="42" max="42" width="23.7109375" bestFit="1" customWidth="1"/>
    <col min="43" max="43" width="7.28515625" bestFit="1" customWidth="1"/>
  </cols>
  <sheetData>
    <row r="1" spans="1:43" x14ac:dyDescent="0.25">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25">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25">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25">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25">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25">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25">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25">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25">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25">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25">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25">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25">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25">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25">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25">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25">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25">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25">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25">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25">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25">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25">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25">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25">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25">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25">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25">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25">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25">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25">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25">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25">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25">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25">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25">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25">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25">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25">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25">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25">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25">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25">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25">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25">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25">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25">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25">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25">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25">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25">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25">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25">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25">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25">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25">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25">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25">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25">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25">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25">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25">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25">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25">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25">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25">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25">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25">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25">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25">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25">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25">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25">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25">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25">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25">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25">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25">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25">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25">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25">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25">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25">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25">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25">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25">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25">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25">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25">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25">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25">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25">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25">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25">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25">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25">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25">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25">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25">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25">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25">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25">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25">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25">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25">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25">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25">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25">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25">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25">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25">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25">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25">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25">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25">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25">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25">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25">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25">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25">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25">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25">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25">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25">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25">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25">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25">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25">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25">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25">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25">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25">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25">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25">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25">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25">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25">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25">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25">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25">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25">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25">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25">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25">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25">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25">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25">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25">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25">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25">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25">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25">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25">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25">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25">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25">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25">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25">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25">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25">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25">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25">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25">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25">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25">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25">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25">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25">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25">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25">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25">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25">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25">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25">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25">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25">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25">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25">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25">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25">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25">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25">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25">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25">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25">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25">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25">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25">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25">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25">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25">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25">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25">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25">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25">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25">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25">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25">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25">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25">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25">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25">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25">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25">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25">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25">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25">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25">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25">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25">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25">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25">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25">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25">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25">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25">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25">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25">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25">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25">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25">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25">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25">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25">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25">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25">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25">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25">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25">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25">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25">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25">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25">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25">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25">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25">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25">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25">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25">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25">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25">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25">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25">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25">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25">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25">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25">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25">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25">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25">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25">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25">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25">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25">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25">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25">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25">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25">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25">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25">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25">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25">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25">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25">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25">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25">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25">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25">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25">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25">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25">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25">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25">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25">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25">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25">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25">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25">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25">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25">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25">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25">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25">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25">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25">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25">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25">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25">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25">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25">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25">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25">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25">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25">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25">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25">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25">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25">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25">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25">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25">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25">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25">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25">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25">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25">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25">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25">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25">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25">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25">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25">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25">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25">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25">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25">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25">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25">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25">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25">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25">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25">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25">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25">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25">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25">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25">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25">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25">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25">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25">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25">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25">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25">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25">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25">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25">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25">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25">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25">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25">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25">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25">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25">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25">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25">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25">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25">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25">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25">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25">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25">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25">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25">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25">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25">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25">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25">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25">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25">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25">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25">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25">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25">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25">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25">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25">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25">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25">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25">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25">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25">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25">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25">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25">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25">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25">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25">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25">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25">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25">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25">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25">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25">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25">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25">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25">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25">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25">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25">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25">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25">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25">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25">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25">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25">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25">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25">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25">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25">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25">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25">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25">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25">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25">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25">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25">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25">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25">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25">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25">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25">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25">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25">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25">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25">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25">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25">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25">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25">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25">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25">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25">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25">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25">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25">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25">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25">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25">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25">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25">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25">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25">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25">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25">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25">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25">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25">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25">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25">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25">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25">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25">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25">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25">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25">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25">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25">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25">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25">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25">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25">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25">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25">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25">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25">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25">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25">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25">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25">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25">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25">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25">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25">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25">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25">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25">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25">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25">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25">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25">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25">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25">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25">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25">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25">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25">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25">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25">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25">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25">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25">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25">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25">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25">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25">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25">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25">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25">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25">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25">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25">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25">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25">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25">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25">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25">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25">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25">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25">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25">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25">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25">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2025</vt:lpstr>
      <vt:lpstr>Metas Quadro</vt:lpstr>
      <vt:lpstr>QtdeMetas</vt:lpstr>
      <vt:lpstr>KPI</vt:lpstr>
      <vt:lpstr>Forecast</vt:lpstr>
      <vt:lpstr>||</vt:lpstr>
      <vt:lpstr>KPI-Metas</vt:lpstr>
      <vt:lpstr>FU - Vendas2026-fev</vt:lpstr>
      <vt:lpstr>FU - Vendas2026-jan</vt:lpstr>
      <vt:lpstr>AnaliseT1</vt:lpstr>
      <vt:lpstr>Resumo de Vendas</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2026-09-06T12:04:35Z</dcterms:modified>
</cp:coreProperties>
</file>