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2A0C93A5-F72D-4DC7-8E78-4E5B3411951E}" xr6:coauthVersionLast="47" xr6:coauthVersionMax="47" xr10:uidLastSave="{00000000-0000-0000-0000-000000000000}"/>
  <bookViews>
    <workbookView xWindow="-21720" yWindow="660" windowWidth="21840" windowHeight="13020"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2" l="1"/>
  <c r="C28" i="12"/>
  <c r="D28" i="12"/>
  <c r="C25" i="12"/>
  <c r="B25" i="12"/>
  <c r="B24" i="12"/>
  <c r="C24" i="12"/>
  <c r="D24" i="12"/>
  <c r="B28" i="12"/>
  <c r="L215" i="1"/>
  <c r="L214" i="1"/>
  <c r="I215" i="1"/>
  <c r="I214" i="1"/>
  <c r="L213" i="1"/>
  <c r="I213" i="1"/>
  <c r="L212" i="1"/>
  <c r="I212" i="1"/>
  <c r="L211" i="1"/>
  <c r="L210" i="1"/>
  <c r="L209" i="1"/>
  <c r="L208" i="1"/>
  <c r="L207" i="1"/>
  <c r="L206" i="1"/>
  <c r="L205" i="1"/>
  <c r="I206" i="1"/>
  <c r="I207" i="1"/>
  <c r="I208" i="1"/>
  <c r="I209" i="1"/>
  <c r="I210" i="1"/>
  <c r="I211" i="1"/>
  <c r="I205" i="1"/>
  <c r="L204" i="1"/>
  <c r="L203" i="1"/>
  <c r="L202" i="1"/>
  <c r="I204" i="1"/>
  <c r="I203" i="1"/>
  <c r="I202" i="1"/>
  <c r="L201" i="1"/>
  <c r="I201" i="1"/>
  <c r="L200" i="1"/>
  <c r="I200" i="1"/>
  <c r="L199" i="1"/>
  <c r="I199" i="1"/>
  <c r="I197" i="1"/>
  <c r="S57" i="4"/>
  <c r="S56" i="4"/>
  <c r="S55" i="4"/>
  <c r="S54" i="4"/>
  <c r="AB50" i="4"/>
  <c r="AC50" i="4"/>
  <c r="U57" i="4"/>
  <c r="U56" i="4"/>
  <c r="U55" i="4"/>
  <c r="U54" i="4"/>
  <c r="AC53" i="4"/>
  <c r="L198" i="1"/>
  <c r="L197" i="1"/>
  <c r="I198" i="1"/>
  <c r="L196" i="1"/>
  <c r="I196" i="1"/>
  <c r="L195" i="1"/>
  <c r="I195" i="1"/>
  <c r="I194" i="1"/>
  <c r="N194" i="1" s="1"/>
  <c r="L193" i="1"/>
  <c r="L192" i="1"/>
  <c r="I193" i="1"/>
  <c r="I192" i="1"/>
  <c r="I191" i="1"/>
  <c r="D29" i="12" l="1"/>
  <c r="B29" i="12"/>
  <c r="D25" i="12"/>
  <c r="O215" i="1"/>
  <c r="N215" i="1"/>
  <c r="J215" i="1"/>
  <c r="O214" i="1"/>
  <c r="N214" i="1"/>
  <c r="J214" i="1"/>
  <c r="O213" i="1"/>
  <c r="N213" i="1"/>
  <c r="J213" i="1"/>
  <c r="O212" i="1"/>
  <c r="J207" i="1"/>
  <c r="J208" i="1"/>
  <c r="J205" i="1"/>
  <c r="J206" i="1"/>
  <c r="N212" i="1"/>
  <c r="J212" i="1"/>
  <c r="J209" i="1"/>
  <c r="J210" i="1"/>
  <c r="O207" i="1"/>
  <c r="J211" i="1"/>
  <c r="O205" i="1"/>
  <c r="O211" i="1"/>
  <c r="O210" i="1"/>
  <c r="O209" i="1"/>
  <c r="O208" i="1"/>
  <c r="O206" i="1"/>
  <c r="O203" i="1"/>
  <c r="J202" i="1"/>
  <c r="O204" i="1"/>
  <c r="O202" i="1"/>
  <c r="J204" i="1"/>
  <c r="J203" i="1"/>
  <c r="N201" i="1"/>
  <c r="O201" i="1"/>
  <c r="J201" i="1"/>
  <c r="J200" i="1"/>
  <c r="O200" i="1"/>
  <c r="N200" i="1"/>
  <c r="O199" i="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AC48" i="4" l="1"/>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16" i="1"/>
  <c r="G216"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16" i="1"/>
  <c r="J41" i="1"/>
  <c r="J216" i="1" s="1"/>
  <c r="O41" i="1"/>
  <c r="N5" i="1"/>
  <c r="N6" i="1"/>
  <c r="D13" i="12"/>
  <c r="N7" i="1"/>
  <c r="N4" i="1"/>
  <c r="N8" i="1"/>
  <c r="D8" i="12"/>
  <c r="D4" i="12"/>
  <c r="N41" i="1"/>
  <c r="D5" i="12"/>
  <c r="O9" i="1"/>
  <c r="O4" i="1"/>
  <c r="O216" i="1" s="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16" i="1" l="1"/>
  <c r="D14" i="12"/>
  <c r="M473" i="2"/>
  <c r="M152" i="2"/>
  <c r="N152" i="2"/>
  <c r="N473" i="2" s="1"/>
  <c r="CX30" i="22" l="1"/>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<sst xmlns="http://schemas.openxmlformats.org/spreadsheetml/2006/main" count="101043" uniqueCount="6559">
  <si>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</si>
  <si>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</si>
  <si>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</si>
  <si>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</si>
  <si>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</si>
  <si>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</si>
  <si>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</si>
  <si>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</si>
  <si>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</si>
  <si>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</si>
  <si>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</si>
  <si>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</si>
  <si>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</si>
  <si>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</si>
  <si>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</si>
  <si>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</si>
  <si>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</si>
  <si>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</si>
  <si>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</si>
  <si>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</si>
  <si>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</si>
  <si>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</si>
  <si>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</si>
  <si>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</si>
  <si>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</si>
  <si>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</si>
  <si>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</si>
  <si>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</si>
  <si>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</si>
  <si>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</si>
  <si>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</si>
  <si>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</si>
  <si>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</si>
  <si>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</si>
  <si>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</si>
  <si>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</si>
  <si>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</si>
  <si>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</si>
  <si>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</si>
  <si>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</si>
  <si>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</si>
  <si>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</si>
  <si>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</si>
  <si>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</si>
  <si>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</si>
  <si>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</si>
  <si>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</si>
  <si>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</si>
  <si>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</si>
  <si>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</si>
  <si>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</si>
  <si>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</si>
  <si>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</si>
  <si>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</si>
  <si>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</si>
  <si>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</si>
  <si>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</si>
  <si>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</si>
  <si>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</si>
  <si>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</si>
  <si>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</si>
  <si>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</si>
  <si>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</si>
  <si>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</si>
  <si>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</si>
  <si>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</si>
  <si>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</si>
  <si>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</si>
  <si>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</si>
  <si>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</si>
  <si>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</si>
  <si>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</si>
  <si>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</si>
  <si>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</si>
  <si>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</si>
  <si>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</si>
  <si>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</si>
  <si>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</si>
  <si>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</si>
  <si>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</si>
  <si>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</si>
  <si>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</si>
  <si>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</si>
  <si>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</si>
  <si>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</si>
  <si>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</si>
  <si>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</si>
  <si>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</si>
  <si>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</si>
  <si>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</si>
  <si>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</si>
  <si>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</si>
  <si>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</si>
  <si>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</si>
  <si>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</si>
  <si>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</si>
  <si>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</si>
  <si>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</si>
  <si>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</si>
  <si>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</si>
  <si>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</si>
  <si>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</si>
  <si>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</si>
  <si>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</si>
  <si>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</si>
  <si>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</si>
  <si>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</si>
  <si>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</si>
  <si>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</si>
  <si>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</si>
  <si>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</si>
  <si>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</si>
  <si>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</si>
  <si>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</si>
  <si>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</si>
  <si>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</si>
  <si>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</si>
  <si>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</si>
  <si>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</si>
  <si>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</si>
  <si>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</si>
  <si>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</si>
  <si>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</si>
  <si>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</si>
  <si>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</si>
  <si>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</si>
  <si>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</si>
  <si>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</si>
  <si>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</si>
  <si>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</si>
  <si>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</si>
  <si>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</si>
  <si>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</si>
  <si>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</si>
  <si>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</si>
  <si>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</si>
  <si>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</si>
  <si>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</si>
  <si>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</si>
  <si>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</si>
  <si>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</si>
  <si>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</si>
  <si>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</si>
  <si>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</si>
  <si>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</si>
  <si>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</si>
  <si>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</si>
  <si>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</si>
  <si>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</si>
  <si>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</si>
  <si>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</si>
  <si>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</si>
  <si>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</si>
  <si>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</si>
  <si>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</si>
  <si>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</si>
  <si>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</si>
  <si>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</si>
  <si>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</si>
  <si>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</si>
  <si>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</si>
  <si>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</si>
  <si>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</si>
  <si>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</si>
  <si>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</si>
  <si>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</si>
  <si>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</si>
  <si>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</si>
  <si>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</si>
  <si>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</si>
  <si>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</si>
  <si>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</si>
  <si>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</si>
  <si>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</si>
  <si>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</si>
  <si>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</si>
  <si>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</si>
  <si>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</si>
  <si>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</si>
  <si>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</si>
  <si>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</si>
  <si>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</si>
  <si>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</si>
  <si>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</si>
  <si>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</si>
  <si>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</si>
  <si>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</si>
  <si>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</si>
  <si>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</si>
  <si>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</si>
  <si>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</si>
  <si>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</si>
  <si>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</si>
  <si>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</si>
  <si>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</si>
  <si>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</si>
  <si>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</si>
  <si>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</si>
  <si>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</si>
  <si>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</si>
  <si>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</si>
  <si>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</si>
  <si>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</si>
  <si>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</si>
  <si>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</si>
  <si>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</si>
  <si>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</si>
  <si>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</si>
  <si>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</si>
  <si>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</si>
  <si>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</si>
  <si>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</si>
  <si>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</si>
  <si>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</si>
  <si>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</si>
  <si>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</si>
  <si>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</si>
  <si>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</si>
  <si>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</si>
  <si>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</si>
  <si>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</si>
  <si>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</si>
  <si>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</si>
  <si>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</si>
  <si>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</si>
  <si>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</si>
  <si>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</si>
  <si>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</si>
  <si>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</si>
  <si>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</si>
  <si>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</si>
  <si>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</si>
  <si>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</si>
  <si>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</si>
  <si>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</si>
  <si>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</si>
  <si>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</si>
  <si>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</si>
  <si>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</si>
  <si>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</si>
  <si>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</si>
  <si>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</si>
  <si>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</si>
  <si>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</si>
  <si>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</si>
  <si>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</si>
  <si>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</si>
  <si>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</si>
  <si>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</si>
  <si>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</si>
  <si>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</si>
  <si>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</si>
  <si>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</si>
  <si>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</si>
  <si>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</si>
  <si>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</si>
  <si>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</si>
  <si>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</si>
  <si>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</si>
  <si>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</si>
  <si>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</si>
  <si>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</si>
  <si>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</si>
  <si>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</si>
  <si>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</si>
  <si>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</si>
  <si>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</si>
  <si>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</si>
  <si>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</si>
  <si>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</si>
  <si>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</si>
  <si>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</si>
  <si>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</si>
  <si>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</si>
  <si>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</si>
  <si>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</si>
  <si>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</si>
  <si>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</si>
  <si>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</si>
  <si>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</si>
  <si>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</si>
  <si>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</si>
  <si>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</si>
  <si>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</si>
  <si>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</si>
  <si>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</si>
  <si>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</si>
  <si>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</si>
  <si>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</si>
  <si>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</si>
  <si>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</si>
  <si>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</si>
  <si>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</si>
  <si>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</si>
  <si>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</si>
  <si>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</si>
  <si>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</si>
  <si>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</si>
  <si>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</si>
  <si>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</si>
  <si>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</si>
  <si>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</si>
  <si>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</si>
  <si>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</si>
  <si>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</si>
  <si>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</si>
  <si>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</si>
  <si>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</si>
  <si>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</si>
  <si>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</si>
  <si>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</si>
  <si>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</si>
  <si>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</si>
  <si>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</si>
  <si>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</si>
  <si>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</si>
  <si>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</si>
  <si>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</si>
  <si>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</si>
  <si>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</si>
  <si>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</si>
  <si>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</si>
  <si>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</si>
  <si>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</si>
  <si>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</si>
  <si>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</si>
  <si>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</si>
  <si>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</si>
  <si>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</si>
  <si>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</si>
  <si>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</si>
  <si>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</si>
  <si>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</si>
  <si>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</si>
  <si>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</si>
  <si>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</si>
  <si>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</si>
  <si>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</si>
  <si>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</si>
  <si>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</si>
  <si>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</si>
  <si>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</si>
  <si>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</si>
  <si>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</si>
  <si>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</si>
  <si>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</si>
  <si>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</si>
  <si>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</si>
  <si>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</si>
  <si>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</si>
  <si>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</si>
  <si>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</si>
  <si>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</si>
  <si>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</si>
  <si>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</si>
  <si>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</si>
  <si>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</si>
  <si>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</si>
  <si>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</si>
  <si>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</si>
  <si>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</si>
  <si>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</si>
  <si>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</si>
  <si>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</si>
  <si>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</si>
  <si>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</si>
  <si>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</si>
  <si>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</si>
  <si>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</si>
  <si>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</si>
  <si>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</si>
  <si>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</si>
  <si>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</si>
  <si>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</si>
  <si>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</si>
  <si>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</si>
  <si>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</si>
  <si>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</si>
  <si>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</si>
  <si>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</si>
  <si>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</si>
  <si>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</si>
  <si>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</si>
  <si>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</si>
  <si>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</si>
  <si>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</si>
  <si>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</si>
  <si>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</si>
  <si>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</si>
  <si>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</si>
  <si>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</si>
  <si>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</si>
  <si>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</si>
  <si>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</si>
  <si>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</si>
  <si>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</si>
  <si>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</si>
  <si>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</si>
  <si>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</si>
  <si>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</si>
  <si>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</si>
  <si>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</si>
  <si>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</si>
  <si>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</si>
  <si>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</si>
  <si>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</si>
  <si>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</si>
  <si>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</si>
  <si>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</si>
  <si>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</si>
  <si>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</si>
  <si>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</si>
  <si>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</si>
  <si>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</si>
  <si>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</si>
  <si>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</si>
  <si>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</si>
  <si>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</si>
  <si>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</si>
  <si>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</si>
  <si>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</si>
  <si>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</si>
  <si>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</si>
  <si>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</si>
  <si>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</si>
  <si>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</si>
  <si>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</si>
  <si>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</si>
  <si>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</si>
  <si>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</si>
  <si>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</si>
  <si>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</si>
  <si>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</si>
  <si>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</si>
  <si>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</si>
  <si>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</si>
  <si>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</si>
  <si>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</si>
  <si>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</si>
  <si>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</si>
  <si>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</si>
  <si>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</si>
  <si>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</si>
  <si>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</si>
  <si>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</si>
  <si>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</si>
  <si>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</si>
  <si>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</si>
  <si>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</si>
  <si>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</si>
  <si>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</si>
  <si>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</si>
  <si>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</si>
  <si>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</si>
  <si>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</si>
  <si>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</si>
  <si>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</si>
  <si>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</si>
  <si>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</si>
  <si>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</si>
  <si>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</si>
  <si>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</si>
  <si>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</si>
  <si>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</si>
  <si>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</si>
  <si>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</si>
  <si>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</si>
  <si>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</si>
  <si>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</si>
  <si>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</si>
  <si>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</si>
  <si>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</si>
  <si>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</si>
  <si>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</si>
  <si>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</si>
  <si>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</si>
  <si>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</si>
  <si>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</si>
  <si>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</si>
  <si>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</si>
  <si>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</si>
  <si>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</si>
  <si>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</si>
  <si>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</si>
  <si>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</si>
  <si>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</si>
  <si>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</si>
  <si>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</si>
  <si>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</si>
  <si>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</si>
  <si>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</si>
  <si>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</si>
  <si>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</si>
  <si>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</si>
  <si>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</si>
  <si>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</si>
  <si>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</si>
  <si>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</si>
  <si>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</si>
  <si>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</si>
  <si>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</si>
  <si>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</si>
  <si>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</si>
  <si>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</si>
  <si>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</si>
  <si>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</si>
  <si>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</si>
  <si>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</si>
  <si>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</si>
  <si>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</si>
  <si>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</si>
  <si>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</si>
  <si>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</si>
  <si>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</si>
  <si>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</si>
  <si>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</si>
  <si>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</si>
  <si>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</si>
  <si>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</si>
  <si>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</si>
  <si>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</si>
  <si>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</si>
  <si>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</si>
  <si>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</si>
  <si>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</si>
  <si>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</si>
  <si>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</si>
  <si>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</si>
  <si>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</si>
  <si>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</si>
  <si>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</si>
  <si>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</si>
  <si>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</si>
  <si>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</si>
  <si>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</si>
  <si>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</si>
  <si>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</si>
  <si>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</si>
  <si>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</si>
  <si>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</si>
  <si>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</si>
  <si>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</si>
  <si>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</si>
  <si>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</si>
  <si>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</si>
  <si>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</si>
  <si>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</si>
  <si>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</si>
  <si>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</si>
  <si>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</si>
  <si>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</si>
  <si>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</si>
  <si>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</si>
  <si>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</si>
  <si>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</si>
  <si>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</si>
  <si>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</si>
  <si>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</si>
  <si>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</si>
  <si>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</si>
  <si>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</si>
  <si>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</si>
  <si>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</si>
  <si>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</si>
  <si>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</si>
  <si>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</si>
  <si>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</si>
  <si>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</si>
  <si>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</si>
  <si>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</si>
  <si>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</si>
  <si>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</si>
  <si>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</si>
  <si>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</si>
  <si>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</si>
  <si>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</si>
  <si>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</si>
  <si>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</si>
  <si>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</si>
  <si>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</si>
  <si>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</si>
  <si>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</si>
  <si>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</si>
  <si>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</si>
  <si>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</si>
  <si>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</si>
  <si>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</si>
  <si>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</si>
  <si>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</si>
  <si>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</si>
  <si>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</si>
  <si>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</si>
  <si>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</si>
  <si>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</si>
  <si>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</si>
  <si>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</si>
  <si>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</si>
  <si>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</si>
  <si>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</si>
  <si>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</si>
  <si>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</si>
  <si>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</si>
  <si>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</si>
  <si>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</si>
  <si>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</si>
  <si>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</si>
  <si>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</si>
  <si>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</si>
  <si>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</si>
  <si>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</si>
  <si>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</si>
  <si>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</si>
  <si>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</si>
  <si>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</si>
  <si>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</si>
  <si>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</si>
  <si>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</si>
  <si>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</si>
  <si>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</si>
  <si>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</si>
  <si>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</si>
  <si>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</si>
  <si>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</si>
  <si>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</si>
  <si>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</si>
  <si>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</si>
  <si>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</si>
  <si>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</si>
  <si>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</si>
  <si>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</si>
  <si>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</si>
  <si>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</si>
  <si>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</si>
  <si>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</si>
  <si>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</si>
  <si>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</si>
  <si>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</si>
  <si>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</si>
  <si>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</si>
  <si>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</si>
  <si>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</si>
  <si>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</si>
  <si>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</si>
  <si>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</si>
  <si>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</si>
  <si>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</si>
  <si>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</si>
  <si>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</si>
  <si>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</si>
  <si>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</si>
  <si>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</si>
  <si>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</si>
  <si>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</si>
  <si>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</si>
  <si>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</si>
  <si>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</si>
  <si>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</si>
  <si>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</si>
  <si>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</si>
  <si>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</si>
  <si>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</si>
  <si>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</si>
  <si>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</si>
  <si>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</si>
  <si>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</si>
  <si>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</si>
  <si>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</si>
  <si>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</si>
  <si>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</si>
  <si>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</si>
  <si>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</si>
  <si>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</si>
  <si>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</si>
  <si>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</si>
  <si>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</si>
  <si>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</si>
  <si>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</si>
  <si>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</si>
  <si>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</si>
  <si>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</si>
  <si>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</si>
  <si>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</si>
  <si>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</si>
  <si>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</si>
  <si>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</si>
  <si>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</si>
  <si>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</si>
  <si>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</si>
  <si>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</si>
  <si>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</si>
  <si>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</si>
  <si>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</si>
  <si>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</si>
  <si>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</si>
  <si>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</si>
  <si>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</si>
  <si>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</si>
  <si>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</si>
  <si>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</si>
  <si>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</si>
  <si>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</si>
  <si>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</si>
  <si>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</si>
  <si>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</si>
  <si>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</si>
  <si>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</si>
  <si>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</si>
  <si>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</si>
  <si>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</si>
  <si>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</si>
  <si>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</si>
  <si>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</si>
  <si>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</si>
  <si>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</si>
  <si>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</si>
  <si>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</si>
  <si>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</si>
  <si>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</si>
  <si>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</si>
  <si>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</si>
  <si>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</si>
  <si>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</si>
  <si>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</si>
  <si>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</si>
  <si>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</si>
  <si>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</si>
  <si>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</si>
  <si>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</si>
  <si>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</si>
  <si>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</si>
  <si>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</si>
  <si>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</si>
  <si>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</si>
  <si>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</si>
  <si>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</si>
  <si>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</si>
  <si>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</si>
  <si>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</si>
  <si>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</si>
  <si>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</si>
  <si>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</si>
  <si>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</si>
  <si>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</si>
  <si>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</si>
  <si>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</si>
  <si>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</si>
  <si>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</si>
  <si>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</si>
  <si>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</si>
  <si>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</si>
  <si>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</si>
  <si>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</si>
  <si>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</si>
  <si>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</si>
  <si>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</si>
  <si>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</si>
  <si>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</si>
  <si>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</si>
  <si>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</si>
  <si>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</si>
  <si>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</si>
  <si>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</si>
  <si>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</si>
  <si>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</si>
  <si>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</si>
  <si>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</si>
  <si>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</si>
  <si>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</si>
  <si>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</si>
  <si>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</si>
  <si>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</si>
  <si>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</si>
  <si>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</si>
  <si>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</si>
  <si>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</si>
  <si>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</si>
  <si>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</si>
  <si>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</si>
  <si>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</si>
  <si>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</si>
  <si>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</si>
  <si>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</si>
  <si>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</si>
  <si>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</si>
  <si>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</si>
  <si>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</si>
  <si>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</si>
  <si>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</si>
  <si>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</si>
  <si>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</si>
  <si>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</si>
  <si>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</si>
  <si>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</si>
  <si>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</si>
  <si>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</si>
  <si>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</si>
  <si>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</si>
  <si>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</si>
  <si>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</si>
  <si>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</si>
  <si>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</si>
  <si>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</si>
  <si>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</si>
  <si>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</si>
  <si>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</si>
  <si>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</si>
  <si>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</si>
  <si>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</si>
  <si>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</si>
  <si>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</si>
  <si>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</si>
  <si>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</si>
  <si>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</si>
  <si>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</si>
  <si>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</si>
  <si>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</si>
  <si>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</si>
  <si>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</si>
  <si>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</si>
  <si>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</si>
  <si>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</si>
  <si>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</si>
  <si>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</si>
  <si>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</si>
  <si>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</si>
  <si>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</si>
  <si>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</si>
  <si>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</si>
  <si>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</si>
  <si>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</si>
  <si>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</si>
  <si>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</si>
  <si>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</si>
  <si>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</si>
  <si>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</si>
  <si>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</si>
  <si>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</si>
  <si>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</si>
  <si>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</si>
  <si>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</si>
  <si>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</si>
  <si>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</si>
  <si>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</si>
  <si>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</si>
  <si>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</si>
  <si>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</si>
  <si>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</si>
  <si>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</si>
  <si>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</si>
  <si>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</si>
  <si>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</si>
  <si>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</si>
  <si>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</si>
  <si>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</si>
  <si>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</si>
  <si>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</si>
  <si>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</si>
  <si>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</si>
  <si>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</si>
  <si>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</si>
  <si>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</si>
  <si>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</si>
  <si>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</si>
  <si>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</si>
  <si>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</si>
  <si>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</si>
  <si>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</si>
  <si>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</si>
  <si>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</si>
  <si>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</si>
  <si>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</si>
  <si>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</si>
  <si>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</si>
  <si>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</si>
  <si>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</si>
  <si>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</si>
  <si>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</si>
  <si>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</si>
  <si>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</si>
  <si>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</si>
  <si>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</si>
  <si>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</si>
  <si>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</si>
  <si>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</si>
  <si>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</si>
  <si>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</si>
  <si>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</si>
  <si>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</si>
  <si>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</si>
  <si>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</si>
  <si>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</si>
  <si>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</si>
  <si>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</si>
  <si>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</si>
  <si>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</si>
  <si>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</si>
  <si>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</si>
  <si>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</si>
  <si>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</si>
  <si>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</si>
  <si>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</si>
  <si>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</si>
  <si>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</si>
  <si>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</si>
  <si>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</si>
  <si>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</si>
  <si>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</si>
  <si>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</si>
  <si>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</si>
  <si>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</si>
  <si>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</si>
  <si>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</si>
  <si>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</si>
  <si>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</si>
  <si>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</si>
  <si>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</si>
  <si>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</si>
  <si>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</si>
  <si>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</si>
  <si>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</si>
  <si>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</si>
  <si>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</si>
  <si>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</si>
  <si>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</si>
  <si>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</si>
  <si>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</si>
  <si>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</si>
  <si>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</si>
  <si>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</si>
  <si>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</si>
  <si>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</si>
  <si>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</si>
  <si>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</si>
  <si>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</si>
  <si>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</si>
  <si>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</si>
  <si>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</si>
  <si>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</si>
  <si>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</si>
  <si>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</si>
  <si>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</si>
  <si>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</si>
  <si>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</si>
  <si>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</si>
  <si>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</si>
  <si>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</si>
  <si>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</si>
  <si>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</si>
  <si>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</si>
  <si>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</si>
  <si>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</si>
  <si>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</si>
  <si>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</si>
  <si>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</si>
  <si>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</si>
  <si>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</si>
  <si>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</si>
  <si>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</si>
  <si>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</si>
  <si>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</si>
  <si>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</si>
  <si>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</si>
  <si>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</si>
  <si>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</si>
  <si>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</si>
  <si>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</si>
  <si>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</si>
  <si>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</si>
  <si>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</si>
  <si>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</si>
  <si>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</si>
  <si>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</si>
  <si>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</si>
  <si>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</si>
  <si>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</si>
  <si>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</si>
  <si>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</si>
  <si>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</si>
  <si>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</si>
  <si>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</si>
  <si>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</si>
  <si>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</si>
  <si>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</si>
  <si>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</si>
  <si>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</si>
  <si>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</si>
  <si>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</si>
  <si>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</si>
  <si>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</si>
  <si>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</si>
  <si>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</si>
  <si>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</si>
  <si>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</si>
  <si>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</si>
  <si>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</si>
  <si>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</si>
  <si>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</si>
  <si>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</si>
  <si>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</si>
  <si>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</si>
  <si>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</si>
  <si>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</si>
  <si>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</si>
  <si>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</si>
  <si>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</si>
  <si>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</si>
  <si>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</si>
  <si>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</si>
  <si>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</si>
  <si>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</si>
  <si>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</si>
  <si>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</si>
  <si>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</si>
  <si>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</si>
  <si>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</si>
  <si>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</si>
  <si>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</si>
  <si>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</si>
  <si>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</si>
  <si>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</si>
  <si>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</si>
  <si>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</si>
  <si>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</si>
  <si>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</si>
  <si>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</si>
  <si>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</si>
  <si>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</si>
  <si>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</si>
  <si>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</si>
  <si>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</si>
  <si>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</si>
  <si>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</si>
  <si>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</si>
  <si>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</si>
  <si>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</si>
  <si>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</si>
  <si>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</si>
  <si>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</si>
  <si>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</si>
  <si>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</si>
  <si>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</si>
  <si>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</si>
  <si>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</si>
  <si>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</si>
  <si>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</si>
  <si>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</si>
  <si>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</si>
  <si>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</si>
  <si>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</si>
  <si>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</si>
  <si>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</si>
  <si>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</si>
  <si>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</si>
  <si>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</si>
  <si>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</si>
  <si>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</si>
  <si>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</si>
  <si>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</si>
  <si>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</si>
  <si>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</si>
  <si>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</si>
  <si>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</si>
  <si>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</si>
  <si>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</si>
  <si>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</si>
  <si>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</si>
  <si>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</si>
  <si>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</si>
  <si>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</si>
  <si>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</si>
  <si>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</si>
  <si>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</si>
  <si>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</si>
  <si>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</si>
  <si>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</si>
  <si>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</si>
  <si>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</si>
  <si>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</si>
  <si>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</si>
  <si>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</si>
  <si>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</si>
  <si>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</si>
  <si>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</si>
  <si>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</si>
  <si>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</si>
  <si>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</si>
  <si>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</si>
  <si>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</si>
  <si>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</si>
  <si>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</si>
  <si>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</si>
  <si>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</si>
  <si>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</si>
  <si>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</si>
  <si>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</si>
  <si>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</si>
  <si>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</si>
  <si>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</si>
  <si>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</si>
  <si>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</si>
  <si>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</si>
  <si>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</si>
  <si>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</si>
  <si>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</si>
  <si>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</si>
  <si>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</si>
  <si>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</si>
  <si>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</si>
  <si>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</si>
  <si>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</si>
  <si>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</si>
  <si>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</si>
  <si>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</si>
  <si>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</si>
  <si>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</si>
  <si>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</si>
  <si>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</si>
  <si>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</si>
  <si>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</si>
  <si>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</si>
  <si>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</si>
  <si>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</si>
  <si>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</si>
  <si>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</si>
  <si>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</si>
  <si>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</si>
  <si>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</si>
  <si>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</si>
  <si>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</si>
  <si>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</si>
  <si>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</si>
  <si>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</si>
  <si>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</si>
  <si>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</si>
  <si>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</si>
  <si>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</si>
  <si>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</si>
  <si>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</si>
  <si>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</si>
  <si>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</si>
  <si>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</si>
  <si>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</si>
  <si>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</si>
  <si>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</si>
  <si>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</si>
  <si>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</si>
  <si>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</si>
  <si>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</si>
  <si>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</si>
  <si>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</si>
  <si>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</si>
  <si>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</si>
  <si>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</si>
  <si>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</si>
  <si>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</si>
  <si>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</si>
  <si>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</si>
  <si>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</si>
  <si>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</si>
  <si>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</si>
  <si>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</si>
  <si>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</si>
  <si>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</si>
  <si>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</si>
  <si>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</si>
  <si>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</si>
  <si>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</si>
  <si>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</si>
  <si>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</si>
  <si>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</si>
  <si>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</si>
  <si>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</si>
  <si>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</si>
  <si>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</si>
  <si>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</si>
  <si>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</si>
  <si>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</si>
  <si>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</si>
  <si>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</si>
  <si>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</si>
  <si>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</si>
  <si>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</si>
  <si>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</si>
  <si>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</si>
  <si>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</si>
  <si>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</si>
  <si>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</si>
  <si>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</si>
  <si>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</si>
  <si>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</si>
  <si>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</si>
  <si>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</si>
  <si>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</si>
  <si>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</si>
  <si>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</si>
  <si>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</si>
  <si>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</si>
  <si>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</si>
  <si>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</si>
  <si>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</si>
  <si>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</si>
  <si>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</si>
  <si>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</si>
  <si>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</si>
  <si>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</si>
  <si>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</si>
  <si>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</si>
  <si>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</si>
  <si>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</si>
  <si>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</si>
  <si>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</si>
  <si>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</si>
  <si>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</si>
  <si>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</si>
  <si>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</si>
  <si>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</si>
  <si>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</si>
  <si>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</si>
  <si>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</si>
  <si>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</si>
  <si>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</si>
  <si>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</si>
  <si>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</si>
  <si>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</si>
  <si>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</si>
  <si>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</si>
  <si>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</si>
  <si>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</si>
  <si>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</si>
  <si>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</si>
  <si>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</si>
  <si>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</si>
  <si>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</si>
  <si>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</si>
  <si>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</si>
  <si>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</si>
  <si>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</si>
  <si>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</si>
  <si>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</si>
  <si>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</si>
  <si>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</si>
  <si>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</si>
  <si>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</si>
  <si>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</si>
  <si>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</si>
  <si>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</si>
  <si>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</si>
  <si>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</si>
  <si>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</si>
  <si>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</si>
  <si>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</si>
  <si>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</si>
  <si>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</si>
  <si>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</si>
  <si>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</si>
  <si>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</si>
  <si>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</si>
  <si>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</si>
  <si>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</si>
  <si>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</si>
  <si>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</si>
  <si>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</si>
  <si>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</si>
  <si>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</si>
  <si>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</si>
  <si>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</si>
  <si>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</si>
  <si>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</si>
  <si>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</si>
  <si>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</si>
  <si>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</si>
  <si>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</si>
  <si>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</si>
  <si>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</si>
  <si>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</si>
  <si>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</si>
  <si>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</si>
  <si>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</si>
  <si>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</si>
  <si>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</si>
  <si>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</si>
  <si>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</si>
  <si>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</si>
  <si>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</si>
  <si>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</si>
  <si>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</si>
  <si>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</si>
  <si>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</si>
  <si>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</si>
  <si>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</si>
  <si>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</si>
  <si>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</si>
  <si>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</si>
  <si>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</si>
  <si>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</si>
  <si>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</si>
  <si>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</si>
  <si>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</si>
  <si>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</si>
  <si>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</si>
  <si>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</si>
  <si>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</si>
  <si>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</si>
  <si>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</si>
  <si>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</si>
  <si>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</si>
  <si>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</si>
  <si>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</si>
  <si>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</si>
  <si>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</si>
  <si>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</si>
  <si>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</si>
  <si>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</si>
  <si>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</si>
  <si>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</si>
  <si>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</si>
  <si>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</si>
  <si>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</si>
  <si>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</si>
  <si>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</si>
  <si>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</si>
  <si>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</si>
  <si>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</si>
  <si>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</si>
  <si>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</si>
  <si>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</si>
  <si>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</si>
  <si>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</si>
  <si>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</si>
  <si>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</si>
  <si>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</si>
  <si>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</si>
  <si>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</si>
  <si>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</si>
  <si>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</si>
  <si>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</si>
  <si>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</si>
  <si>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</si>
  <si>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</si>
  <si>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</si>
  <si>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</si>
  <si>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</si>
  <si>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</si>
  <si>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</si>
  <si>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</si>
  <si>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</si>
  <si>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</si>
  <si>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</si>
  <si>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</si>
  <si>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</si>
  <si>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</si>
  <si>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</si>
  <si>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</si>
  <si>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</si>
  <si>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</si>
  <si>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</si>
  <si>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</si>
  <si>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</si>
  <si>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</si>
  <si>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</si>
  <si>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</si>
  <si>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</si>
  <si>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</si>
  <si>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</si>
  <si>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</si>
  <si>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</si>
  <si>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</si>
  <si>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</si>
  <si>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</si>
  <si>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</si>
  <si>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</si>
  <si>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</si>
  <si>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</si>
  <si>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</si>
  <si>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</si>
  <si>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</si>
  <si>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</si>
  <si>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</si>
  <si>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</si>
  <si>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</si>
  <si>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</si>
  <si>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</si>
  <si>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</si>
  <si>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</si>
  <si>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</si>
  <si>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</si>
  <si>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</si>
  <si>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</si>
  <si>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</si>
  <si>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</si>
  <si>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</si>
  <si>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</si>
  <si>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</si>
  <si>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</si>
  <si>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</si>
  <si>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</si>
  <si>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</si>
  <si>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</si>
  <si>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</si>
  <si>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</si>
  <si>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</si>
  <si>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</si>
  <si>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</si>
  <si>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</si>
  <si>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</si>
  <si>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</si>
  <si>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</si>
  <si>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</si>
  <si>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</si>
  <si>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</si>
  <si>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</si>
  <si>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</si>
  <si>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</si>
  <si>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</si>
  <si>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</si>
  <si>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</si>
  <si>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</si>
  <si>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</si>
  <si>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</si>
  <si>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</si>
  <si>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</si>
  <si>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</si>
  <si>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</si>
  <si>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</si>
  <si>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</si>
  <si>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</si>
  <si>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</si>
  <si>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</si>
  <si>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</si>
  <si>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</si>
  <si>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</si>
  <si>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</si>
  <si>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</si>
  <si>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</si>
  <si>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</si>
  <si>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</si>
  <si>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</si>
  <si>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</si>
  <si>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</si>
  <si>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</si>
  <si>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</si>
  <si>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</si>
  <si>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</si>
  <si>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</si>
  <si>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</si>
  <si>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</si>
  <si>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</si>
  <si>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</si>
  <si>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</si>
  <si>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</si>
  <si>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</si>
  <si>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</si>
  <si>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</si>
  <si>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</si>
  <si>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</si>
  <si>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</si>
  <si>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</si>
  <si>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</si>
  <si>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</si>
  <si>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</si>
  <si>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</si>
  <si>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</si>
  <si>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</si>
  <si>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</si>
  <si>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</si>
  <si>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</si>
  <si>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</si>
  <si>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</si>
  <si>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</si>
  <si>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</si>
  <si>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</si>
  <si>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</si>
  <si>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</si>
  <si>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</si>
  <si>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</si>
  <si>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</si>
  <si>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</si>
  <si>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</si>
  <si>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</si>
  <si>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</si>
  <si>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</si>
  <si>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</si>
  <si>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</si>
  <si>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</si>
  <si>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</si>
  <si>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</si>
  <si>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</si>
  <si>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</si>
  <si>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</si>
  <si>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</si>
  <si>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</si>
  <si>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</si>
  <si>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</si>
  <si>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</si>
  <si>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</si>
  <si>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</si>
  <si>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</si>
  <si>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</si>
  <si>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</si>
  <si>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</si>
  <si>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</si>
  <si>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</si>
  <si>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</si>
  <si>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</si>
  <si>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</si>
  <si>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</si>
  <si>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</si>
  <si>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</si>
  <si>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</si>
  <si>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</si>
  <si>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</si>
  <si>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</si>
  <si>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</si>
  <si>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</si>
  <si>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</si>
  <si>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</si>
  <si>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</si>
  <si>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</si>
  <si>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</si>
  <si>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</si>
  <si>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</si>
  <si>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</si>
  <si>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</si>
  <si>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</si>
  <si>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</si>
  <si>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</si>
  <si>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</si>
  <si>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</si>
  <si>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</si>
  <si>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</si>
  <si>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</si>
  <si>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</si>
  <si>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</si>
  <si>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</si>
  <si>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</si>
  <si>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</si>
  <si>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</si>
  <si>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</si>
  <si>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</si>
  <si>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</si>
  <si>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</si>
  <si>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</si>
  <si>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</si>
  <si>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</si>
  <si>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</si>
  <si>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</si>
  <si>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</si>
  <si>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</si>
  <si>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</si>
  <si>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</si>
  <si>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</si>
  <si>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</si>
  <si>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</si>
  <si>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</si>
  <si>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</si>
  <si>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</si>
  <si>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</si>
  <si>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</si>
  <si>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</si>
  <si>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</si>
  <si>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</si>
  <si>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</si>
  <si>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</si>
  <si>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</si>
  <si>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</si>
  <si>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</si>
  <si>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</si>
  <si>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</si>
  <si>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</si>
  <si>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</si>
  <si>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</si>
  <si>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</si>
  <si>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</si>
  <si>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</si>
  <si>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</si>
  <si>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</si>
  <si>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</si>
  <si>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</si>
  <si>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</si>
  <si>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</si>
  <si>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</si>
  <si>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</si>
  <si>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</si>
  <si>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</si>
  <si>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</si>
  <si>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</si>
  <si>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</si>
  <si>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</si>
  <si>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</si>
  <si>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</si>
  <si>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</si>
  <si>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</si>
  <si>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</si>
  <si>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</si>
  <si>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</si>
  <si>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</si>
  <si>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</si>
  <si>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</si>
  <si>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</si>
  <si>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</si>
  <si>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</si>
  <si>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</si>
  <si>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</si>
  <si>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</si>
  <si>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</si>
  <si>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</si>
  <si>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</si>
  <si>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</si>
  <si>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</si>
  <si>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</si>
  <si>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</si>
  <si>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</si>
  <si>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</si>
  <si>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</si>
  <si>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</si>
  <si>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</si>
  <si>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</si>
  <si>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</si>
  <si>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</si>
  <si>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</si>
  <si>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</si>
  <si>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</si>
  <si>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</si>
  <si>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</si>
  <si>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</si>
  <si>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</si>
  <si>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</si>
  <si>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</si>
  <si>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</si>
  <si>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</si>
  <si>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</si>
  <si>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</si>
  <si>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</si>
  <si>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</si>
  <si>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</si>
  <si>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</si>
  <si>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</si>
  <si>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</si>
  <si>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</si>
  <si>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</si>
  <si>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</si>
  <si>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</si>
  <si>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</si>
  <si>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</si>
  <si>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</si>
  <si>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</si>
  <si>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</si>
  <si>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</si>
  <si>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</si>
  <si>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</si>
  <si>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</si>
  <si>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</si>
  <si>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</si>
  <si>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</si>
  <si>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</si>
  <si>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</si>
  <si>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</si>
  <si>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</si>
  <si>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</si>
  <si>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</si>
  <si>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</si>
  <si>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</si>
  <si>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</si>
  <si>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</si>
  <si>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</si>
  <si>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</si>
  <si>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</si>
  <si>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</si>
  <si>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</si>
  <si>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</si>
  <si>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</si>
  <si>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</si>
  <si>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</si>
  <si>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</si>
  <si>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</si>
  <si>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</si>
  <si>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</si>
  <si>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</si>
  <si>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</si>
  <si>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</si>
  <si>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</si>
  <si>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</si>
  <si>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</si>
  <si>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</si>
  <si>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</si>
  <si>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</si>
  <si>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</si>
  <si>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</si>
  <si>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</si>
  <si>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</si>
  <si>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</si>
  <si>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</si>
  <si>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</si>
  <si>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</si>
  <si>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</si>
  <si>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</si>
  <si>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</si>
  <si>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</si>
  <si>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</si>
  <si>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</si>
  <si>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</si>
  <si>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</si>
  <si>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</si>
  <si>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</si>
  <si>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</si>
  <si>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</si>
  <si>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</si>
  <si>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</si>
  <si>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</si>
  <si>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</si>
  <si>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</si>
  <si>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</si>
  <si>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</si>
  <si>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</si>
  <si>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</si>
  <si>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</si>
  <si>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</si>
  <si>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</si>
  <si>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</si>
  <si>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</si>
  <si>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</si>
  <si>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</si>
  <si>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</si>
  <si>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</si>
  <si>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</si>
  <si>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</si>
  <si>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</si>
  <si>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</si>
  <si>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</si>
  <si>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</si>
  <si>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</si>
  <si>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</si>
  <si>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</si>
  <si>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</si>
  <si>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</si>
  <si>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</si>
  <si>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</si>
  <si>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</si>
  <si>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</si>
  <si>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</si>
  <si>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</si>
  <si>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</si>
  <si>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</si>
  <si>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</si>
  <si>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</si>
  <si>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</si>
  <si>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</si>
  <si>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</si>
  <si>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</si>
  <si>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</si>
  <si>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</si>
  <si>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</si>
  <si>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</si>
  <si>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</si>
  <si>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</si>
  <si>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</si>
  <si>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</si>
  <si>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</si>
  <si>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</si>
  <si>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</si>
  <si>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</si>
  <si>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</si>
  <si>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</si>
  <si>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</si>
  <si>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</si>
  <si>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</si>
  <si>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</si>
  <si>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</si>
  <si>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</si>
  <si>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</si>
  <si>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</si>
  <si>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</si>
  <si>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</si>
  <si>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</si>
  <si>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</si>
  <si>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</si>
  <si>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</si>
  <si>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</si>
  <si>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</si>
  <si>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</si>
  <si>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</si>
  <si>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</si>
  <si>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</si>
  <si>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</si>
  <si>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</si>
  <si>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</si>
  <si>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</si>
  <si>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</si>
  <si>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</si>
  <si>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</si>
  <si>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</si>
  <si>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</si>
  <si>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</si>
  <si>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</si>
  <si>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</si>
  <si>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</si>
  <si>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</si>
  <si>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</si>
  <si>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</si>
  <si>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</si>
  <si>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</si>
  <si>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</si>
  <si>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</si>
  <si>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</si>
  <si>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</si>
  <si>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</si>
  <si>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</si>
  <si>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</si>
  <si>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</si>
  <si>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</si>
  <si>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</si>
  <si>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</si>
  <si>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</si>
  <si>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</si>
  <si>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</si>
  <si>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</si>
  <si>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</si>
  <si>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</si>
  <si>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</si>
  <si>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</si>
  <si>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</si>
  <si>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</si>
  <si>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</si>
  <si>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</si>
  <si>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</si>
  <si>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</si>
  <si>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</si>
  <si>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</si>
  <si>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</si>
  <si>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</si>
  <si>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</si>
  <si>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</si>
  <si>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</si>
  <si>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</si>
  <si>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</si>
  <si>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</si>
  <si>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</si>
  <si>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</si>
  <si>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</si>
  <si>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</si>
  <si>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</si>
  <si>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</si>
  <si>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</si>
  <si>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</si>
  <si>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</si>
  <si>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</si>
  <si>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</si>
  <si>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</si>
  <si>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</si>
  <si>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</si>
  <si>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</si>
  <si>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</si>
  <si>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</si>
  <si>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</si>
  <si>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</si>
  <si>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</si>
  <si>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</si>
  <si>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</si>
  <si>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</si>
  <si>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</si>
  <si>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</si>
  <si>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</si>
  <si>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</si>
  <si>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</si>
  <si>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</si>
  <si>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</si>
  <si>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</si>
  <si>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</si>
  <si>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</si>
  <si>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</si>
  <si>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</si>
  <si>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</si>
  <si>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</si>
  <si>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</si>
  <si>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</si>
  <si>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</si>
  <si>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</si>
  <si>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</si>
  <si>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</si>
  <si>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</si>
  <si>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</si>
  <si>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</si>
  <si>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</si>
  <si>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</si>
  <si>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</si>
  <si>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</si>
  <si>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</si>
  <si>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</si>
  <si>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</si>
  <si>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</si>
  <si>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</si>
  <si>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</si>
  <si>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</si>
  <si>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</si>
  <si>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</si>
  <si>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</si>
  <si>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</si>
  <si>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</si>
  <si>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</si>
  <si>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</si>
  <si>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</si>
  <si>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</si>
  <si>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</si>
  <si>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</si>
  <si>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</si>
  <si>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</si>
  <si>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</si>
  <si>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</si>
  <si>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</si>
  <si>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</si>
  <si>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</si>
  <si>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</si>
  <si>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</si>
  <si>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</si>
  <si>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</si>
  <si>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</si>
  <si>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</si>
  <si>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</si>
  <si>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</si>
  <si>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</si>
  <si>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</si>
  <si>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</si>
  <si>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</si>
  <si>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</si>
  <si>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</si>
  <si>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</si>
  <si>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</si>
  <si>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</si>
  <si>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</si>
  <si>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</si>
  <si>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</si>
  <si>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</si>
  <si>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</si>
  <si>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</si>
  <si>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</si>
  <si>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</si>
  <si>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</si>
  <si>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</si>
  <si>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</si>
  <si>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</si>
  <si>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</si>
  <si>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</si>
  <si>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</si>
  <si>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</si>
  <si>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</si>
  <si>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</si>
  <si>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</si>
  <si>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</si>
  <si>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</si>
  <si>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</si>
  <si>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</si>
  <si>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</si>
  <si>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</si>
  <si>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</si>
  <si>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</si>
  <si>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</si>
  <si>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</si>
  <si>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</si>
  <si>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</si>
  <si>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</si>
  <si>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</si>
  <si>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</si>
  <si>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</si>
  <si>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</si>
  <si>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</si>
  <si>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</si>
  <si>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</si>
  <si>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</si>
  <si>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</si>
  <si>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</si>
  <si>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</si>
  <si>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</si>
  <si>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</si>
  <si>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</si>
  <si>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</si>
  <si>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</si>
  <si>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</si>
  <si>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</si>
  <si>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</si>
  <si>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</si>
  <si>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</si>
  <si>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</si>
  <si>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</si>
  <si>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</si>
  <si>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</si>
  <si>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</si>
  <si>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</si>
  <si>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</si>
  <si>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</si>
  <si>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</si>
  <si>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</si>
  <si>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</si>
  <si>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</si>
  <si>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</si>
  <si>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</si>
  <si>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</si>
  <si>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</si>
  <si>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</si>
  <si>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</si>
  <si>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</si>
  <si>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</si>
  <si>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</si>
  <si>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</si>
  <si>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</si>
  <si>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</si>
  <si>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</si>
  <si>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</si>
  <si>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</si>
  <si>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</si>
  <si>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</si>
  <si>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</si>
  <si>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</si>
  <si>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</si>
  <si>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</si>
  <si>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</si>
  <si>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</si>
  <si>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</si>
  <si>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</si>
  <si>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</si>
  <si>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</si>
  <si>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</si>
  <si>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</si>
  <si>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</si>
  <si>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</si>
  <si>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</si>
  <si>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</si>
  <si>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</si>
  <si>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</si>
  <si>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</si>
  <si>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</si>
  <si>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</si>
  <si>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</si>
  <si>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</si>
  <si>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</si>
  <si>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</si>
  <si>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</si>
  <si>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</si>
  <si>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</si>
  <si>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</si>
  <si>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</si>
  <si>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</si>
  <si>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</si>
  <si>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</si>
  <si>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</si>
  <si>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</si>
  <si>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</si>
  <si>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</si>
  <si>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</si>
  <si>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</si>
  <si>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</si>
  <si>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</si>
  <si>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</si>
  <si>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</si>
  <si>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</si>
  <si>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</si>
  <si>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</si>
  <si>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</si>
  <si>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</si>
  <si>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</si>
  <si>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</si>
  <si>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</si>
  <si>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</si>
  <si>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</si>
  <si>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</si>
  <si>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</si>
  <si>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</si>
  <si>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</si>
  <si>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</si>
  <si>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</si>
  <si>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</si>
  <si>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</si>
  <si>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</si>
  <si>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</si>
  <si>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</si>
  <si>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</si>
  <si>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</si>
  <si>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</si>
  <si>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</si>
  <si>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</si>
  <si>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</si>
  <si>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</si>
  <si>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</si>
  <si>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</si>
  <si>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</si>
  <si>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</si>
  <si>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</si>
  <si>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</si>
  <si>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</si>
  <si>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</si>
  <si>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</si>
  <si>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</si>
  <si>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</si>
  <si>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</si>
  <si>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</si>
  <si>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</si>
  <si>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</si>
  <si>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</si>
  <si>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</si>
  <si>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</si>
  <si>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</si>
  <si>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</si>
  <si>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</si>
  <si>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</si>
  <si>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</si>
  <si>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</si>
  <si>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</si>
  <si>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</si>
  <si>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</si>
  <si>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</si>
  <si>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</si>
  <si>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</si>
  <si>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</si>
  <si>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</si>
  <si>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</si>
  <si>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</si>
  <si>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</si>
  <si>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</si>
  <si>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</si>
  <si>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</si>
  <si>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</si>
  <si>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</si>
  <si>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</si>
  <si>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</si>
  <si>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</si>
  <si>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</si>
  <si>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</si>
  <si>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</si>
  <si>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</si>
  <si>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</si>
  <si>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</si>
  <si>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</si>
  <si>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</si>
  <si>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</si>
  <si>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</si>
  <si>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</si>
  <si>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</si>
  <si>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</si>
  <si>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</si>
  <si>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</si>
  <si>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</si>
  <si>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</si>
  <si>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</si>
  <si>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</si>
  <si>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</si>
  <si>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</si>
  <si>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</si>
  <si>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</si>
  <si>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</si>
  <si>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</si>
  <si>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</si>
  <si>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</si>
  <si>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</si>
  <si>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</si>
  <si>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</si>
  <si>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</si>
  <si>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</si>
  <si>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</si>
  <si>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</si>
  <si>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</si>
  <si>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</si>
  <si>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</si>
  <si>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</si>
  <si>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</si>
  <si>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</si>
  <si>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</si>
  <si>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</si>
  <si>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</si>
  <si>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</si>
  <si>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</si>
  <si>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</si>
  <si>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</si>
  <si>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</si>
  <si>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</si>
  <si>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</si>
  <si>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</si>
  <si>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</si>
  <si>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</si>
  <si>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</si>
  <si>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</si>
  <si>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</si>
  <si>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</si>
  <si>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</si>
  <si>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</si>
  <si>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</si>
  <si>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</si>
  <si>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</si>
  <si>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</si>
  <si>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</si>
  <si>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</si>
  <si>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</si>
  <si>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</si>
  <si>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</si>
  <si>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</si>
  <si>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</si>
  <si>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</si>
  <si>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</si>
  <si>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</si>
  <si>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</si>
  <si>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</si>
  <si>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</si>
  <si>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</si>
  <si>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</si>
  <si>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</si>
  <si>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</si>
  <si>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</si>
  <si>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</si>
  <si>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</si>
  <si>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</si>
  <si>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</si>
  <si>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</si>
  <si>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</si>
  <si>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</si>
  <si>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</si>
  <si>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</si>
  <si>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</si>
  <si>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</si>
  <si>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</si>
  <si>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</si>
  <si>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</si>
  <si>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</si>
  <si>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</si>
  <si>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</si>
  <si>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</si>
  <si>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</si>
  <si>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</si>
  <si>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</si>
  <si>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</si>
  <si>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</si>
  <si>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</si>
  <si>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</si>
  <si>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</si>
  <si>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</si>
  <si>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</si>
  <si>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</si>
  <si>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</si>
  <si>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</si>
  <si>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</si>
  <si>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</si>
  <si>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</si>
  <si>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</si>
  <si>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</si>
  <si>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</si>
  <si>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</si>
  <si>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</si>
  <si>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</si>
  <si>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</si>
  <si>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</si>
  <si>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</si>
  <si>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</si>
  <si>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</si>
  <si>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</si>
  <si>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</si>
  <si>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</si>
  <si>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</si>
  <si>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</si>
  <si>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</si>
  <si>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</si>
  <si>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</si>
  <si>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</si>
  <si>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</si>
  <si>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</si>
  <si>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</si>
  <si>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</si>
  <si>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</si>
  <si>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</si>
  <si>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</si>
  <si>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</si>
  <si>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</si>
  <si>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</si>
  <si>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</si>
  <si>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</si>
  <si>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</si>
  <si>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</si>
  <si>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</si>
  <si>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</si>
  <si>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</si>
  <si>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</si>
  <si>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</si>
  <si>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</si>
  <si>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</si>
  <si>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</si>
  <si>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</si>
  <si>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</si>
  <si>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</si>
  <si>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</si>
  <si>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</si>
  <si>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</si>
  <si>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</si>
  <si>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</si>
  <si>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</si>
  <si>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</si>
  <si>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</si>
  <si>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</si>
  <si>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</si>
  <si>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</si>
  <si>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</si>
  <si>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</si>
  <si>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</si>
  <si>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</si>
  <si>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</si>
  <si>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</si>
  <si>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</si>
  <si>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</si>
  <si>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</si>
  <si>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</si>
  <si>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</si>
  <si>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</si>
  <si>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</si>
  <si>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</si>
  <si>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</si>
  <si>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</si>
  <si>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</si>
  <si>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</si>
  <si>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</si>
  <si>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</si>
  <si>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</si>
  <si>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</si>
  <si>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</si>
  <si>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</si>
  <si>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</si>
  <si>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</si>
  <si>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</si>
  <si>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</si>
  <si>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</si>
  <si>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</si>
  <si>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</si>
  <si>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</si>
  <si>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</si>
  <si>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</si>
  <si>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</si>
  <si>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</si>
  <si>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</si>
  <si>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</si>
  <si>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</si>
  <si>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</si>
  <si>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</si>
  <si>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</si>
  <si>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</si>
  <si>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</si>
  <si>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</si>
  <si>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</si>
  <si>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</si>
  <si>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</si>
  <si>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</si>
  <si>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</si>
  <si>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</si>
  <si>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</si>
  <si>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</si>
  <si>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</si>
  <si>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</si>
  <si>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</si>
  <si>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</si>
  <si>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</si>
  <si>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</si>
  <si>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</si>
  <si>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</si>
  <si>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</si>
  <si>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</si>
  <si>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</si>
  <si>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</si>
  <si>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</si>
  <si>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</si>
  <si>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</si>
  <si>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</si>
  <si>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</si>
  <si>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</si>
  <si>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</si>
  <si>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</si>
  <si>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</si>
  <si>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</si>
  <si>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</si>
  <si>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</si>
  <si>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</si>
  <si>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</si>
  <si>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</si>
  <si>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</si>
  <si>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</si>
  <si>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</si>
  <si>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</si>
  <si>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</si>
  <si>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</si>
  <si>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</si>
  <si>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</si>
  <si>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</si>
  <si>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</si>
  <si>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</si>
  <si>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</si>
  <si>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</si>
  <si>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</si>
  <si>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</si>
  <si>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</si>
  <si>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</si>
  <si>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</si>
  <si>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</si>
  <si>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</si>
  <si>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</si>
  <si>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</si>
  <si>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</si>
  <si>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</si>
  <si>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</si>
  <si>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</si>
  <si>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</si>
  <si>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</si>
  <si>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</si>
  <si>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</si>
  <si>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</si>
  <si>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</si>
  <si>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</si>
  <si>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</si>
  <si>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</si>
  <si>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</si>
  <si>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</si>
  <si>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</si>
  <si>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</si>
  <si>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</si>
  <si>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</si>
  <si>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</si>
  <si>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</si>
  <si>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</si>
  <si>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</si>
  <si>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</si>
  <si>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</si>
  <si>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</si>
  <si>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</si>
  <si>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</si>
  <si>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</si>
  <si>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</si>
  <si>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</si>
  <si>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</si>
  <si>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</si>
  <si>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</si>
  <si>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</si>
  <si>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</si>
  <si>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</si>
  <si>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</si>
  <si>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</si>
  <si>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</si>
  <si>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</si>
  <si>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</si>
  <si>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</si>
  <si>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</si>
  <si>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</si>
  <si>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</si>
  <si>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</si>
  <si>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</si>
  <si>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</si>
  <si>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</si>
  <si>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</si>
  <si>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</si>
  <si>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</si>
  <si>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</si>
  <si>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</si>
  <si>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</si>
  <si>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</si>
  <si>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</si>
  <si>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</si>
  <si>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</si>
  <si>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</si>
  <si>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</si>
  <si>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</si>
  <si>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</si>
  <si>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</si>
  <si>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</si>
  <si>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</si>
  <si>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</si>
  <si>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</si>
  <si>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</si>
  <si>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</si>
  <si>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</si>
  <si>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</si>
  <si>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</si>
  <si>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</si>
  <si>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</si>
  <si>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</si>
  <si>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</si>
  <si>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</si>
  <si>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</si>
  <si>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</si>
  <si>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</si>
  <si>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</si>
  <si>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</si>
  <si>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</si>
  <si>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</si>
  <si>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</si>
  <si>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</si>
  <si>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</si>
  <si>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</si>
  <si>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</si>
  <si>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</si>
  <si>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</si>
  <si>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</si>
  <si>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</si>
  <si>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</si>
  <si>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</si>
  <si>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</si>
  <si>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</si>
  <si>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</si>
  <si>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</si>
  <si>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</si>
  <si>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</si>
  <si>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</si>
  <si>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</si>
  <si>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</si>
  <si>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</si>
  <si>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</si>
  <si>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</si>
  <si>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</si>
  <si>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</si>
  <si>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</si>
  <si>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</si>
  <si>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</si>
  <si>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</si>
  <si>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</si>
  <si>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</si>
  <si>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</si>
  <si>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</si>
  <si>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</si>
  <si>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</si>
  <si>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</si>
  <si>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</si>
  <si>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</si>
  <si>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</si>
  <si>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</si>
  <si>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</si>
  <si>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</si>
  <si>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</si>
  <si>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</si>
  <si>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</si>
  <si>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</si>
  <si>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</si>
  <si>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</si>
  <si>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</si>
  <si>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</si>
  <si>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</si>
  <si>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</si>
  <si>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</si>
  <si>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</si>
  <si>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</si>
  <si>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</si>
  <si>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</si>
  <si>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</si>
  <si>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</si>
  <si>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</si>
  <si>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</si>
  <si>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</si>
  <si>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</si>
  <si>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</si>
  <si>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</si>
  <si>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</si>
  <si>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</si>
  <si>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</si>
  <si>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</si>
  <si>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</si>
  <si>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</si>
  <si>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</si>
  <si>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</si>
  <si>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</si>
  <si>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</si>
  <si>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</si>
  <si>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</si>
  <si>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</si>
  <si>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</si>
  <si>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</si>
  <si>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</si>
  <si>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</si>
  <si>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</si>
  <si>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</si>
  <si>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</si>
  <si>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</si>
  <si>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</si>
  <si>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</si>
  <si>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</si>
  <si>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</si>
  <si>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</si>
  <si>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</si>
  <si>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</si>
  <si>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</si>
  <si>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</si>
  <si>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</si>
  <si>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</si>
  <si>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</si>
  <si>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</si>
  <si>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</si>
  <si>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</si>
  <si>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</si>
  <si>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</si>
  <si>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</si>
  <si>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</si>
  <si>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</si>
  <si>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</si>
  <si>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</si>
  <si>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</si>
  <si>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</si>
  <si>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</si>
  <si>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</si>
  <si>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</si>
  <si>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</si>
  <si>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</si>
  <si>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</si>
  <si>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</si>
  <si>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</si>
  <si>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</si>
  <si>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</si>
  <si>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</si>
  <si>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</si>
  <si>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</si>
  <si>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</si>
  <si>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</si>
  <si>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</si>
  <si>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</si>
  <si>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</si>
  <si>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</si>
  <si>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</si>
  <si>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</si>
  <si>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</si>
  <si>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</si>
  <si>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</si>
  <si>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</si>
  <si>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</si>
  <si>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</si>
  <si>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</si>
  <si>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</si>
  <si>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</si>
  <si>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</si>
  <si>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</si>
  <si>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</si>
  <si>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</si>
  <si>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</si>
  <si>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</si>
  <si>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</si>
  <si>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</si>
  <si>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</si>
  <si>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</si>
  <si>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</si>
  <si>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</si>
  <si>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</si>
  <si>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</si>
  <si>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</si>
  <si>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</si>
  <si>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</si>
  <si>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</si>
  <si>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</si>
  <si>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</si>
  <si>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</si>
  <si>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</si>
  <si>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</si>
  <si>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</si>
  <si>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</si>
  <si>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</si>
  <si>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</si>
  <si>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</si>
  <si>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</si>
  <si>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</si>
  <si>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</si>
  <si>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</si>
  <si>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</si>
  <si>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</si>
  <si>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</si>
  <si>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</si>
  <si>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</si>
  <si>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</si>
  <si>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</si>
  <si>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</si>
  <si>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</si>
  <si>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</si>
  <si>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</si>
  <si>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</si>
  <si>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</si>
  <si>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</si>
  <si>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</si>
  <si>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</si>
  <si>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</si>
  <si>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</si>
  <si>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</si>
  <si>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</si>
  <si>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</si>
  <si>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</si>
  <si>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</si>
  <si>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</si>
  <si>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</si>
  <si>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</si>
  <si>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</si>
  <si>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</si>
  <si>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</si>
  <si>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</si>
  <si>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</si>
  <si>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</si>
  <si>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</si>
  <si>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</si>
  <si>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</si>
  <si>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</si>
  <si>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</si>
  <si>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</si>
  <si>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</si>
  <si>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</si>
  <si>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</si>
  <si>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</si>
  <si>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</si>
  <si>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</si>
  <si>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</si>
  <si>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</si>
  <si>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</si>
  <si>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</si>
  <si>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</si>
  <si>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</si>
  <si>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</si>
  <si>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</si>
  <si>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</si>
  <si>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</si>
  <si>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</si>
  <si>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</si>
  <si>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</si>
  <si>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</si>
  <si>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</si>
  <si>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</si>
  <si>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</si>
  <si>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</si>
  <si>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</si>
  <si>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</si>
  <si>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</si>
  <si>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</si>
  <si>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</si>
  <si>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</si>
  <si>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</si>
  <si>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</si>
  <si>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</si>
  <si>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</si>
  <si>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</si>
  <si>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</si>
  <si>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</si>
  <si>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</si>
  <si>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</si>
  <si>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</si>
  <si>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</si>
  <si>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</si>
  <si>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</si>
  <si>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</si>
  <si>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</si>
  <si>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</si>
  <si>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</si>
  <si>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</si>
  <si>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</si>
  <si>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</si>
  <si>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</si>
  <si>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</si>
  <si>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</si>
  <si>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</si>
  <si>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</si>
  <si>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</si>
  <si>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</si>
  <si>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</si>
  <si>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</si>
  <si>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</si>
  <si>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</si>
  <si>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</si>
  <si>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</si>
  <si>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</si>
  <si>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</si>
  <si>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</si>
  <si>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</si>
  <si>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</si>
  <si>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</si>
  <si>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</si>
  <si>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</si>
  <si>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</si>
  <si>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</si>
  <si>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</si>
  <si>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</si>
  <si>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</si>
  <si>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</si>
  <si>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</si>
  <si>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</si>
  <si>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</si>
  <si>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</si>
  <si>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</si>
  <si>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</si>
  <si>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</si>
  <si>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</si>
  <si>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</si>
  <si>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</si>
  <si>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</si>
  <si>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</si>
  <si>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</si>
  <si>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</si>
  <si>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</si>
  <si>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</si>
  <si>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</si>
  <si>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</si>
  <si>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</si>
  <si>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</si>
  <si>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</si>
  <si>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</si>
  <si>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</si>
  <si>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</si>
  <si>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</si>
  <si>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</si>
  <si>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</si>
  <si>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</si>
  <si>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</si>
  <si>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</si>
  <si>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</si>
  <si>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</si>
  <si>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</si>
  <si>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</si>
  <si>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</si>
  <si>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</si>
  <si>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</si>
  <si>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</si>
  <si>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</si>
  <si>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</si>
  <si>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</si>
  <si>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</si>
  <si>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</si>
  <si>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</si>
  <si>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</si>
  <si>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</si>
  <si>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</si>
  <si>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</si>
  <si>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</si>
  <si>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</si>
  <si>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</si>
  <si>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</si>
  <si>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</si>
  <si>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</si>
  <si>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</si>
  <si>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</si>
  <si>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</si>
  <si>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</si>
  <si>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</si>
  <si>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</si>
  <si>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</si>
  <si>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</si>
  <si>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</si>
  <si>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</si>
  <si>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</si>
  <si>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</si>
  <si>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</si>
  <si>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</si>
  <si>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</si>
  <si>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</si>
  <si>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</si>
  <si>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</si>
  <si>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</si>
  <si>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</si>
  <si>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</si>
  <si>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</si>
  <si>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</si>
  <si>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</si>
  <si>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</si>
  <si>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</si>
  <si>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</si>
  <si>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</si>
  <si>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</si>
  <si>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</si>
  <si>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</si>
  <si>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</si>
  <si>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</si>
  <si>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</si>
  <si>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</si>
  <si>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</si>
  <si>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</si>
  <si>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</si>
  <si>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</si>
  <si>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</si>
  <si>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</si>
  <si>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</si>
  <si>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</si>
  <si>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</si>
  <si>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</si>
  <si>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</si>
  <si>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</si>
  <si>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</si>
  <si>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</si>
  <si>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</si>
  <si>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</si>
  <si>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</si>
  <si>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</si>
  <si>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</si>
  <si>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</si>
  <si>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</si>
  <si>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</si>
  <si>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</si>
  <si>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</si>
  <si>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</si>
  <si>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</si>
  <si>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</si>
  <si>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</si>
  <si>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</si>
  <si>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</si>
  <si>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</si>
  <si>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</si>
  <si>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</si>
  <si>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</si>
  <si>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</si>
  <si>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</si>
  <si>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</si>
  <si>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</si>
  <si>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</si>
  <si>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</si>
  <si>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</si>
  <si>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</si>
  <si>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</si>
  <si>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</si>
  <si>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</si>
  <si>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</si>
  <si>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</si>
  <si>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</si>
  <si>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</si>
  <si>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</si>
  <si>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</si>
  <si>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</si>
  <si>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</si>
  <si>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</si>
  <si>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</si>
  <si>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</si>
  <si>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</si>
  <si>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</si>
  <si>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</si>
  <si>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</si>
  <si>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</si>
  <si>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</si>
  <si>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</si>
  <si>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</si>
  <si>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</si>
  <si>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</si>
  <si>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</si>
  <si>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</si>
  <si>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</si>
  <si>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</si>
  <si>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</si>
  <si>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</si>
  <si>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</si>
  <si>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</si>
  <si>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</si>
  <si>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</si>
  <si>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</si>
  <si>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</si>
  <si>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</si>
  <si>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</si>
  <si>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</si>
  <si>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</si>
  <si>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</si>
  <si>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</si>
  <si>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</si>
  <si>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</si>
  <si>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</si>
  <si>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</si>
  <si>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</si>
  <si>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</si>
  <si>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</si>
  <si>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</si>
  <si>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</si>
  <si>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</si>
  <si>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</si>
  <si>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</si>
  <si>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</si>
  <si>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</si>
  <si>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</si>
  <si>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</si>
  <si>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</si>
  <si>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</si>
  <si>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</si>
  <si>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</si>
  <si>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</si>
  <si>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</si>
  <si>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</si>
  <si>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</si>
  <si>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</si>
  <si>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</si>
  <si>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</si>
  <si>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</si>
  <si>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</si>
  <si>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</si>
  <si>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</si>
  <si>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</si>
  <si>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</si>
  <si>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</si>
  <si>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</si>
  <si>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</si>
  <si>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</si>
  <si>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</si>
  <si>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</si>
  <si>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</si>
  <si>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</si>
  <si>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</si>
  <si>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</si>
  <si>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</si>
  <si>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</si>
  <si>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</si>
  <si>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</si>
  <si>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</si>
  <si>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</si>
  <si>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</si>
  <si>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</si>
  <si>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</si>
  <si>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</si>
  <si>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</si>
  <si>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</si>
  <si>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</si>
  <si>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</si>
  <si>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</si>
  <si>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</si>
  <si>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</si>
  <si>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</si>
  <si>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</si>
  <si>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</si>
  <si>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</si>
  <si>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</si>
  <si>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</si>
  <si>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</si>
  <si>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</si>
  <si>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</si>
  <si>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</si>
  <si>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</si>
  <si>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</si>
  <si>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</si>
  <si>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</si>
  <si>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</si>
  <si>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</si>
  <si>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</si>
  <si>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</si>
  <si>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</si>
  <si>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</si>
  <si>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</si>
  <si>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</si>
  <si>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</si>
  <si>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</si>
  <si>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</si>
  <si>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</si>
  <si>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</si>
  <si>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</si>
  <si>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</si>
  <si>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</si>
  <si>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</si>
  <si>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</si>
  <si>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</si>
  <si>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</si>
  <si>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</si>
  <si>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</si>
  <si>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</si>
  <si>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</si>
  <si>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</si>
  <si>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</si>
  <si>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</si>
  <si>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</si>
  <si>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</si>
  <si>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</si>
  <si>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</si>
  <si>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</si>
  <si>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</si>
  <si>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</si>
  <si>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</si>
  <si>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</si>
  <si>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</si>
  <si>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</si>
  <si>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</si>
  <si>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</si>
  <si>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</si>
  <si>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</si>
  <si>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</si>
  <si>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</si>
  <si>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</si>
  <si>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</si>
  <si>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</si>
  <si>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</si>
  <si>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</si>
  <si>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</si>
  <si>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</si>
  <si>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</si>
  <si>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</si>
  <si>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</si>
  <si>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</si>
  <si>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</si>
  <si>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</si>
  <si>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</si>
  <si>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</si>
  <si>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</si>
  <si>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</si>
  <si>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</si>
  <si>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</si>
  <si>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</si>
  <si>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</si>
  <si>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</si>
  <si>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</si>
  <si>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</si>
  <si>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</si>
  <si>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</si>
  <si>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</si>
  <si>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</si>
  <si>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</si>
  <si>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</si>
  <si>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</si>
  <si>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</si>
  <si>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</si>
  <si>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</si>
  <si>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</si>
  <si>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</si>
  <si>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</si>
  <si>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</si>
  <si>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</si>
  <si>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</si>
  <si>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</si>
  <si>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</si>
  <si>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</si>
  <si>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</si>
  <si>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</si>
  <si>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</si>
  <si>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</si>
  <si>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</si>
  <si>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</si>
  <si>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</si>
  <si>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</si>
  <si>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</si>
  <si>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</si>
  <si>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</si>
  <si>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</si>
  <si>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</si>
  <si>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</si>
  <si>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</si>
  <si>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</si>
  <si>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</si>
  <si>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</si>
  <si>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</si>
  <si>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</si>
  <si>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</si>
  <si>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</si>
  <si>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</si>
  <si>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</si>
  <si>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</si>
  <si>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</si>
  <si>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</si>
  <si>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</si>
  <si>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</si>
  <si>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</si>
  <si>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</si>
  <si>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</si>
  <si>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</si>
  <si>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</si>
  <si>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</si>
  <si>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</si>
  <si>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</si>
  <si>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</si>
  <si>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</si>
  <si>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</si>
  <si>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</si>
  <si>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</si>
  <si>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</si>
  <si>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</si>
  <si>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</si>
  <si>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</si>
  <si>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</si>
  <si>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</si>
  <si>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</si>
  <si>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</si>
  <si>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</si>
  <si>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</si>
  <si>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</si>
  <si>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</si>
  <si>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</si>
  <si>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</si>
  <si>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</si>
  <si>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</si>
  <si>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</si>
  <si>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</si>
  <si>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</si>
  <si>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</si>
  <si>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</si>
  <si>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</si>
  <si>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</si>
  <si>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</si>
  <si>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</si>
  <si>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</si>
  <si>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</si>
  <si>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</si>
  <si>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</si>
  <si>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</si>
  <si>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</si>
  <si>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</si>
  <si>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</si>
  <si>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</si>
  <si>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</si>
  <si>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</si>
  <si>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</si>
  <si>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</si>
  <si>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</si>
  <si>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</si>
  <si>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</si>
  <si>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</si>
  <si>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</si>
  <si>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</si>
  <si>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</si>
  <si>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</si>
  <si>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</si>
  <si>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</si>
  <si>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</si>
  <si>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</si>
  <si>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</si>
  <si>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</si>
  <si>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</si>
  <si>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</si>
  <si>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</si>
  <si>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</si>
  <si>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</si>
  <si>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</si>
  <si>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</si>
  <si>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</si>
  <si>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</si>
  <si>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</si>
  <si>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</si>
  <si>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</si>
  <si>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</si>
  <si>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</si>
  <si>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</si>
  <si>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</si>
  <si>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</si>
  <si>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</si>
  <si>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</si>
  <si>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</si>
  <si>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</si>
  <si>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</si>
  <si>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</si>
  <si>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</si>
  <si>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</si>
  <si>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</si>
  <si>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</si>
  <si>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</si>
  <si>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</si>
  <si>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</si>
  <si>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</si>
  <si>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</si>
  <si>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</si>
  <si>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</si>
  <si>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</si>
  <si>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</si>
  <si>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</si>
  <si>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</si>
  <si>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</si>
  <si>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</si>
  <si>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</si>
  <si>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</si>
  <si>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</si>
  <si>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</si>
  <si>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</si>
  <si>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</si>
  <si>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</si>
  <si>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</si>
  <si>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</si>
  <si>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</si>
  <si>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</si>
  <si>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</si>
  <si>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</si>
  <si>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</si>
  <si>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</si>
  <si>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</si>
  <si>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</si>
  <si>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</si>
  <si>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</si>
  <si>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</si>
  <si>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</si>
  <si>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</si>
  <si>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</si>
  <si>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</si>
  <si>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</si>
  <si>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</si>
  <si>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</si>
  <si>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</si>
  <si>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</si>
  <si>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</si>
  <si>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</si>
  <si>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</si>
  <si>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</si>
  <si>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</si>
  <si>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</si>
  <si>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</si>
  <si>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</si>
  <si>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</si>
  <si>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</si>
  <si>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</si>
  <si>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</si>
  <si>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</si>
  <si>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</si>
  <si>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</si>
  <si>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</si>
  <si>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</si>
  <si>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</si>
  <si>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</si>
  <si>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</si>
  <si>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</si>
  <si>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</si>
  <si>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</si>
  <si>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</si>
  <si>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</si>
  <si>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</si>
  <si>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</si>
  <si>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</si>
  <si>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</si>
  <si>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</si>
  <si>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</si>
  <si>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</si>
  <si>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</si>
  <si>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</si>
  <si>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</si>
  <si>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</si>
  <si>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</si>
  <si>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</si>
  <si>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</si>
  <si>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</si>
  <si>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</si>
  <si>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</si>
  <si>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</si>
  <si>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</si>
  <si>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</si>
  <si>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</si>
  <si>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</si>
  <si>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</si>
  <si>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</si>
  <si>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</si>
  <si>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</si>
  <si>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</si>
  <si>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</si>
  <si>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</si>
  <si>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</si>
  <si>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</si>
  <si>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</si>
  <si>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</si>
  <si>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</si>
  <si>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</si>
  <si>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</si>
  <si>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</si>
  <si>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</si>
  <si>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</si>
  <si>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</si>
  <si>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</si>
  <si>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</si>
  <si>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</si>
  <si>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</si>
  <si>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</si>
  <si>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</si>
  <si>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</si>
  <si>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</si>
  <si>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</si>
  <si>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</si>
  <si>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</si>
  <si>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</si>
  <si>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</si>
  <si>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</si>
  <si>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</si>
  <si>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</si>
  <si>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</si>
  <si>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</si>
  <si>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</si>
  <si>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</si>
  <si>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</si>
  <si>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</si>
  <si>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</si>
  <si>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</si>
  <si>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</si>
  <si>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</si>
  <si>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</si>
  <si>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</si>
  <si>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</si>
  <si>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</si>
  <si>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</si>
  <si>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</si>
  <si>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</si>
  <si>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</si>
  <si>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</si>
  <si>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</si>
  <si>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</si>
  <si>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</si>
  <si>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</si>
  <si>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</si>
  <si>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</si>
  <si>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</si>
  <si>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</si>
  <si>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</si>
  <si>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</si>
  <si>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</si>
  <si>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</si>
  <si>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</si>
  <si>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</si>
  <si>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</si>
  <si>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</si>
  <si>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</si>
  <si>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</si>
  <si>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</si>
  <si>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</si>
  <si>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</si>
  <si>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</si>
  <si>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</si>
  <si>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</si>
  <si>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</si>
  <si>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</si>
  <si>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</si>
  <si>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</si>
  <si>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</si>
  <si>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</si>
  <si>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</si>
  <si>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</si>
  <si>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</si>
  <si>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</si>
  <si>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</si>
  <si>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</si>
  <si>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</si>
  <si>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</si>
  <si>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</si>
  <si>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</si>
  <si>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</si>
  <si>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</si>
  <si>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</si>
  <si>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</si>
  <si>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</si>
  <si>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</si>
  <si>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</si>
  <si>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</si>
  <si>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</si>
  <si>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</si>
  <si>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</si>
  <si>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</si>
  <si>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</si>
  <si>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</si>
  <si>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</si>
  <si>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</si>
  <si>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</si>
  <si>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</si>
  <si>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</si>
  <si>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</si>
  <si>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</si>
  <si>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</si>
  <si>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</si>
  <si>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</si>
  <si>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</si>
  <si>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</si>
  <si>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</si>
  <si>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</si>
  <si>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</si>
  <si>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</si>
  <si>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</si>
  <si>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</si>
  <si>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</si>
  <si>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</si>
  <si>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</si>
  <si>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</si>
  <si>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</si>
  <si>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</si>
  <si>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</si>
  <si>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</si>
  <si>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</si>
  <si>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</si>
  <si>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</si>
  <si>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</si>
  <si>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</si>
  <si>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</si>
  <si>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</si>
  <si>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</si>
  <si>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</si>
  <si>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</si>
  <si>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</si>
  <si>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</si>
  <si>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</si>
  <si>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</si>
  <si>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</si>
  <si>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</si>
  <si>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</si>
  <si>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</si>
  <si>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</si>
  <si>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</si>
  <si>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</si>
  <si>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</si>
  <si>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</si>
  <si>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</si>
  <si>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</si>
  <si>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</si>
  <si>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</si>
  <si>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</si>
  <si>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</si>
  <si>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</si>
  <si>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</si>
  <si>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</si>
  <si>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</si>
  <si>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</si>
  <si>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</si>
  <si>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</si>
  <si>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</si>
  <si>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</si>
  <si>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</si>
  <si>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</si>
  <si>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</si>
  <si>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</si>
  <si>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</si>
  <si>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</si>
  <si>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</si>
  <si>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</si>
  <si>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</si>
  <si>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</si>
  <si>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</si>
  <si>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</si>
  <si>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</si>
  <si>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</si>
  <si>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</si>
  <si>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</si>
  <si>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</si>
  <si>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</si>
  <si>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</si>
  <si>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</si>
  <si>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</si>
  <si>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</si>
  <si>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</si>
  <si>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</si>
  <si>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</si>
  <si>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</si>
  <si>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</si>
  <si>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</si>
  <si>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</si>
  <si>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</si>
  <si>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</si>
  <si>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</si>
  <si>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</si>
  <si>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</si>
  <si>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</si>
  <si>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</si>
  <si>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</si>
  <si>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</si>
  <si>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</si>
  <si>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</si>
  <si>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</si>
  <si>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</si>
  <si>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</si>
  <si>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</si>
  <si>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</si>
  <si>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</si>
  <si>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</si>
  <si>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</si>
  <si>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</si>
  <si>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</si>
  <si>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</si>
  <si>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</si>
  <si>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</si>
  <si>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</si>
  <si>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</si>
  <si>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</si>
  <si>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</si>
  <si>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</si>
  <si>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</si>
  <si>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</si>
  <si>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</si>
  <si>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</si>
  <si>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</si>
  <si>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</si>
  <si>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</si>
  <si>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</si>
  <si>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</si>
  <si>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</si>
  <si>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</si>
  <si>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</si>
  <si>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</si>
  <si>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</si>
  <si>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</si>
  <si>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</si>
  <si>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</si>
  <si>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</si>
  <si>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</si>
  <si>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</si>
  <si>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</si>
  <si>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</si>
  <si>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</si>
  <si>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</si>
  <si>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</si>
  <si>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</si>
  <si>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</si>
  <si>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</si>
  <si>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</si>
  <si>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</si>
  <si>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</si>
  <si>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</si>
  <si>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</si>
  <si>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</si>
  <si>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</si>
  <si>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</si>
  <si>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</si>
  <si>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</si>
  <si>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</si>
  <si>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</si>
  <si>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</si>
  <si>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</si>
  <si>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</si>
  <si>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</si>
  <si>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</si>
  <si>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</si>
  <si>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</si>
  <si>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</si>
  <si>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</si>
  <si>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</si>
  <si>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</si>
  <si>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</si>
  <si>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</si>
  <si>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</si>
  <si>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</si>
  <si>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</si>
  <si>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</si>
  <si>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</si>
  <si>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</si>
  <si>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</si>
  <si>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</si>
  <si>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</si>
  <si>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</si>
  <si>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</si>
  <si>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</si>
  <si>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</si>
  <si>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</si>
  <si>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</si>
  <si>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</si>
  <si>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</si>
  <si>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</si>
  <si>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</si>
  <si>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</si>
  <si>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</si>
  <si>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</si>
  <si>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</si>
  <si>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</si>
  <si>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</si>
  <si>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</si>
  <si>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</si>
  <si>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</si>
  <si>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</si>
  <si>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</si>
  <si>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</si>
  <si>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</si>
  <si>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</si>
  <si>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</si>
  <si>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</si>
  <si>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</si>
  <si>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</si>
  <si>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</si>
  <si>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</si>
  <si>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</si>
  <si>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</si>
  <si>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</si>
  <si>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</si>
  <si>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</si>
  <si>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</si>
  <si>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</si>
  <si>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</si>
  <si>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</si>
  <si>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</si>
  <si>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</si>
  <si>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</si>
  <si>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</si>
  <si>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</si>
  <si>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</si>
  <si>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</si>
  <si>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</si>
  <si>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</si>
  <si>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</si>
  <si>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</si>
  <si>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</si>
  <si>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</si>
  <si>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</si>
  <si>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</si>
  <si>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</si>
  <si>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</si>
  <si>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</si>
  <si>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</si>
  <si>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</si>
  <si>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</si>
  <si>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</si>
  <si>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</si>
  <si>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</si>
  <si>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</si>
  <si>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</si>
  <si>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</si>
  <si>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</si>
  <si>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</si>
  <si>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</si>
  <si>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</si>
  <si>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</si>
  <si>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</si>
  <si>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</si>
  <si>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</si>
  <si>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</si>
  <si>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</si>
  <si>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</si>
  <si>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</si>
  <si>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</si>
  <si>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</si>
  <si>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</si>
  <si>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</si>
  <si>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</si>
  <si>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</si>
  <si>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</si>
  <si>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</si>
  <si>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</si>
  <si>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</si>
  <si>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</si>
  <si>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</si>
  <si>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</si>
  <si>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</si>
  <si>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</si>
  <si>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</si>
  <si>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</si>
  <si>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</si>
  <si>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</si>
  <si>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</si>
  <si>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</si>
  <si>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</si>
  <si>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</si>
  <si>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</si>
  <si>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</si>
  <si>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</si>
  <si>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</si>
  <si>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</si>
  <si>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</si>
  <si>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</si>
  <si>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</si>
  <si>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</si>
  <si>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</si>
  <si>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</si>
  <si>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</si>
  <si>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</si>
  <si>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</si>
  <si>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</si>
  <si>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</si>
  <si>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</si>
  <si>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</si>
  <si>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</si>
  <si>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</si>
  <si>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</si>
  <si>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</si>
  <si>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</si>
  <si>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</si>
  <si>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</si>
  <si>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</si>
  <si>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</si>
  <si>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</si>
  <si>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</si>
  <si>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</si>
  <si>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</si>
  <si>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</si>
  <si>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</si>
  <si>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</si>
  <si>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</si>
  <si>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</si>
  <si>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</si>
  <si>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</si>
  <si>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</si>
  <si>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</si>
  <si>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</si>
  <si>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</si>
  <si>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</si>
  <si>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</si>
  <si>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</si>
  <si>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</si>
  <si>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</si>
  <si>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</si>
  <si>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</si>
  <si>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</si>
  <si>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</si>
  <si>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</si>
  <si>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</si>
  <si>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</si>
  <si>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</si>
  <si>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</si>
  <si>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</si>
  <si>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</si>
  <si>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</si>
  <si>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</si>
  <si>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</si>
  <si>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</si>
  <si>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</si>
  <si>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</si>
  <si>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</si>
  <si>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</si>
  <si>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</si>
  <si>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</si>
  <si>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</si>
  <si>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</si>
  <si>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</si>
  <si>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</si>
  <si>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</si>
  <si>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</si>
  <si>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</si>
  <si>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</si>
  <si>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</si>
  <si>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</si>
  <si>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</si>
  <si>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</si>
  <si>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</si>
  <si>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</si>
  <si>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</si>
  <si>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</si>
  <si>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</si>
  <si>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</si>
  <si>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</si>
  <si>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</si>
  <si>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</si>
  <si>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</si>
  <si>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</si>
  <si>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</si>
  <si>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</si>
  <si>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</si>
  <si>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</si>
  <si>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</si>
  <si>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</si>
  <si>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</si>
  <si>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</si>
  <si>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</si>
  <si>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</si>
  <si>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</si>
  <si>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</si>
  <si>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</si>
  <si>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</si>
  <si>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</si>
  <si>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</si>
  <si>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</si>
  <si>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</si>
  <si>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</si>
  <si>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</si>
  <si>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</si>
  <si>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</si>
  <si>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</si>
  <si>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</si>
  <si>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</si>
  <si>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</si>
  <si>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</si>
  <si>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</si>
  <si>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</si>
  <si>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</si>
  <si>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</si>
  <si>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</si>
  <si>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</si>
  <si>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</si>
  <si>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</si>
  <si>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</si>
  <si>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</si>
  <si>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</si>
  <si>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</si>
  <si>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</si>
  <si>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</si>
  <si>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</si>
  <si>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</si>
  <si>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</si>
  <si>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</si>
  <si>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</si>
  <si>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</si>
  <si>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</si>
  <si>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</si>
  <si>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</si>
  <si>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</si>
  <si>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</si>
  <si>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</si>
  <si>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</si>
  <si>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</si>
  <si>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</si>
  <si>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</si>
  <si>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</si>
  <si>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</si>
  <si>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</si>
  <si>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</si>
  <si>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</si>
  <si>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</si>
  <si>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</si>
  <si>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</si>
  <si>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</si>
  <si>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</si>
  <si>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</si>
  <si>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</si>
  <si>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</si>
  <si>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</si>
  <si>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</si>
  <si>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</si>
  <si>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</si>
  <si>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</si>
  <si>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</si>
  <si>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</si>
  <si>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</si>
  <si>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</si>
  <si>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</si>
  <si>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</si>
  <si>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</si>
  <si>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</si>
  <si>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</si>
  <si>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</si>
  <si>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</si>
  <si>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</si>
  <si>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</si>
  <si>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</si>
  <si>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</si>
  <si>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</si>
  <si>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</si>
  <si>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</si>
  <si>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</si>
  <si>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</si>
  <si>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</si>
  <si>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</si>
  <si>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</si>
  <si>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</si>
  <si>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</si>
  <si>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</si>
  <si>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</si>
  <si>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</si>
  <si>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</si>
  <si>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</si>
  <si>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</si>
  <si>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</si>
  <si>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</si>
  <si>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</si>
  <si>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</si>
  <si>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</si>
  <si>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</si>
  <si>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</si>
  <si>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</si>
  <si>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</si>
  <si>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</si>
  <si>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</si>
  <si>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</si>
  <si>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</si>
  <si>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</si>
  <si>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</si>
  <si>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</si>
  <si>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</si>
  <si>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</si>
  <si>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</si>
  <si>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</si>
  <si>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</si>
  <si>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</si>
  <si>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</si>
  <si>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</si>
  <si>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</si>
  <si>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</si>
  <si>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</si>
  <si>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</si>
  <si>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</si>
  <si>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</si>
  <si>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</si>
  <si>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</si>
  <si>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</si>
  <si>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</si>
  <si>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</si>
  <si>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</si>
  <si>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</si>
  <si>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</si>
  <si>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</si>
  <si>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</si>
  <si>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</si>
  <si>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</si>
  <si>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</si>
  <si>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</si>
  <si>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</si>
  <si>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</si>
  <si>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</si>
  <si>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</si>
  <si>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</si>
  <si>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</si>
  <si>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</si>
  <si>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</si>
  <si>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</si>
  <si>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</si>
  <si>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</si>
  <si>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</si>
  <si>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</si>
  <si>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</si>
  <si>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</si>
  <si>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</si>
  <si>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</si>
  <si>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</si>
  <si>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</si>
  <si>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</si>
  <si>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</si>
  <si>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</si>
  <si>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</si>
  <si>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</si>
  <si>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</si>
  <si>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</si>
  <si>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</si>
  <si>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</si>
  <si>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</si>
  <si>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</si>
  <si>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</si>
  <si>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</si>
  <si>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</si>
  <si>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</si>
  <si>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</si>
  <si>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</si>
  <si>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</si>
  <si>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</si>
  <si>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</si>
  <si>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</si>
  <si>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</si>
  <si>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</si>
  <si>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</si>
  <si>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</si>
  <si>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</si>
  <si>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</si>
  <si>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</si>
  <si>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</si>
  <si>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</si>
  <si>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</si>
  <si>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</si>
  <si>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</si>
  <si>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</si>
  <si>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</si>
  <si>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</si>
  <si>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</si>
  <si>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</si>
  <si>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</si>
  <si>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</si>
  <si>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</si>
  <si>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</si>
  <si>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</si>
  <si>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</si>
  <si>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</si>
  <si>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</si>
  <si>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</si>
  <si>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</si>
  <si>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</si>
  <si>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</si>
  <si>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</si>
  <si>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</si>
  <si>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</si>
  <si>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</si>
  <si>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</si>
  <si>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</si>
  <si>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</si>
  <si>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</si>
  <si>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</si>
  <si>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</si>
  <si>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</si>
  <si>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</si>
  <si>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</si>
  <si>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</si>
  <si>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</si>
  <si>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</si>
  <si>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</si>
  <si>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</si>
  <si>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</si>
  <si>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</si>
  <si>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</si>
  <si>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</si>
  <si>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</si>
  <si>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</si>
  <si>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</si>
  <si>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</si>
  <si>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</si>
  <si>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</si>
  <si>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</si>
  <si>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</si>
  <si>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</si>
  <si>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</si>
  <si>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</si>
  <si>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</si>
  <si>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</si>
  <si>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</si>
  <si>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</si>
  <si>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</si>
  <si>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</si>
  <si>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</si>
  <si>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</si>
  <si>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</si>
  <si>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</si>
  <si>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</si>
  <si>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</si>
  <si>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</si>
  <si>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</si>
  <si>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</si>
  <si>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</si>
  <si>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</si>
  <si>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</si>
  <si>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</si>
  <si>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</si>
  <si>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</si>
  <si>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</si>
  <si>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</si>
  <si>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</si>
  <si>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</si>
  <si>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</si>
  <si>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</si>
  <si>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</si>
  <si>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</si>
  <si>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</si>
  <si>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</si>
  <si>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</si>
  <si>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</si>
  <si>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</si>
  <si>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</si>
  <si>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</si>
  <si>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</si>
  <si>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</si>
  <si>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</si>
  <si>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</si>
  <si>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</si>
  <si>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</si>
  <si>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</si>
  <si>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</si>
  <si>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</si>
  <si>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</si>
  <si>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</si>
  <si>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</si>
  <si>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</si>
  <si>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</si>
  <si>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</si>
  <si>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</si>
  <si>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</si>
  <si>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</si>
  <si>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</si>
  <si>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</si>
  <si>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</si>
  <si>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</si>
  <si>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</si>
  <si>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</si>
  <si>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</si>
  <si>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</si>
  <si>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</si>
  <si>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</si>
  <si>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</si>
  <si>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</si>
  <si>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</si>
  <si>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</si>
  <si>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</si>
  <si>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</si>
  <si>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</si>
  <si>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</si>
  <si>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</si>
  <si>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</si>
  <si>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</si>
  <si>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</si>
  <si>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</si>
  <si>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</si>
  <si>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</si>
  <si>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</si>
  <si>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</si>
  <si>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</si>
  <si>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</si>
  <si>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</si>
  <si>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</si>
  <si>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</si>
  <si>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</si>
  <si>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</si>
  <si>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</si>
  <si>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</si>
  <si>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</si>
  <si>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</si>
  <si>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</si>
  <si>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</si>
  <si>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</si>
  <si>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</si>
  <si>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</si>
  <si>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</si>
  <si>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</si>
  <si>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</si>
  <si>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</si>
  <si>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</si>
  <si>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</si>
  <si>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</si>
  <si>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</si>
  <si>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</si>
  <si>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</si>
  <si>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</si>
  <si>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</si>
  <si>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</si>
  <si>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</si>
  <si>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</si>
  <si>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</si>
  <si>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</si>
  <si>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</si>
  <si>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</si>
  <si>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</si>
  <si>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</si>
  <si>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</si>
  <si>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</si>
  <si>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</si>
  <si>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</si>
  <si>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</si>
  <si>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</si>
  <si>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</si>
  <si>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</si>
  <si>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</si>
  <si>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</si>
  <si>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</si>
  <si>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</si>
  <si>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</si>
  <si>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</si>
  <si>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</si>
  <si>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</si>
  <si>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</si>
  <si>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</si>
  <si>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</si>
  <si>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</si>
  <si>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</si>
  <si>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</si>
  <si>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</si>
  <si>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</si>
  <si>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</si>
  <si>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</si>
  <si>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</si>
  <si>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</si>
  <si>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</si>
  <si>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</si>
  <si>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</si>
  <si>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</si>
  <si>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</si>
  <si>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</si>
  <si>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</si>
  <si>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</si>
  <si>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</si>
  <si>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</si>
  <si>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</si>
  <si>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</si>
  <si>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</si>
  <si>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</si>
  <si>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</si>
  <si>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</si>
  <si>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</si>
  <si>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</si>
  <si>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</si>
  <si>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</si>
  <si>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</si>
  <si>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</si>
  <si>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</si>
  <si>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</si>
  <si>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</si>
  <si>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</si>
  <si>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</si>
  <si>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</si>
  <si>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</si>
  <si>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</si>
  <si>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</si>
  <si>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</si>
  <si>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</si>
  <si>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</si>
  <si>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</si>
  <si>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</si>
  <si>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</si>
  <si>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</si>
  <si>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</si>
  <si>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</si>
  <si>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</si>
  <si>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</si>
  <si>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</si>
  <si>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</si>
  <si>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</si>
  <si>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</si>
  <si>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</si>
  <si>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</si>
  <si>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</si>
  <si>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</si>
  <si>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</si>
  <si>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</si>
  <si>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</si>
  <si>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</si>
  <si>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</si>
  <si>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</si>
  <si>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</si>
  <si>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</si>
  <si>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</si>
  <si>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</si>
  <si>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</si>
  <si>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</si>
  <si>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</si>
  <si>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</si>
  <si>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</si>
  <si>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</si>
  <si>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</si>
  <si>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</si>
  <si>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</si>
  <si>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</si>
  <si>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</si>
  <si>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</si>
  <si>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</si>
  <si>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</si>
  <si>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</si>
  <si>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</si>
  <si>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</si>
  <si>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</si>
  <si>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</si>
  <si>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</si>
  <si>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</si>
  <si>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</si>
  <si>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</si>
  <si>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</si>
  <si>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</si>
  <si>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</si>
  <si>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</si>
  <si>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</si>
  <si>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</si>
  <si>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</si>
  <si>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</si>
  <si>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</si>
  <si>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</si>
  <si>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</si>
  <si>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</si>
  <si>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</si>
  <si>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</si>
  <si>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</si>
  <si>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</si>
  <si>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</si>
  <si>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</si>
  <si>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</si>
  <si>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</si>
  <si>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</si>
  <si>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</si>
  <si>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</si>
  <si>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</si>
  <si>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</si>
  <si>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</si>
  <si>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</si>
  <si>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</si>
  <si>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</si>
  <si>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</si>
  <si>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</si>
  <si>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</si>
  <si>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</si>
  <si>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</si>
  <si>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</si>
  <si>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</si>
  <si>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</si>
  <si>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</si>
  <si>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</si>
  <si>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</si>
  <si>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</si>
  <si>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</si>
  <si>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</si>
  <si>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</si>
  <si>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</si>
  <si>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</si>
  <si>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</si>
  <si>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</si>
  <si>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</si>
  <si>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</si>
  <si>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</si>
  <si>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</si>
  <si>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</si>
  <si>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</si>
  <si>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</si>
  <si>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</si>
  <si>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</si>
  <si>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</si>
  <si>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</si>
  <si>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</si>
  <si>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</si>
  <si>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</si>
  <si>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</si>
  <si>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</si>
  <si>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</si>
  <si>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</si>
  <si>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</si>
  <si>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</si>
  <si>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</si>
  <si>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</si>
  <si>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</si>
  <si>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</si>
  <si>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</si>
  <si>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</si>
  <si>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</si>
  <si>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</si>
  <si>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</si>
  <si>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</si>
  <si>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</si>
  <si>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</si>
  <si>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</si>
  <si>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</si>
  <si>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</si>
  <si>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</si>
  <si>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</si>
  <si>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</si>
  <si>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</si>
  <si>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</si>
  <si>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</si>
  <si>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</si>
  <si>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</si>
  <si>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</si>
  <si>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</si>
  <si>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</si>
  <si>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</si>
  <si>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</si>
  <si>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</si>
  <si>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</si>
  <si>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</si>
  <si>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</si>
  <si>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</si>
  <si>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</si>
  <si>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</si>
  <si>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</si>
  <si>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</si>
  <si>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</si>
  <si>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</si>
  <si>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</si>
  <si>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</si>
  <si>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</si>
  <si>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</si>
  <si>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</si>
  <si>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</si>
  <si>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</si>
  <si>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</si>
  <si>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</si>
  <si>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</si>
  <si>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</si>
  <si>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</si>
  <si>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</si>
  <si>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</si>
  <si>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</si>
  <si>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</si>
  <si>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</si>
  <si>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</si>
  <si>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</si>
  <si>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</si>
  <si>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</si>
  <si>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</si>
  <si>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</si>
  <si>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</si>
  <si>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</si>
  <si>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</si>
  <si>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</si>
  <si>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</si>
  <si>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</si>
  <si>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</si>
  <si>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</si>
  <si>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</si>
  <si>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</si>
  <si>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</si>
  <si>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</si>
  <si>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</si>
  <si>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</si>
  <si>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</si>
  <si>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</si>
  <si>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</si>
  <si>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</si>
  <si>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</si>
  <si>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</si>
  <si>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</si>
  <si>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</si>
  <si>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</si>
  <si>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</si>
  <si>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</si>
  <si>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</si>
  <si>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</si>
  <si>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</si>
  <si>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</si>
  <si>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</si>
  <si>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</si>
  <si>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</si>
  <si>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</si>
  <si>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</si>
  <si>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</si>
  <si>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</si>
  <si>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</si>
  <si>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</si>
  <si>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</si>
  <si>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</si>
  <si>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</si>
  <si>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</si>
  <si>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</si>
  <si>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</si>
  <si>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</si>
  <si>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</si>
  <si>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</si>
  <si>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</si>
  <si>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</si>
  <si>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</si>
  <si>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</si>
  <si>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</si>
  <si>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</si>
  <si>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</si>
  <si>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</si>
  <si>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</si>
  <si>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</si>
  <si>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</si>
  <si>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</si>
  <si>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</si>
  <si>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</si>
  <si>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</si>
  <si>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</si>
  <si>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</si>
  <si>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</si>
  <si>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</si>
  <si>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</si>
  <si>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</si>
  <si>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</si>
  <si>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</si>
  <si>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</si>
  <si>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</si>
  <si>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</si>
  <si>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</si>
  <si>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</si>
  <si>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</si>
  <si>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</si>
  <si>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</si>
  <si>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</si>
  <si>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</si>
  <si>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</si>
  <si>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</si>
  <si>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</si>
  <si>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</si>
  <si>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</si>
  <si>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</si>
  <si>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</si>
  <si>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</si>
  <si>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</si>
  <si>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</si>
  <si>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</si>
  <si>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</si>
  <si>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</si>
  <si>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</si>
  <si>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</si>
  <si>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</si>
  <si>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</si>
  <si>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</si>
  <si>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</si>
  <si>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</si>
  <si>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</si>
  <si>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</si>
  <si>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</si>
  <si>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</si>
  <si>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</si>
  <si>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</si>
  <si>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</si>
  <si>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</si>
  <si>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</si>
  <si>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</si>
  <si>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</si>
  <si>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</si>
  <si>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</si>
  <si>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</si>
  <si>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</si>
  <si>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</si>
  <si>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</si>
  <si>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</si>
  <si>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</si>
  <si>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</si>
  <si>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</si>
  <si>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</si>
  <si>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</si>
  <si>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</si>
  <si>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</si>
  <si>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</si>
  <si>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</si>
  <si>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</si>
  <si>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</si>
  <si>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</si>
  <si>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</si>
  <si>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</si>
  <si>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</si>
  <si>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</si>
  <si>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</si>
  <si>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</si>
  <si>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</si>
  <si>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</si>
  <si>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</si>
  <si>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</si>
  <si>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</si>
  <si>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</si>
  <si>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</si>
  <si>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</si>
  <si>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</si>
  <si>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</si>
  <si>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</si>
  <si>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</si>
  <si>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</si>
  <si>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</si>
  <si>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</si>
  <si>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</si>
  <si>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</si>
  <si>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</si>
  <si>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</si>
  <si>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</si>
  <si>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</si>
  <si>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</si>
  <si>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</si>
  <si>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</si>
  <si>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</si>
  <si>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</si>
  <si>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</si>
  <si>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</si>
  <si>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</si>
  <si>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</si>
  <si>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</si>
  <si>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</si>
  <si>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</si>
  <si>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</si>
  <si>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</si>
  <si>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</si>
  <si>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</si>
  <si>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</si>
  <si>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</si>
  <si>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</si>
  <si>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</si>
  <si>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</si>
  <si>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</si>
  <si>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</si>
  <si>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</si>
  <si>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</si>
  <si>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</si>
  <si>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</si>
  <si>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</si>
  <si>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</si>
  <si>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</si>
  <si>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</si>
  <si>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</si>
  <si>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</si>
  <si>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</si>
  <si>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</si>
  <si>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</si>
  <si>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</si>
  <si>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</si>
  <si>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</si>
  <si>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</si>
  <si>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</si>
  <si>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</si>
  <si>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</si>
  <si>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</si>
  <si>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</si>
  <si>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</si>
  <si>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</si>
  <si>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</si>
  <si>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</si>
  <si>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</si>
  <si>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</si>
  <si>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</si>
  <si>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</si>
  <si>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</si>
  <si>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</si>
  <si>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</si>
  <si>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</si>
  <si>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</si>
  <si>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</si>
  <si>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</si>
  <si>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</si>
  <si>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</si>
  <si>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</si>
  <si>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</si>
  <si>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</si>
  <si>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</si>
  <si>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</si>
  <si>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</si>
  <si>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</si>
  <si>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</si>
  <si>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</si>
  <si>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</si>
  <si>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</si>
  <si>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</si>
  <si>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</si>
  <si>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</si>
  <si>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</si>
  <si>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</si>
  <si>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</si>
  <si>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</si>
  <si>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</si>
  <si>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</si>
  <si>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</si>
  <si>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</si>
  <si>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</si>
  <si>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</si>
  <si>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</si>
  <si>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</si>
  <si>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</si>
  <si>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</si>
  <si>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</si>
  <si>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</si>
  <si>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</si>
  <si>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</si>
  <si>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</si>
  <si>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</si>
  <si>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</si>
  <si>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</si>
  <si>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</si>
  <si>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</si>
  <si>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</si>
  <si>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</si>
  <si>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</si>
  <si>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</si>
  <si>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</si>
  <si>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</si>
  <si>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</si>
  <si>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</si>
  <si>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</si>
  <si>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</si>
  <si>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</si>
  <si>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</si>
  <si>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</si>
  <si>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</si>
  <si>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</si>
  <si>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</si>
  <si>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</si>
  <si>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</si>
  <si>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</si>
  <si>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</si>
  <si>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</si>
  <si>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</si>
  <si>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</si>
  <si>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</si>
  <si>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</si>
  <si>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</si>
  <si>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</si>
  <si>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</si>
  <si>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</si>
  <si>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</si>
  <si>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</si>
  <si>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</si>
  <si>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</si>
  <si>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</si>
  <si>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</si>
  <si>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</si>
  <si>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</si>
  <si>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</si>
  <si>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</si>
  <si>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</si>
  <si>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</si>
  <si>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</si>
  <si>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</si>
  <si>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</si>
  <si>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</si>
  <si>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</si>
  <si>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</si>
  <si>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</si>
  <si>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</si>
  <si>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</si>
  <si>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</si>
  <si>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</si>
  <si>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</si>
  <si>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</si>
  <si>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</si>
  <si>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</si>
  <si>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</si>
  <si>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</si>
  <si>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</si>
  <si>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</si>
  <si>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</si>
  <si>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</si>
  <si>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</si>
  <si>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</si>
  <si>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</si>
  <si>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</si>
  <si>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</si>
  <si>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</si>
  <si>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</si>
  <si>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</si>
  <si>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</si>
  <si>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</si>
  <si>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</si>
  <si>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</si>
  <si>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</si>
  <si>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</si>
  <si>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</si>
  <si>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</si>
  <si>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</si>
  <si>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</si>
  <si>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</si>
  <si>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</si>
  <si>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</si>
  <si>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</si>
  <si>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</si>
  <si>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</si>
  <si>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</si>
  <si>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</si>
  <si>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</si>
  <si>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</si>
  <si>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</si>
  <si>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</si>
  <si>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</si>
  <si>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</si>
  <si>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</si>
  <si>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</si>
  <si>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</si>
  <si>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</si>
  <si>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</si>
  <si>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</si>
  <si>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</si>
  <si>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</si>
  <si>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</si>
  <si>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</si>
  <si>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</si>
  <si>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</si>
  <si>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</si>
  <si>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</si>
  <si>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</si>
  <si>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</si>
  <si>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</si>
  <si>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</si>
  <si>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</si>
  <si>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</si>
  <si>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</si>
  <si>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</si>
  <si>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</si>
  <si>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</si>
  <si>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</si>
  <si>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</si>
  <si>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</si>
  <si>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</si>
  <si>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</si>
  <si>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</si>
  <si>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</si>
  <si>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</si>
  <si>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</si>
  <si>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</si>
  <si>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</si>
  <si>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</si>
  <si>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</si>
  <si>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</si>
  <si>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</si>
  <si>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</si>
  <si>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</si>
  <si>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</si>
  <si>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</si>
  <si>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</si>
  <si>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</si>
  <si>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</si>
  <si>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</si>
  <si>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</si>
  <si>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</si>
  <si>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</si>
  <si>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</si>
  <si>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</si>
  <si>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</si>
  <si>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</si>
  <si>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</si>
  <si>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</si>
  <si>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</si>
  <si>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</si>
  <si>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</si>
  <si>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</si>
  <si>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</si>
  <si>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</si>
  <si>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</si>
  <si>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</si>
  <si>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</si>
  <si>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</si>
  <si>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</si>
  <si>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</si>
  <si>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</si>
  <si>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</si>
  <si>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</si>
  <si>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</si>
  <si>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</si>
  <si>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</si>
  <si>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</si>
  <si>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</si>
  <si>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</si>
  <si>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</si>
  <si>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</si>
  <si>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</si>
  <si>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</si>
  <si>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</si>
  <si>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</si>
  <si>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</si>
  <si>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</si>
  <si>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</si>
  <si>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</si>
  <si>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</si>
  <si>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</si>
  <si>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</si>
  <si>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</si>
  <si>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</si>
  <si>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</si>
  <si>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</si>
  <si>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</si>
  <si>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</si>
  <si>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</si>
  <si>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</si>
  <si>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</si>
  <si>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</si>
  <si>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</si>
  <si>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</si>
  <si>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</si>
  <si>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</si>
  <si>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</si>
  <si>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</si>
  <si>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</si>
  <si>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</si>
  <si>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</si>
  <si>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</si>
  <si>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</si>
  <si>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</si>
  <si>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</si>
  <si>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</si>
  <si>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</si>
  <si>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</si>
  <si>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</si>
  <si>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</si>
  <si>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</si>
  <si>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</si>
  <si>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</si>
  <si>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</si>
  <si>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</si>
  <si>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</si>
  <si>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</si>
  <si>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</si>
  <si>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</si>
  <si>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</si>
  <si>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</si>
  <si>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</si>
  <si>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</si>
  <si>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</si>
  <si>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</si>
  <si>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</si>
  <si>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</si>
  <si>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</si>
  <si>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</si>
  <si>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</si>
  <si>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</si>
  <si>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</si>
  <si>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</si>
  <si>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</si>
  <si>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</si>
  <si>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</si>
  <si>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</si>
  <si>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</si>
  <si>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</si>
  <si>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</si>
  <si>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</si>
  <si>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</si>
  <si>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</si>
  <si>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</si>
  <si>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</si>
  <si>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</si>
  <si>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</si>
  <si>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</si>
  <si>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</si>
  <si>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</si>
  <si>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</si>
  <si>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</si>
  <si>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</si>
  <si>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</si>
  <si>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</si>
  <si>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</si>
  <si>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</si>
  <si>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</si>
  <si>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</si>
  <si>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</si>
  <si>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</si>
  <si>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</si>
  <si>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</si>
  <si>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</si>
  <si>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</si>
  <si>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</si>
  <si>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</si>
  <si>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</si>
  <si>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</si>
  <si>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</si>
  <si>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</si>
  <si>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</si>
  <si>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</si>
  <si>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</si>
  <si>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</si>
  <si>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</si>
  <si>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</si>
  <si>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</si>
  <si>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</si>
  <si>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</si>
  <si>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</si>
  <si>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</si>
  <si>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</si>
  <si>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</si>
  <si>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</si>
  <si>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</si>
  <si>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</si>
  <si>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</si>
  <si>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</si>
  <si>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</si>
  <si>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</si>
  <si>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</si>
  <si>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</si>
  <si>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</si>
  <si>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</si>
  <si>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</si>
  <si>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</si>
  <si>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</si>
  <si>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</si>
  <si>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</si>
  <si>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</si>
  <si>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</si>
  <si>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</si>
  <si>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</si>
  <si>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</si>
  <si>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</si>
  <si>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</si>
  <si>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</si>
  <si>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</si>
  <si>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</si>
  <si>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</si>
  <si>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</si>
  <si>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</si>
  <si>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</si>
  <si>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</si>
  <si>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</si>
  <si>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</si>
  <si>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</si>
  <si>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</si>
  <si>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</si>
  <si>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</si>
  <si>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</si>
  <si>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</si>
  <si>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</si>
  <si>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</si>
  <si>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</si>
  <si>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</si>
  <si>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</si>
  <si>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</si>
  <si>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</si>
  <si>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</si>
  <si>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</si>
  <si>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</si>
  <si>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</si>
  <si>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</si>
  <si>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</si>
  <si>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</si>
  <si>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</si>
  <si>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</si>
  <si>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</si>
  <si>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</si>
  <si>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</si>
  <si>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</si>
  <si>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</si>
  <si>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</si>
  <si>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</si>
  <si>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</si>
  <si>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</si>
  <si>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</si>
  <si>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</si>
  <si>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</si>
  <si>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</si>
  <si>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</si>
  <si>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</si>
  <si>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</si>
  <si>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</si>
  <si>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</si>
  <si>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</si>
  <si>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</si>
  <si>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</si>
  <si>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</si>
  <si>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</si>
  <si>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</si>
  <si>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</si>
  <si>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</si>
  <si>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</si>
  <si>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</si>
  <si>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</si>
  <si>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</si>
  <si>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</si>
  <si>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</si>
  <si>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</si>
  <si>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</si>
  <si>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</si>
  <si>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</si>
  <si>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</si>
  <si>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</si>
  <si>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</si>
  <si>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</si>
  <si>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</si>
  <si>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</si>
  <si>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</si>
  <si>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</si>
  <si>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</si>
  <si>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</si>
  <si>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</si>
  <si>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</si>
  <si>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</si>
  <si>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</si>
  <si>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</si>
  <si>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</si>
  <si>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</si>
  <si>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</si>
  <si>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</si>
  <si>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</si>
  <si>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</si>
  <si>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</si>
  <si>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</si>
  <si>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</si>
  <si>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</si>
  <si>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</si>
  <si>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</si>
  <si>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</si>
  <si>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</si>
  <si>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</si>
  <si>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</si>
  <si>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</si>
  <si>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</si>
  <si>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</si>
  <si>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</si>
  <si>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</si>
  <si>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</si>
  <si>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</si>
  <si>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</si>
  <si>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</si>
  <si>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</si>
  <si>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</si>
  <si>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</si>
  <si>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</si>
  <si>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</si>
  <si>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</si>
  <si>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</si>
  <si>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</si>
  <si>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</si>
  <si>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</si>
  <si>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</si>
  <si>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</si>
  <si>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</si>
  <si>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</si>
  <si>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</si>
  <si>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</si>
  <si>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</si>
  <si>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</si>
  <si>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</si>
  <si>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</si>
  <si>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</si>
  <si>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</si>
  <si>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</si>
  <si>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</si>
  <si>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</si>
  <si>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</si>
  <si>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</si>
  <si>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</si>
  <si>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</si>
  <si>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</si>
  <si>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</si>
  <si>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</si>
  <si>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</si>
  <si>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</si>
  <si>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</si>
  <si>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</si>
  <si>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</si>
  <si>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</si>
  <si>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</si>
  <si>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</si>
  <si>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</si>
  <si>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</si>
  <si>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</si>
  <si>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</si>
  <si>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</si>
  <si>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</si>
  <si>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</si>
  <si>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</si>
  <si>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</si>
  <si>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</si>
  <si>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</si>
  <si>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</si>
  <si>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</si>
  <si>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</si>
  <si>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</si>
  <si>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</si>
  <si>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</si>
  <si>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</si>
  <si>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</si>
  <si>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</si>
  <si>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</si>
  <si>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</si>
  <si>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</si>
  <si>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</si>
  <si>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</si>
  <si>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</si>
  <si>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</si>
  <si>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</si>
  <si>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</si>
  <si>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</si>
  <si>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</si>
  <si>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</si>
  <si>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</si>
  <si>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</si>
  <si>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</si>
  <si>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</si>
  <si>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</si>
  <si>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</si>
  <si>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</si>
  <si>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</si>
  <si>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</si>
  <si>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</si>
  <si>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</si>
  <si>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</si>
  <si>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</si>
  <si>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</si>
  <si>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</si>
  <si>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</si>
  <si>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</si>
  <si>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</si>
  <si>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</si>
  <si>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</si>
  <si>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</si>
  <si>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</si>
  <si>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</si>
  <si>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</si>
  <si>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</si>
  <si>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</si>
  <si>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</si>
  <si>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</si>
  <si>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</si>
  <si>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</si>
  <si>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</si>
  <si>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</si>
  <si>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</si>
  <si>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</si>
  <si>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</si>
  <si>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</si>
  <si>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</si>
  <si>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</si>
  <si>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</si>
  <si>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</si>
  <si>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</si>
  <si>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</si>
  <si>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</si>
  <si>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</si>
  <si>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</si>
  <si>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</si>
  <si>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</si>
  <si>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</si>
  <si>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</si>
  <si>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</si>
  <si>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</si>
  <si>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</si>
  <si>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</si>
  <si>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</si>
  <si>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</si>
  <si>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</si>
  <si>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</si>
  <si>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</si>
  <si>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</si>
  <si>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</si>
  <si>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</si>
  <si>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</si>
  <si>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</si>
  <si>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</si>
  <si>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</si>
  <si>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</si>
  <si>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</si>
  <si>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</si>
  <si>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</si>
  <si>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</si>
  <si>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</si>
  <si>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</si>
  <si>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</si>
  <si>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</si>
  <si>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</si>
  <si>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</si>
  <si>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</si>
  <si>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</si>
  <si>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</si>
  <si>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</si>
  <si>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</si>
  <si>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</si>
  <si>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</si>
  <si>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</si>
  <si>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</si>
  <si>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</si>
  <si>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</si>
  <si>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</si>
  <si>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</si>
  <si>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</si>
  <si>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</si>
  <si>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</si>
  <si>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</si>
  <si>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</si>
  <si>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</si>
  <si>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</si>
  <si>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</si>
  <si>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</si>
  <si>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</si>
  <si>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</si>
  <si>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</si>
  <si>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</si>
  <si>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</si>
  <si>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</si>
  <si>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</si>
  <si>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</si>
  <si>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</si>
  <si>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</si>
  <si>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</si>
  <si>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</si>
  <si>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</si>
  <si>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</si>
  <si>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</si>
  <si>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</si>
  <si>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</si>
  <si>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</si>
  <si>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</si>
  <si>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</si>
  <si>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</si>
  <si>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</si>
  <si>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</si>
  <si>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</si>
  <si>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</si>
  <si>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</si>
  <si>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</si>
  <si>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</si>
  <si>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</si>
  <si>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</si>
  <si>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</si>
  <si>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</si>
  <si>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</si>
  <si>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</si>
  <si>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</si>
  <si>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</si>
  <si>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</si>
  <si>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</si>
  <si>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</si>
  <si>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</si>
  <si>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</si>
  <si>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</si>
  <si>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</si>
  <si>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</si>
  <si>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</si>
  <si>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</si>
  <si>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</si>
  <si>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</si>
  <si>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</si>
  <si>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</si>
  <si>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</si>
  <si>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</si>
  <si>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</si>
  <si>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</si>
  <si>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</si>
  <si>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</si>
  <si>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</si>
  <si>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</si>
  <si>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</si>
  <si>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</si>
  <si>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</si>
  <si>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</si>
  <si>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</si>
  <si>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</si>
  <si>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</si>
  <si>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</si>
  <si>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</si>
  <si>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</si>
  <si>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</si>
  <si>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</si>
  <si>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</si>
  <si>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</si>
  <si>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</si>
  <si>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</si>
  <si>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</si>
  <si>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</si>
  <si>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</si>
  <si>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</si>
  <si>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</si>
  <si>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</si>
  <si>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</si>
  <si>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</si>
  <si>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</si>
  <si>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</si>
  <si>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</si>
  <si>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</si>
  <si>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</si>
  <si>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</si>
  <si>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</si>
  <si>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</si>
  <si>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</si>
  <si>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</si>
  <si>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</si>
  <si>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</si>
  <si>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</si>
  <si>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</si>
  <si>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</si>
  <si>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</si>
  <si>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</si>
  <si>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</si>
  <si>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</si>
  <si>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</si>
  <si>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</si>
  <si>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</si>
  <si>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</si>
  <si>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</si>
  <si>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</si>
  <si>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</si>
  <si>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</si>
  <si>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</si>
  <si>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</si>
  <si>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</si>
  <si>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</si>
  <si>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</si>
  <si>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</si>
  <si>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</si>
  <si>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</si>
  <si>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</si>
  <si>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</si>
  <si>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</si>
  <si>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</si>
  <si>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</si>
  <si>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</si>
  <si>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</si>
  <si>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</si>
  <si>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</si>
  <si>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</si>
  <si>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</si>
  <si>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</si>
  <si>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</si>
  <si>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</si>
  <si>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</si>
  <si>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</si>
  <si>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</si>
  <si>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</si>
  <si>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</si>
  <si>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</si>
  <si>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</si>
  <si>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</si>
  <si>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</si>
  <si>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</si>
  <si>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</si>
  <si>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</si>
  <si>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</si>
  <si>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</si>
  <si>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</si>
  <si>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</si>
  <si>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</si>
  <si>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</si>
  <si>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</si>
  <si>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</si>
  <si>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</si>
  <si>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</si>
  <si>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</si>
  <si>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</si>
  <si>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</si>
  <si>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</si>
  <si>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</si>
  <si>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</si>
  <si>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</si>
  <si>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</si>
  <si>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</si>
  <si>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</si>
  <si>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</si>
  <si>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</si>
  <si>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</si>
  <si>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</si>
  <si>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</si>
  <si>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</si>
  <si>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</si>
  <si>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</si>
  <si>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</si>
  <si>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</si>
  <si>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</si>
  <si>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</si>
  <si>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</si>
  <si>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</si>
  <si>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</si>
  <si>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</si>
  <si>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</si>
  <si>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</si>
  <si>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</si>
  <si>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</si>
  <si>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</si>
  <si>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</si>
  <si>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</si>
  <si>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</si>
  <si>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</si>
  <si>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</si>
  <si>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</si>
  <si>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</si>
  <si>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</si>
  <si>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</si>
  <si>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</si>
  <si>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</si>
  <si>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</si>
  <si>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</si>
  <si>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</si>
  <si>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</si>
  <si>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</si>
  <si>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</si>
  <si>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</si>
  <si>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</si>
  <si>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</si>
  <si>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</si>
  <si>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</si>
  <si>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</si>
  <si>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</si>
  <si>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</si>
  <si>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</si>
  <si>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</si>
  <si>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</si>
  <si>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</si>
  <si>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</si>
  <si>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</si>
  <si>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</si>
  <si>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</si>
  <si>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</si>
  <si>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</si>
  <si>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</si>
  <si>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</si>
  <si>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</si>
  <si>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</si>
  <si>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</si>
  <si>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</si>
  <si>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</si>
  <si>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</si>
  <si>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</si>
  <si>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</si>
  <si>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</si>
  <si>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</si>
  <si>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</si>
  <si>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</si>
  <si>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</si>
  <si>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</si>
  <si>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</si>
  <si>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</si>
  <si>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</si>
  <si>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</si>
  <si>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</si>
  <si>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</si>
  <si>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</si>
  <si>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</si>
  <si>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</si>
  <si>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</si>
  <si>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</si>
  <si>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</si>
  <si>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</si>
  <si>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</si>
  <si>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</si>
  <si>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</si>
  <si>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</si>
  <si>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</si>
  <si>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</si>
  <si>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</si>
  <si>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</si>
  <si>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</si>
  <si>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</si>
  <si>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</si>
  <si>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</si>
  <si>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</si>
  <si>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</si>
  <si>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</si>
  <si>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</si>
  <si>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</si>
  <si>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</si>
  <si>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</si>
  <si>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</si>
  <si>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</si>
  <si>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</si>
  <si>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</si>
  <si>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</si>
  <si>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</si>
  <si>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</si>
  <si>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</si>
  <si>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</si>
  <si>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</si>
  <si>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</si>
  <si>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</si>
  <si>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</si>
  <si>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</si>
  <si>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</si>
  <si>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</si>
  <si>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</si>
  <si>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</si>
  <si>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</si>
  <si>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</si>
  <si>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</si>
  <si>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</si>
  <si>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</si>
  <si>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</si>
  <si>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</si>
  <si>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</si>
  <si>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</si>
  <si>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</si>
  <si>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</si>
  <si>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</si>
  <si>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</si>
  <si>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</si>
  <si>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</si>
  <si>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</si>
  <si>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</si>
  <si>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</si>
  <si>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</si>
  <si>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</si>
  <si>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</si>
  <si>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</si>
  <si>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</si>
  <si>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</si>
  <si>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</si>
  <si>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</si>
  <si>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</si>
  <si>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</si>
  <si>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</si>
  <si>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</si>
  <si>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</si>
  <si>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</si>
  <si>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</si>
  <si>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</si>
  <si>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</si>
  <si>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</si>
  <si>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</si>
  <si>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</si>
  <si>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</si>
  <si>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</si>
  <si>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</si>
  <si>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</si>
  <si>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</si>
  <si>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</si>
  <si>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</si>
  <si>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</si>
  <si>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</si>
  <si>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</si>
  <si>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</si>
  <si>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</si>
  <si>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</si>
  <si>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</si>
  <si>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</si>
  <si>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</si>
  <si>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</si>
  <si>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</si>
  <si>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</si>
  <si>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</si>
  <si>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</si>
  <si>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</si>
  <si>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</si>
  <si>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</si>
  <si>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</si>
  <si>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</si>
  <si>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</si>
  <si>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</si>
  <si>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</si>
  <si>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</si>
  <si>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</si>
  <si>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</si>
  <si>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</si>
  <si>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</si>
  <si>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</si>
  <si>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</si>
  <si>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</si>
  <si>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</si>
  <si>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</si>
  <si>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</si>
  <si>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</si>
  <si>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</si>
  <si>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</si>
  <si>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</si>
  <si>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</si>
  <si>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</si>
  <si>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</si>
  <si>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</si>
  <si>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</si>
  <si>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</si>
  <si>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</si>
  <si>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</si>
  <si>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</si>
  <si>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</si>
  <si>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</si>
  <si>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</si>
  <si>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</si>
  <si>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</si>
  <si>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</si>
  <si>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</si>
  <si>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</si>
  <si>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</si>
  <si>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</si>
  <si>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</si>
  <si>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</si>
  <si>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</si>
  <si>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</si>
  <si>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</si>
  <si>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</si>
  <si>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</si>
  <si>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</si>
  <si>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</si>
  <si>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</si>
  <si>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</si>
  <si>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</si>
  <si>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</si>
  <si>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</si>
  <si>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</si>
  <si>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</si>
  <si>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</si>
  <si>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</si>
  <si>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</si>
  <si>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</si>
  <si>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</si>
  <si>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</si>
  <si>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</si>
  <si>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</si>
  <si>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</si>
  <si>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</si>
  <si>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</si>
  <si>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</si>
  <si>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</si>
  <si>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</si>
  <si>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</si>
  <si>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</si>
  <si>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</si>
  <si>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</si>
  <si>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</si>
  <si>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</si>
  <si>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</si>
  <si>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</si>
  <si>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</si>
  <si>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</si>
  <si>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</si>
  <si>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</si>
  <si>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</si>
  <si>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</si>
  <si>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</si>
  <si>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</si>
  <si>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</si>
  <si>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</si>
  <si>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</si>
  <si>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</si>
  <si>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</si>
  <si>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</si>
  <si>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</si>
  <si>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</si>
  <si>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</si>
  <si>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</si>
  <si>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</si>
  <si>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</si>
  <si>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</si>
  <si>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</si>
  <si>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</si>
  <si>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</si>
  <si>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</si>
  <si>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</si>
  <si>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</si>
  <si>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</si>
  <si>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</si>
  <si>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</si>
  <si>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</si>
  <si>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</si>
  <si>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</si>
  <si>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</si>
  <si>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</si>
  <si>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</si>
  <si>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</si>
  <si>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</si>
  <si>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</si>
  <si>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</si>
  <si>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</si>
  <si>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</si>
  <si>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</si>
  <si>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</si>
  <si>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</si>
  <si>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</si>
  <si>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</si>
  <si>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</si>
  <si>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</si>
  <si>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</si>
  <si>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</si>
  <si>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</si>
  <si>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</si>
  <si>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</si>
  <si>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</si>
  <si>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</si>
  <si>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</si>
  <si>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</si>
  <si>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</si>
  <si>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</si>
  <si>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</si>
  <si>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</si>
  <si>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</si>
  <si>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</si>
  <si>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</si>
  <si>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</si>
  <si>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</si>
  <si>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</si>
  <si>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</si>
  <si>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</si>
  <si>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</si>
  <si>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</si>
  <si>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</si>
  <si>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</si>
  <si>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</si>
  <si>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</si>
  <si>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</si>
  <si>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</si>
  <si>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</si>
  <si>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</si>
  <si>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</si>
  <si>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</si>
  <si>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</si>
  <si>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</si>
  <si>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</si>
  <si>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</si>
  <si>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</si>
  <si>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</si>
  <si>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</si>
  <si>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</si>
  <si>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</si>
  <si>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</si>
  <si>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</si>
  <si>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</si>
  <si>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</si>
  <si>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</si>
  <si>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</si>
  <si>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</si>
  <si>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</si>
  <si>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</si>
  <si>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</si>
  <si>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</si>
  <si>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</si>
  <si>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</si>
  <si>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</si>
  <si>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</si>
  <si>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</si>
  <si>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</si>
  <si>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</si>
  <si>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</si>
  <si>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</si>
  <si>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</si>
  <si>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</si>
  <si>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</si>
  <si>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</si>
  <si>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</si>
  <si>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</si>
  <si>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</si>
  <si>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</si>
  <si>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</si>
  <si>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</si>
  <si>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</si>
  <si>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</si>
  <si>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</si>
  <si>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</si>
  <si>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</si>
  <si>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</si>
  <si>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</si>
  <si>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</si>
  <si>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</si>
  <si>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</si>
  <si>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</si>
  <si>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</si>
  <si>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</si>
  <si>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</si>
  <si>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</si>
  <si>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</si>
  <si>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</si>
  <si>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</si>
  <si>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</si>
  <si>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</si>
  <si>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</si>
  <si>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</si>
  <si>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</si>
  <si>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</si>
  <si>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</si>
  <si>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</si>
  <si>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</si>
  <si>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</si>
  <si>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</si>
  <si>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</si>
  <si>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</si>
  <si>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</si>
  <si>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</si>
  <si>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</si>
  <si>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</si>
  <si>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</si>
  <si>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</si>
  <si>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</si>
  <si>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</si>
  <si>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</si>
  <si>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</si>
  <si>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</si>
  <si>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</si>
  <si>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</si>
  <si>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</si>
  <si>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</si>
  <si>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</si>
  <si>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</si>
  <si>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</si>
  <si>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</si>
  <si>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</si>
  <si>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</si>
  <si>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</si>
  <si>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</si>
  <si>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</si>
  <si>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</si>
  <si>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</si>
  <si>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</si>
  <si>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</si>
  <si>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</si>
  <si>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</si>
  <si>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</si>
  <si>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</si>
  <si>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</si>
  <si>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</si>
  <si>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</si>
  <si>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</si>
  <si>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</si>
  <si>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</si>
  <si>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</si>
  <si>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</si>
  <si>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</si>
  <si>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</si>
  <si>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</si>
  <si>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</si>
  <si>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</si>
  <si>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</si>
  <si>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</si>
  <si>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</si>
  <si>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</si>
  <si>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</si>
  <si>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</si>
  <si>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</si>
  <si>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</si>
  <si>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</si>
  <si>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</si>
  <si>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</si>
  <si>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</si>
  <si>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</si>
  <si>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</si>
  <si>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</si>
  <si>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</si>
  <si>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</si>
  <si>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</si>
  <si>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</si>
  <si>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</si>
  <si>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</si>
  <si>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</si>
  <si>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</si>
  <si>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</si>
  <si>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</si>
  <si>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</si>
  <si>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</si>
  <si>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</si>
  <si>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</si>
  <si>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</si>
  <si>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</si>
  <si>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</si>
  <si>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</si>
  <si>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</si>
  <si>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</si>
  <si>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</si>
  <si>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</si>
  <si>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</si>
  <si>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</si>
  <si>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</si>
  <si>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</si>
  <si>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</si>
  <si>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</si>
  <si>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</si>
  <si>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</si>
  <si>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</si>
  <si>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</si>
  <si>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</si>
  <si>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</si>
  <si>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</si>
  <si>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</si>
  <si>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</si>
  <si>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</si>
  <si>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</si>
  <si>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</si>
  <si>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</si>
  <si>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</si>
  <si>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</si>
  <si>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</si>
  <si>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</si>
  <si>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</si>
  <si>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</si>
  <si>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</si>
  <si>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</si>
  <si>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</si>
  <si>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</si>
  <si>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</si>
  <si>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</si>
  <si>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</si>
  <si>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</si>
  <si>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</si>
  <si>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</si>
  <si>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</si>
  <si>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</si>
  <si>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</si>
  <si>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</si>
  <si>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</si>
  <si>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</si>
  <si>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</si>
  <si>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</si>
  <si>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</si>
  <si>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</si>
  <si>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</si>
  <si>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</si>
  <si>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</si>
  <si>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</si>
  <si>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</si>
  <si>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</si>
  <si>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</si>
  <si>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</si>
  <si>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</si>
  <si>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</si>
  <si>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</si>
  <si>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</si>
  <si>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</si>
  <si>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</si>
  <si>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</si>
  <si>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</si>
  <si>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</si>
  <si>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</si>
  <si>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</si>
  <si>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</si>
  <si>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</si>
  <si>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</si>
  <si>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</si>
  <si>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</si>
  <si>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</si>
  <si>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</si>
  <si>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</si>
  <si>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</si>
  <si>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</si>
  <si>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</si>
  <si>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</si>
  <si>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</si>
  <si>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</si>
  <si>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</si>
  <si>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</si>
  <si>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</si>
  <si>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</si>
  <si>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</si>
  <si>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</si>
  <si>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</si>
  <si>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</si>
  <si>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</si>
  <si>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</si>
  <si>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</si>
  <si>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</si>
  <si>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</si>
  <si>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</si>
  <si>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</si>
  <si>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</si>
  <si>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</si>
  <si>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</si>
  <si>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</si>
  <si>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</si>
  <si>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</si>
  <si>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</si>
  <si>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</si>
  <si>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</si>
  <si>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</si>
  <si>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</si>
  <si>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</si>
  <si>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</si>
  <si>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</si>
  <si>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</si>
  <si>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</si>
  <si>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</si>
  <si>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</si>
  <si>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</si>
  <si>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</si>
  <si>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</si>
  <si>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</si>
  <si>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</si>
  <si>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</si>
  <si>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</si>
  <si>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</si>
  <si>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</si>
  <si>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</si>
  <si>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</si>
  <si>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</si>
  <si>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</si>
  <si>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</si>
  <si>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</si>
  <si>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</si>
  <si>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</si>
  <si>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</si>
  <si>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</si>
  <si>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</si>
  <si>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</si>
  <si>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</si>
  <si>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</si>
  <si>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</si>
  <si>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</si>
  <si>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</si>
  <si>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</si>
  <si>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</si>
  <si>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</si>
  <si>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</si>
  <si>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</si>
  <si>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</si>
  <si>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</si>
  <si>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</si>
  <si>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</si>
  <si>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</si>
  <si>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</si>
  <si>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</si>
  <si>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</si>
  <si>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</si>
  <si>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</si>
  <si>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</si>
  <si>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</si>
  <si>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</si>
  <si>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</si>
  <si>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</si>
  <si>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</si>
  <si>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</si>
  <si>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</si>
  <si>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</si>
  <si>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</si>
  <si>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</si>
  <si>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</si>
  <si>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</si>
  <si>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</si>
  <si>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</si>
  <si>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</si>
  <si>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</si>
  <si>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</si>
  <si>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</si>
  <si>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</si>
  <si>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</si>
  <si>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</si>
  <si>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</si>
  <si>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</si>
  <si>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</si>
  <si>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</si>
  <si>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</si>
  <si>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</si>
  <si>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</si>
  <si>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</si>
  <si>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</si>
  <si>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</si>
  <si>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</si>
  <si>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</si>
  <si>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</si>
  <si>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</si>
  <si>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</si>
  <si>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</si>
  <si>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</si>
  <si>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</si>
  <si>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</si>
  <si>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</si>
  <si>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</si>
  <si>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</si>
  <si>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</si>
  <si>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</si>
  <si>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</si>
  <si>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</si>
  <si>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</si>
  <si>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</si>
  <si>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</si>
  <si>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</si>
  <si>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</si>
  <si>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</si>
  <si>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</si>
  <si>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</si>
  <si>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</si>
  <si>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</si>
  <si>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</si>
  <si>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</si>
  <si>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</si>
  <si>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</si>
  <si>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</si>
  <si>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</si>
  <si>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</si>
  <si>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</si>
  <si>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</si>
  <si>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</si>
  <si>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</si>
  <si>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</si>
  <si>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</si>
  <si>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</si>
  <si>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</si>
  <si>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</si>
  <si>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</si>
  <si>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</si>
  <si>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</si>
  <si>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</si>
  <si>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</si>
  <si>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</si>
  <si>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</si>
  <si>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</si>
  <si>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</si>
  <si>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</si>
  <si>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</si>
  <si>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</si>
  <si>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</si>
  <si>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</si>
  <si>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</si>
  <si>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</si>
  <si>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</si>
  <si>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</si>
  <si>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</si>
  <si>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</si>
  <si>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</si>
  <si>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</si>
  <si>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</si>
  <si>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</si>
  <si>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</si>
  <si>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</si>
  <si>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</si>
  <si>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</si>
  <si>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</si>
  <si>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</si>
  <si>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</si>
  <si>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</si>
  <si>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</si>
  <si>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</si>
  <si>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</si>
  <si>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</si>
  <si>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</si>
  <si>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</si>
  <si>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</si>
  <si>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</si>
  <si>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</si>
  <si>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</si>
  <si>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</si>
  <si>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</si>
  <si>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</si>
  <si>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</si>
  <si>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</si>
  <si>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</si>
  <si>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</si>
  <si>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</si>
  <si>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</si>
  <si>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</si>
  <si>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</si>
  <si>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</si>
  <si>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</si>
  <si>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</si>
  <si>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</si>
  <si>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</si>
  <si>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</si>
  <si>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</si>
  <si>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</si>
  <si>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</si>
  <si>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</si>
  <si>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</si>
  <si>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</si>
  <si>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</si>
  <si>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</si>
  <si>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</si>
  <si>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</si>
  <si>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</si>
  <si>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</si>
  <si>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</si>
  <si>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</si>
  <si>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</si>
  <si>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</si>
  <si>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</si>
  <si>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</si>
  <si>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</si>
  <si>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</si>
  <si>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</si>
  <si>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</si>
  <si>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</si>
  <si>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</si>
  <si>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</si>
  <si>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</si>
  <si>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</si>
  <si>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</si>
  <si>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</si>
  <si>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</si>
  <si>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</si>
  <si>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</si>
  <si>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</si>
  <si>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</si>
  <si>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</si>
  <si>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</si>
  <si>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</si>
  <si>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</si>
  <si>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</si>
  <si>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</si>
  <si>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</si>
  <si>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</si>
  <si>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</si>
  <si>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</si>
  <si>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</si>
  <si>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</si>
  <si>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</si>
  <si>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</si>
  <si>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</si>
  <si>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</si>
  <si>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</si>
  <si>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</si>
  <si>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</si>
  <si>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</si>
  <si>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</si>
  <si>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</si>
  <si>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</si>
  <si>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</si>
  <si>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</si>
  <si>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</si>
  <si>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</si>
  <si>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</si>
  <si>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</si>
  <si>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</si>
  <si>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</si>
  <si>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</si>
  <si>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</si>
  <si>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</si>
  <si>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</si>
  <si>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</si>
  <si>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</si>
  <si>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</si>
  <si>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</si>
  <si>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</si>
  <si>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</si>
  <si>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</si>
  <si>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</si>
  <si>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</si>
  <si>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</si>
  <si>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</si>
  <si>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</si>
  <si>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</si>
  <si>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</si>
  <si>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</si>
  <si>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</si>
  <si>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</si>
  <si>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</si>
  <si>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</si>
  <si>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</si>
  <si>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</si>
  <si>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</si>
  <si>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</si>
  <si>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</si>
  <si>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</si>
  <si>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</si>
  <si>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</si>
  <si>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</si>
  <si>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</si>
  <si>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</si>
  <si>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</si>
  <si>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</si>
  <si>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</si>
  <si>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</si>
  <si>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</si>
  <si>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</si>
  <si>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</si>
  <si>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</si>
  <si>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</si>
  <si>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</si>
  <si>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</si>
  <si>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</si>
  <si>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</si>
  <si>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</si>
  <si>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</si>
  <si>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</si>
  <si>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</si>
  <si>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</si>
  <si>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</si>
  <si>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</si>
  <si>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</si>
  <si>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</si>
  <si>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</si>
  <si>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</si>
  <si>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</si>
  <si>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</si>
  <si>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</si>
  <si>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</si>
  <si>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</si>
  <si>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</si>
  <si>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</si>
  <si>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</si>
  <si>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</si>
  <si>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</si>
  <si>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</si>
  <si>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</si>
  <si>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</si>
  <si>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</si>
  <si>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</si>
  <si>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</si>
  <si>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</si>
  <si>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</si>
  <si>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</si>
  <si>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</si>
  <si>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</si>
  <si>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</si>
  <si>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</si>
  <si>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</si>
  <si>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</si>
  <si>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</si>
  <si>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</si>
  <si>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</si>
  <si>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</si>
  <si>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</si>
  <si>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</si>
  <si>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</si>
  <si>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</si>
  <si>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</si>
  <si>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</si>
  <si>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</si>
  <si>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</si>
  <si>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</si>
  <si>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</si>
  <si>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</si>
  <si>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</si>
  <si>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</si>
  <si>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</si>
  <si>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</si>
  <si>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</si>
  <si>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</si>
  <si>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</si>
  <si>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</si>
  <si>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</si>
  <si>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</si>
  <si>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</si>
  <si>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</si>
  <si>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</si>
  <si>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</si>
  <si>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</si>
  <si>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</si>
  <si>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</si>
  <si>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</si>
  <si>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</si>
  <si>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</si>
  <si>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</si>
  <si>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</si>
  <si>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</si>
  <si>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</si>
  <si>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</si>
  <si>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</si>
  <si>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</si>
  <si>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</si>
  <si>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</si>
  <si>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</si>
  <si>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</si>
  <si>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</si>
  <si>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</si>
  <si>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</si>
  <si>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</si>
  <si>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</si>
  <si>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</si>
  <si>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</si>
  <si>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</si>
  <si>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</si>
  <si>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</si>
  <si>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</si>
  <si>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</si>
  <si>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</si>
  <si>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</si>
  <si>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</si>
  <si>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</si>
  <si>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</si>
  <si>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</si>
  <si>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</si>
  <si>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</si>
  <si>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</si>
  <si>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</si>
  <si>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</si>
  <si>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</si>
  <si>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</si>
  <si>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</si>
  <si>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</si>
  <si>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</si>
  <si>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</si>
  <si>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</si>
  <si>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</si>
  <si>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</si>
  <si>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</si>
  <si>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</si>
  <si>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</si>
  <si>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</si>
  <si>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</si>
  <si>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</si>
  <si>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</si>
  <si>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</si>
  <si>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</si>
  <si>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</si>
  <si>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</si>
  <si>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</si>
  <si>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</si>
  <si>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</si>
  <si>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</si>
  <si>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</si>
  <si>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</si>
  <si>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</si>
  <si>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</si>
  <si>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</si>
  <si>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</si>
  <si>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</si>
  <si>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</si>
  <si>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</si>
  <si>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</si>
  <si>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</si>
  <si>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</si>
  <si>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</si>
  <si>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</si>
  <si>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</si>
  <si>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</si>
  <si>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</si>
  <si>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</si>
  <si>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</si>
  <si>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</si>
  <si>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</si>
  <si>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</si>
  <si>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</si>
  <si>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</si>
  <si>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</si>
  <si>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</si>
  <si>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</si>
  <si>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</si>
  <si>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</si>
  <si>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</si>
  <si>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</si>
  <si>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</si>
  <si>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</si>
  <si>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</si>
  <si>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</si>
  <si>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</si>
  <si>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</si>
  <si>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</si>
  <si>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</si>
  <si>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</si>
  <si>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</si>
  <si>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</si>
  <si>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</si>
  <si>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</si>
  <si>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</si>
  <si>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</si>
  <si>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</si>
  <si>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</si>
  <si>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</si>
  <si>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</si>
  <si>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</si>
  <si>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</si>
  <si>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</si>
  <si>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</si>
  <si>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</si>
  <si>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</si>
  <si>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</si>
  <si>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</si>
  <si>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</si>
  <si>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</si>
  <si>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</si>
  <si>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</si>
  <si>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</si>
  <si>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</si>
  <si>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</si>
  <si>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</si>
  <si>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</si>
  <si>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</si>
  <si>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</si>
  <si>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</si>
  <si>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</si>
  <si>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</si>
  <si>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</si>
  <si>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</si>
  <si>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</si>
  <si>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</si>
  <si>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</si>
  <si>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</si>
  <si>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</si>
  <si>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</si>
  <si>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</si>
  <si>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</si>
  <si>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</si>
  <si>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</si>
  <si>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</si>
  <si>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</si>
  <si>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</si>
  <si>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</si>
  <si>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</si>
  <si>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</si>
  <si>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</si>
  <si>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</si>
  <si>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</si>
  <si>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</si>
  <si>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</si>
  <si>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</si>
  <si>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</si>
  <si>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</si>
  <si>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</si>
  <si>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</si>
  <si>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</si>
  <si>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</si>
  <si>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</si>
  <si>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</si>
  <si>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</si>
  <si>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</si>
  <si>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</si>
  <si>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</si>
  <si>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</si>
  <si>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</si>
  <si>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</si>
  <si>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</si>
  <si>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</si>
  <si>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</si>
  <si>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</si>
  <si>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</si>
  <si>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</si>
  <si>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</si>
  <si>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</si>
  <si>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</si>
  <si>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</si>
  <si>
    <t>Ronaldo nascimento</t>
  </si>
  <si>
    <t>Litoral Sul (Ricali)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</si>
</sst>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495">
      <pivotArea dataOnly="0" labelOnly="1" fieldPosition="0">
        <references count="1">
          <reference field="6" count="1">
            <x v="441"/>
          </reference>
        </references>
      </pivotArea>
    </format>
    <format dxfId="494">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34">
      <pivotArea type="all" dataOnly="0" outline="0" fieldPosition="0"/>
    </format>
    <format dxfId="533">
      <pivotArea field="18" type="button" dataOnly="0" labelOnly="1" outline="0" axis="axisRow" fieldPosition="0"/>
    </format>
    <format dxfId="532">
      <pivotArea dataOnly="0" labelOnly="1" outline="0" fieldPosition="0">
        <references count="1">
          <reference field="4294967294" count="2">
            <x v="0"/>
            <x v="1"/>
          </reference>
        </references>
      </pivotArea>
    </format>
    <format dxfId="531">
      <pivotArea type="all" dataOnly="0" outline="0" fieldPosition="0"/>
    </format>
    <format dxfId="530">
      <pivotArea field="18" type="button" dataOnly="0" labelOnly="1" outline="0" axis="axisRow" fieldPosition="0"/>
    </format>
    <format dxfId="529">
      <pivotArea dataOnly="0" labelOnly="1" outline="0" fieldPosition="0">
        <references count="1">
          <reference field="4294967294" count="2">
            <x v="0"/>
            <x v="1"/>
          </reference>
        </references>
      </pivotArea>
    </format>
    <format dxfId="528">
      <pivotArea collapsedLevelsAreSubtotals="1" fieldPosition="0">
        <references count="1">
          <reference field="18" count="1">
            <x v="0"/>
          </reference>
        </references>
      </pivotArea>
    </format>
    <format dxfId="527">
      <pivotArea collapsedLevelsAreSubtotals="1" fieldPosition="0">
        <references count="1">
          <reference field="18" count="1">
            <x v="1"/>
          </reference>
        </references>
      </pivotArea>
    </format>
    <format dxfId="526">
      <pivotArea collapsedLevelsAreSubtotals="1" fieldPosition="0">
        <references count="1">
          <reference field="18" count="1">
            <x v="2"/>
          </reference>
        </references>
      </pivotArea>
    </format>
    <format dxfId="525">
      <pivotArea collapsedLevelsAreSubtotals="1" fieldPosition="0">
        <references count="1">
          <reference field="18" count="1">
            <x v="3"/>
          </reference>
        </references>
      </pivotArea>
    </format>
    <format dxfId="524">
      <pivotArea collapsedLevelsAreSubtotals="1" fieldPosition="0">
        <references count="1">
          <reference field="18" count="1">
            <x v="4"/>
          </reference>
        </references>
      </pivotArea>
    </format>
    <format dxfId="523">
      <pivotArea collapsedLevelsAreSubtotals="1" fieldPosition="0">
        <references count="1">
          <reference field="18" count="1">
            <x v="5"/>
          </reference>
        </references>
      </pivotArea>
    </format>
    <format dxfId="522">
      <pivotArea collapsedLevelsAreSubtotals="1" fieldPosition="0">
        <references count="1">
          <reference field="18" count="1">
            <x v="6"/>
          </reference>
        </references>
      </pivotArea>
    </format>
    <format dxfId="521">
      <pivotArea collapsedLevelsAreSubtotals="1" fieldPosition="0">
        <references count="1">
          <reference field="18" count="1">
            <x v="7"/>
          </reference>
        </references>
      </pivotArea>
    </format>
    <format dxfId="520">
      <pivotArea collapsedLevelsAreSubtotals="1" fieldPosition="0">
        <references count="1">
          <reference field="18" count="1">
            <x v="8"/>
          </reference>
        </references>
      </pivotArea>
    </format>
    <format dxfId="519">
      <pivotArea collapsedLevelsAreSubtotals="1" fieldPosition="0">
        <references count="1">
          <reference field="18" count="1">
            <x v="9"/>
          </reference>
        </references>
      </pivotArea>
    </format>
    <format dxfId="518">
      <pivotArea collapsedLevelsAreSubtotals="1" fieldPosition="0">
        <references count="1">
          <reference field="18" count="1">
            <x v="10"/>
          </reference>
        </references>
      </pivotArea>
    </format>
    <format dxfId="517">
      <pivotArea outline="0" collapsedLevelsAreSubtotals="1" fieldPosition="0">
        <references count="1">
          <reference field="4294967294" count="1" selected="0">
            <x v="1"/>
          </reference>
        </references>
      </pivotArea>
    </format>
    <format dxfId="516">
      <pivotArea collapsedLevelsAreSubtotals="1" fieldPosition="0">
        <references count="2">
          <reference field="4294967294" count="1" selected="0">
            <x v="0"/>
          </reference>
          <reference field="18" count="1">
            <x v="0"/>
          </reference>
        </references>
      </pivotArea>
    </format>
    <format dxfId="515">
      <pivotArea collapsedLevelsAreSubtotals="1" fieldPosition="0">
        <references count="2">
          <reference field="4294967294" count="1" selected="0">
            <x v="0"/>
          </reference>
          <reference field="18" count="1">
            <x v="1"/>
          </reference>
        </references>
      </pivotArea>
    </format>
    <format dxfId="514">
      <pivotArea collapsedLevelsAreSubtotals="1" fieldPosition="0">
        <references count="2">
          <reference field="4294967294" count="1" selected="0">
            <x v="0"/>
          </reference>
          <reference field="18" count="1">
            <x v="2"/>
          </reference>
        </references>
      </pivotArea>
    </format>
    <format dxfId="513">
      <pivotArea collapsedLevelsAreSubtotals="1" fieldPosition="0">
        <references count="2">
          <reference field="4294967294" count="1" selected="0">
            <x v="0"/>
          </reference>
          <reference field="18" count="1">
            <x v="3"/>
          </reference>
        </references>
      </pivotArea>
    </format>
    <format dxfId="512">
      <pivotArea collapsedLevelsAreSubtotals="1" fieldPosition="0">
        <references count="2">
          <reference field="4294967294" count="1" selected="0">
            <x v="0"/>
          </reference>
          <reference field="18" count="1">
            <x v="4"/>
          </reference>
        </references>
      </pivotArea>
    </format>
    <format dxfId="511">
      <pivotArea collapsedLevelsAreSubtotals="1" fieldPosition="0">
        <references count="2">
          <reference field="4294967294" count="1" selected="0">
            <x v="0"/>
          </reference>
          <reference field="18" count="1">
            <x v="5"/>
          </reference>
        </references>
      </pivotArea>
    </format>
    <format dxfId="510">
      <pivotArea collapsedLevelsAreSubtotals="1" fieldPosition="0">
        <references count="2">
          <reference field="4294967294" count="1" selected="0">
            <x v="0"/>
          </reference>
          <reference field="18" count="1">
            <x v="6"/>
          </reference>
        </references>
      </pivotArea>
    </format>
    <format dxfId="509">
      <pivotArea collapsedLevelsAreSubtotals="1" fieldPosition="0">
        <references count="2">
          <reference field="4294967294" count="1" selected="0">
            <x v="0"/>
          </reference>
          <reference field="18" count="1">
            <x v="7"/>
          </reference>
        </references>
      </pivotArea>
    </format>
    <format dxfId="508">
      <pivotArea collapsedLevelsAreSubtotals="1" fieldPosition="0">
        <references count="2">
          <reference field="4294967294" count="1" selected="0">
            <x v="0"/>
          </reference>
          <reference field="18" count="1">
            <x v="8"/>
          </reference>
        </references>
      </pivotArea>
    </format>
    <format dxfId="507">
      <pivotArea collapsedLevelsAreSubtotals="1" fieldPosition="0">
        <references count="2">
          <reference field="4294967294" count="1" selected="0">
            <x v="0"/>
          </reference>
          <reference field="18" count="1">
            <x v="9"/>
          </reference>
        </references>
      </pivotArea>
    </format>
    <format dxfId="506">
      <pivotArea collapsedLevelsAreSubtotals="1" fieldPosition="0">
        <references count="2">
          <reference field="4294967294" count="1" selected="0">
            <x v="0"/>
          </reference>
          <reference field="18" count="1">
            <x v="10"/>
          </reference>
        </references>
      </pivotArea>
    </format>
    <format dxfId="505">
      <pivotArea collapsedLevelsAreSubtotals="1" fieldPosition="0">
        <references count="2">
          <reference field="4294967294" count="1" selected="0">
            <x v="0"/>
          </reference>
          <reference field="18" count="1">
            <x v="11"/>
          </reference>
        </references>
      </pivotArea>
    </format>
    <format dxfId="504">
      <pivotArea outline="0" collapsedLevelsAreSubtotals="1" fieldPosition="0"/>
    </format>
    <format dxfId="503">
      <pivotArea dataOnly="0" labelOnly="1" fieldPosition="0">
        <references count="1">
          <reference field="18" count="0"/>
        </references>
      </pivotArea>
    </format>
    <format dxfId="502">
      <pivotArea dataOnly="0" labelOnly="1" grandRow="1" outline="0" fieldPosition="0"/>
    </format>
    <format dxfId="501">
      <pivotArea outline="0" collapsedLevelsAreSubtotals="1" fieldPosition="0"/>
    </format>
    <format dxfId="500">
      <pivotArea dataOnly="0" labelOnly="1" fieldPosition="0">
        <references count="1">
          <reference field="18" count="0"/>
        </references>
      </pivotArea>
    </format>
    <format dxfId="499">
      <pivotArea dataOnly="0" labelOnly="1" grandRow="1" outline="0" fieldPosition="0"/>
    </format>
    <format dxfId="498">
      <pivotArea outline="0" collapsedLevelsAreSubtotals="1" fieldPosition="0"/>
    </format>
    <format dxfId="497">
      <pivotArea dataOnly="0" labelOnly="1" fieldPosition="0">
        <references count="1">
          <reference field="18" count="0"/>
        </references>
      </pivotArea>
    </format>
    <format dxfId="496">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82">
      <pivotArea grandRow="1" outline="0" collapsedLevelsAreSubtotals="1" fieldPosition="0"/>
    </format>
    <format dxfId="381">
      <pivotArea dataOnly="0" labelOnly="1" grandRow="1" outline="0" fieldPosition="0"/>
    </format>
    <format dxfId="380">
      <pivotArea field="21" type="button" dataOnly="0" labelOnly="1" outline="0" axis="axisRow" fieldPosition="0"/>
    </format>
    <format dxfId="37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86">
      <pivotArea field="21" type="button" dataOnly="0" labelOnly="1" outline="0" axis="axisRow" fieldPosition="0"/>
    </format>
    <format dxfId="385">
      <pivotArea dataOnly="0" labelOnly="1" outline="0" axis="axisValues" fieldPosition="0"/>
    </format>
    <format dxfId="384">
      <pivotArea grandRow="1" outline="0" collapsedLevelsAreSubtotals="1" fieldPosition="0"/>
    </format>
    <format dxfId="38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89">
      <pivotArea outline="0" collapsedLevelsAreSubtotals="1" fieldPosition="0"/>
    </format>
    <format dxfId="388">
      <pivotArea outline="0" fieldPosition="0">
        <references count="1">
          <reference field="4294967294" count="3" selected="0">
            <x v="1"/>
            <x v="2"/>
            <x v="3"/>
          </reference>
        </references>
      </pivotArea>
    </format>
    <format dxfId="387">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90">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96">
      <pivotArea dataOnly="0" labelOnly="1" outline="0" axis="axisValues" fieldPosition="0"/>
    </format>
    <format dxfId="395">
      <pivotArea field="21" type="button" dataOnly="0" labelOnly="1" outline="0" axis="axisRow" fieldPosition="0"/>
    </format>
    <format dxfId="394">
      <pivotArea field="4" type="button" dataOnly="0" labelOnly="1" outline="0" axis="axisRow" fieldPosition="1"/>
    </format>
    <format dxfId="393">
      <pivotArea dataOnly="0" labelOnly="1" outline="0" axis="axisValues" fieldPosition="0"/>
    </format>
    <format dxfId="392">
      <pivotArea grandRow="1" outline="0" collapsedLevelsAreSubtotals="1" fieldPosition="0"/>
    </format>
    <format dxfId="39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02">
      <pivotArea field="4" type="button" dataOnly="0" labelOnly="1" outline="0" axis="axisRow" fieldPosition="0"/>
    </format>
    <format dxfId="301">
      <pivotArea dataOnly="0" labelOnly="1" outline="0" axis="axisValues" fieldPosition="0"/>
    </format>
    <format dxfId="300">
      <pivotArea grandRow="1" outline="0" collapsedLevelsAreSubtotals="1" fieldPosition="0"/>
    </format>
    <format dxfId="299">
      <pivotArea dataOnly="0" labelOnly="1" grandRow="1" outline="0" fieldPosition="0"/>
    </format>
    <format dxfId="298">
      <pivotArea type="all" dataOnly="0" outline="0" fieldPosition="0"/>
    </format>
    <format dxfId="297">
      <pivotArea outline="0" collapsedLevelsAreSubtotals="1" fieldPosition="0"/>
    </format>
    <format dxfId="296">
      <pivotArea field="4" type="button" dataOnly="0" labelOnly="1" outline="0" axis="axisRow" fieldPosition="0"/>
    </format>
    <format dxfId="29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294">
      <pivotArea dataOnly="0" labelOnly="1" grandRow="1" outline="0" fieldPosition="0"/>
    </format>
    <format dxfId="293">
      <pivotArea dataOnly="0" labelOnly="1" outline="0" axis="axisValues" fieldPosition="0"/>
    </format>
    <format dxfId="292">
      <pivotArea type="all" dataOnly="0" outline="0" fieldPosition="0"/>
    </format>
    <format dxfId="291">
      <pivotArea outline="0" collapsedLevelsAreSubtotals="1" fieldPosition="0"/>
    </format>
    <format dxfId="290">
      <pivotArea field="4" type="button" dataOnly="0" labelOnly="1" outline="0" axis="axisRow" fieldPosition="0"/>
    </format>
    <format dxfId="28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288">
      <pivotArea dataOnly="0" labelOnly="1" grandRow="1" outline="0" fieldPosition="0"/>
    </format>
    <format dxfId="287">
      <pivotArea dataOnly="0" labelOnly="1" outline="0" axis="axisValues" fieldPosition="0"/>
    </format>
    <format dxfId="286">
      <pivotArea field="4" type="button" dataOnly="0" labelOnly="1" outline="0" axis="axisRow" fieldPosition="0"/>
    </format>
    <format dxfId="285">
      <pivotArea dataOnly="0" labelOnly="1" outline="0" axis="axisValues" fieldPosition="0"/>
    </format>
    <format dxfId="284">
      <pivotArea grandRow="1" outline="0" collapsedLevelsAreSubtotals="1" fieldPosition="0"/>
    </format>
    <format dxfId="28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28">
      <pivotArea field="5" type="button" dataOnly="0" labelOnly="1" outline="0" axis="axisRow" fieldPosition="0"/>
    </format>
    <format dxfId="327">
      <pivotArea dataOnly="0" labelOnly="1" outline="0" fieldPosition="0">
        <references count="1">
          <reference field="4294967294" count="2">
            <x v="0"/>
            <x v="1"/>
          </reference>
        </references>
      </pivotArea>
    </format>
    <format dxfId="326">
      <pivotArea field="5" type="button" dataOnly="0" labelOnly="1" outline="0" axis="axisRow" fieldPosition="0"/>
    </format>
    <format dxfId="325">
      <pivotArea dataOnly="0" labelOnly="1" outline="0" fieldPosition="0">
        <references count="1">
          <reference field="4294967294" count="2">
            <x v="0"/>
            <x v="1"/>
          </reference>
        </references>
      </pivotArea>
    </format>
    <format dxfId="324">
      <pivotArea type="all" dataOnly="0" outline="0"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grandRow="1" outline="0" collapsedLevelsAreSubtotals="1" fieldPosition="0"/>
    </format>
    <format dxfId="319">
      <pivotArea dataOnly="0" labelOnly="1" grandRow="1" outline="0" fieldPosition="0"/>
    </format>
    <format dxfId="318">
      <pivotArea grandRow="1" outline="0" collapsedLevelsAreSubtotals="1" fieldPosition="0"/>
    </format>
    <format dxfId="317">
      <pivotArea dataOnly="0" labelOnly="1" grandRow="1" outline="0" fieldPosition="0"/>
    </format>
    <format dxfId="316">
      <pivotArea field="5" type="button" dataOnly="0" labelOnly="1" outline="0" axis="axisRow" fieldPosition="0"/>
    </format>
    <format dxfId="315">
      <pivotArea dataOnly="0" labelOnly="1" outline="0" fieldPosition="0">
        <references count="1">
          <reference field="4294967294" count="2">
            <x v="0"/>
            <x v="1"/>
          </reference>
        </references>
      </pivotArea>
    </format>
    <format dxfId="314">
      <pivotArea type="all" dataOnly="0" outline="0" fieldPosition="0"/>
    </format>
    <format dxfId="313">
      <pivotArea outline="0" collapsedLevelsAreSubtotals="1" fieldPosition="0"/>
    </format>
    <format dxfId="312">
      <pivotArea field="5" type="button" dataOnly="0" labelOnly="1" outline="0" axis="axisRow" fieldPosition="0"/>
    </format>
    <format dxfId="311">
      <pivotArea dataOnly="0" labelOnly="1" fieldPosition="0">
        <references count="1">
          <reference field="5" count="0"/>
        </references>
      </pivotArea>
    </format>
    <format dxfId="310">
      <pivotArea dataOnly="0" labelOnly="1" grandRow="1" outline="0" fieldPosition="0"/>
    </format>
    <format dxfId="309">
      <pivotArea dataOnly="0" labelOnly="1" outline="0" fieldPosition="0">
        <references count="1">
          <reference field="4294967294" count="2">
            <x v="0"/>
            <x v="1"/>
          </reference>
        </references>
      </pivotArea>
    </format>
    <format dxfId="308">
      <pivotArea type="all" dataOnly="0" outline="0" fieldPosition="0"/>
    </format>
    <format dxfId="307">
      <pivotArea outline="0" collapsedLevelsAreSubtotals="1" fieldPosition="0"/>
    </format>
    <format dxfId="306">
      <pivotArea field="5" type="button" dataOnly="0" labelOnly="1" outline="0" axis="axisRow" fieldPosition="0"/>
    </format>
    <format dxfId="305">
      <pivotArea dataOnly="0" labelOnly="1" fieldPosition="0">
        <references count="1">
          <reference field="5" count="0"/>
        </references>
      </pivotArea>
    </format>
    <format dxfId="304">
      <pivotArea dataOnly="0" labelOnly="1" grandRow="1" outline="0" fieldPosition="0"/>
    </format>
    <format dxfId="30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3">
      <pivotArea type="all" dataOnly="0" outline="0" fieldPosition="0"/>
    </format>
    <format dxfId="352">
      <pivotArea outline="0" collapsedLevelsAreSubtotals="1" fieldPosition="0"/>
    </format>
    <format dxfId="351">
      <pivotArea field="18" type="button" dataOnly="0" labelOnly="1" outline="0" axis="axisRow" fieldPosition="0"/>
    </format>
    <format dxfId="350">
      <pivotArea dataOnly="0" labelOnly="1" fieldPosition="0">
        <references count="1">
          <reference field="18" count="11">
            <x v="3"/>
            <x v="4"/>
            <x v="5"/>
            <x v="6"/>
            <x v="7"/>
            <x v="8"/>
            <x v="9"/>
            <x v="10"/>
            <x v="11"/>
            <x v="12"/>
            <x v="13"/>
          </reference>
        </references>
      </pivotArea>
    </format>
    <format dxfId="349">
      <pivotArea dataOnly="0" labelOnly="1" grandRow="1" outline="0" fieldPosition="0"/>
    </format>
    <format dxfId="348">
      <pivotArea dataOnly="0" labelOnly="1" outline="0" fieldPosition="0">
        <references count="1">
          <reference field="4294967294" count="2">
            <x v="0"/>
            <x v="1"/>
          </reference>
        </references>
      </pivotArea>
    </format>
    <format dxfId="347">
      <pivotArea type="all" dataOnly="0" outline="0" fieldPosition="0"/>
    </format>
    <format dxfId="346">
      <pivotArea outline="0" collapsedLevelsAreSubtotals="1" fieldPosition="0"/>
    </format>
    <format dxfId="345">
      <pivotArea field="18" type="button" dataOnly="0" labelOnly="1" outline="0" axis="axisRow" fieldPosition="0"/>
    </format>
    <format dxfId="344">
      <pivotArea dataOnly="0" labelOnly="1" fieldPosition="0">
        <references count="1">
          <reference field="18" count="11">
            <x v="3"/>
            <x v="4"/>
            <x v="5"/>
            <x v="6"/>
            <x v="7"/>
            <x v="8"/>
            <x v="9"/>
            <x v="10"/>
            <x v="11"/>
            <x v="12"/>
            <x v="13"/>
          </reference>
        </references>
      </pivotArea>
    </format>
    <format dxfId="343">
      <pivotArea dataOnly="0" labelOnly="1" grandRow="1" outline="0" fieldPosition="0"/>
    </format>
    <format dxfId="342">
      <pivotArea dataOnly="0" labelOnly="1" outline="0" fieldPosition="0">
        <references count="1">
          <reference field="4294967294" count="2">
            <x v="0"/>
            <x v="1"/>
          </reference>
        </references>
      </pivotArea>
    </format>
    <format dxfId="341">
      <pivotArea collapsedLevelsAreSubtotals="1" fieldPosition="0">
        <references count="1">
          <reference field="18" count="1">
            <x v="13"/>
          </reference>
        </references>
      </pivotArea>
    </format>
    <format dxfId="340">
      <pivotArea collapsedLevelsAreSubtotals="1" fieldPosition="0">
        <references count="1">
          <reference field="18" count="1">
            <x v="12"/>
          </reference>
        </references>
      </pivotArea>
    </format>
    <format dxfId="339">
      <pivotArea collapsedLevelsAreSubtotals="1" fieldPosition="0">
        <references count="1">
          <reference field="18" count="1">
            <x v="11"/>
          </reference>
        </references>
      </pivotArea>
    </format>
    <format dxfId="338">
      <pivotArea collapsedLevelsAreSubtotals="1" fieldPosition="0">
        <references count="1">
          <reference field="18" count="1">
            <x v="10"/>
          </reference>
        </references>
      </pivotArea>
    </format>
    <format dxfId="337">
      <pivotArea collapsedLevelsAreSubtotals="1" fieldPosition="0">
        <references count="1">
          <reference field="18" count="1">
            <x v="9"/>
          </reference>
        </references>
      </pivotArea>
    </format>
    <format dxfId="336">
      <pivotArea collapsedLevelsAreSubtotals="1" fieldPosition="0">
        <references count="1">
          <reference field="18" count="1">
            <x v="8"/>
          </reference>
        </references>
      </pivotArea>
    </format>
    <format dxfId="335">
      <pivotArea collapsedLevelsAreSubtotals="1" fieldPosition="0">
        <references count="1">
          <reference field="18" count="1">
            <x v="7"/>
          </reference>
        </references>
      </pivotArea>
    </format>
    <format dxfId="334">
      <pivotArea collapsedLevelsAreSubtotals="1" fieldPosition="0">
        <references count="1">
          <reference field="18" count="1">
            <x v="6"/>
          </reference>
        </references>
      </pivotArea>
    </format>
    <format dxfId="333">
      <pivotArea collapsedLevelsAreSubtotals="1" fieldPosition="0">
        <references count="1">
          <reference field="18" count="1">
            <x v="5"/>
          </reference>
        </references>
      </pivotArea>
    </format>
    <format dxfId="332">
      <pivotArea collapsedLevelsAreSubtotals="1" fieldPosition="0">
        <references count="1">
          <reference field="18" count="1">
            <x v="4"/>
          </reference>
        </references>
      </pivotArea>
    </format>
    <format dxfId="331">
      <pivotArea collapsedLevelsAreSubtotals="1" fieldPosition="0">
        <references count="1">
          <reference field="18" count="1">
            <x v="3"/>
          </reference>
        </references>
      </pivotArea>
    </format>
    <format dxfId="330">
      <pivotArea dataOnly="0" labelOnly="1" fieldPosition="0">
        <references count="1">
          <reference field="18" count="11">
            <x v="3"/>
            <x v="4"/>
            <x v="5"/>
            <x v="6"/>
            <x v="7"/>
            <x v="8"/>
            <x v="9"/>
            <x v="10"/>
            <x v="11"/>
            <x v="12"/>
            <x v="13"/>
          </reference>
        </references>
      </pivotArea>
    </format>
    <format dxfId="32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78">
      <pivotArea type="all" dataOnly="0" outline="0" fieldPosition="0"/>
    </format>
    <format dxfId="377">
      <pivotArea outline="0" collapsedLevelsAreSubtotals="1" fieldPosition="0"/>
    </format>
    <format dxfId="376">
      <pivotArea type="origin" dataOnly="0" labelOnly="1" outline="0" fieldPosition="0"/>
    </format>
    <format dxfId="375">
      <pivotArea field="5" type="button" dataOnly="0" labelOnly="1" outline="0" axis="axisCol" fieldPosition="0"/>
    </format>
    <format dxfId="374">
      <pivotArea type="topRight" dataOnly="0" labelOnly="1" outline="0" fieldPosition="0"/>
    </format>
    <format dxfId="373">
      <pivotArea field="2" type="button" dataOnly="0" labelOnly="1" outline="0" axis="axisRow" fieldPosition="0"/>
    </format>
    <format dxfId="372">
      <pivotArea dataOnly="0" labelOnly="1" fieldPosition="0">
        <references count="1">
          <reference field="2" count="0"/>
        </references>
      </pivotArea>
    </format>
    <format dxfId="371">
      <pivotArea dataOnly="0" labelOnly="1" grandRow="1" outline="0" fieldPosition="0"/>
    </format>
    <format dxfId="370">
      <pivotArea dataOnly="0" labelOnly="1" fieldPosition="0">
        <references count="1">
          <reference field="5" count="0"/>
        </references>
      </pivotArea>
    </format>
    <format dxfId="369">
      <pivotArea dataOnly="0" labelOnly="1" grandCol="1" outline="0" fieldPosition="0"/>
    </format>
    <format dxfId="368">
      <pivotArea type="origin" dataOnly="0" labelOnly="1" outline="0" fieldPosition="0"/>
    </format>
    <format dxfId="367">
      <pivotArea field="5" type="button" dataOnly="0" labelOnly="1" outline="0" axis="axisCol" fieldPosition="0"/>
    </format>
    <format dxfId="366">
      <pivotArea type="topRight" dataOnly="0" labelOnly="1" outline="0" fieldPosition="0"/>
    </format>
    <format dxfId="365">
      <pivotArea field="2" type="button" dataOnly="0" labelOnly="1" outline="0" axis="axisRow" fieldPosition="0"/>
    </format>
    <format dxfId="364">
      <pivotArea dataOnly="0" labelOnly="1" fieldPosition="0">
        <references count="1">
          <reference field="5" count="0"/>
        </references>
      </pivotArea>
    </format>
    <format dxfId="363">
      <pivotArea dataOnly="0" labelOnly="1" grandCol="1" outline="0" fieldPosition="0"/>
    </format>
    <format dxfId="362">
      <pivotArea type="origin" dataOnly="0" labelOnly="1" outline="0" fieldPosition="0"/>
    </format>
    <format dxfId="361">
      <pivotArea field="5" type="button" dataOnly="0" labelOnly="1" outline="0" axis="axisCol" fieldPosition="0"/>
    </format>
    <format dxfId="360">
      <pivotArea type="topRight" dataOnly="0" labelOnly="1" outline="0" fieldPosition="0"/>
    </format>
    <format dxfId="359">
      <pivotArea field="2" type="button" dataOnly="0" labelOnly="1" outline="0" axis="axisRow" fieldPosition="0"/>
    </format>
    <format dxfId="358">
      <pivotArea dataOnly="0" labelOnly="1" fieldPosition="0">
        <references count="1">
          <reference field="5" count="0"/>
        </references>
      </pivotArea>
    </format>
    <format dxfId="357">
      <pivotArea dataOnly="0" labelOnly="1" grandCol="1" outline="0" fieldPosition="0"/>
    </format>
    <format dxfId="356">
      <pivotArea grandRow="1" outline="0" collapsedLevelsAreSubtotals="1" fieldPosition="0"/>
    </format>
    <format dxfId="355">
      <pivotArea dataOnly="0" labelOnly="1" grandRow="1" outline="0" fieldPosition="0"/>
    </format>
    <format dxfId="35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16" totalsRowCount="1" headerRowDxfId="607" dataDxfId="605" headerRowBorderDxfId="606" tableBorderDxfId="604" totalsRowBorderDxfId="603">
  <autoFilter ref="A1:V215" xr:uid="{7E831CCF-E802-4A71-B6A7-513A8B426708}">
    <filterColumn colId="0">
      <dynamicFilter type="thisMonth" val="46174" maxVal="46204"/>
    </filterColumn>
  </autoFilter>
  <tableColumns count="22">
    <tableColumn id="1" xr3:uid="{76684A6E-C7B0-4199-8302-DE0D42A8A105}" name="Data" totalsRowLabel="Total" dataDxfId="602" totalsRowDxfId="601"/>
    <tableColumn id="2" xr3:uid="{F15B895A-5A3B-4C2D-B383-6D0C48AA278E}" name="Ticket" dataDxfId="600" totalsRowDxfId="599"/>
    <tableColumn id="3" xr3:uid="{6EFEAB9B-E063-4E4A-A6D2-F8CA892B2013}" name="Vendedor" dataDxfId="598" totalsRowDxfId="597"/>
    <tableColumn id="4" xr3:uid="{EF07BB64-6F57-4639-A122-622E6666E3DE}" name="Cliente" dataDxfId="596" totalsRowDxfId="595"/>
    <tableColumn id="5" xr3:uid="{625FDEEF-1D7F-47FF-83F2-1A660D74F81C}" name="Produto" dataDxfId="594" totalsRowDxfId="593"/>
    <tableColumn id="6" xr3:uid="{86198995-B475-46CD-8D95-629C89133146}" name="TipoReceita" dataDxfId="592" totalsRowDxfId="591"/>
    <tableColumn id="7" xr3:uid="{511AE429-E4B5-42F3-A35D-C9BC180DD29B}" name="Qtde" totalsRowFunction="sum" dataDxfId="590" totalsRowDxfId="589"/>
    <tableColumn id="8" xr3:uid="{DF379BCA-61D2-49FA-8CEF-5FB7467DE718}" name="VlrUnitário" dataDxfId="588" totalsRowDxfId="587"/>
    <tableColumn id="9" xr3:uid="{1945195E-4F82-478B-8B2D-7F0600A8CEC8}" name="VlrTotal" totalsRowFunction="sum" dataDxfId="586" totalsRowDxfId="585"/>
    <tableColumn id="21" xr3:uid="{0FCE8FB0-ED64-4402-9279-D3450C229927}" name="Vlr Meta" totalsRowFunction="sum" dataDxfId="584" totalsRowDxfId="583"/>
    <tableColumn id="10" xr3:uid="{1F8E86E1-C3B8-4BA1-8EF2-34FD28A99CD1}" name="%Comissão" dataDxfId="582" totalsRowDxfId="581" dataCellStyle="Porcentagem"/>
    <tableColumn id="11" xr3:uid="{7AF1D776-3583-4AA8-ABA9-5A652B9C2CC7}" name="%ComissãoSupervisor" dataDxfId="580" totalsRowDxfId="579" dataCellStyle="Porcentagem"/>
    <tableColumn id="12" xr3:uid="{776F0B3E-2DA8-4332-870D-42A9616574CD}" name="Base" dataDxfId="578" totalsRowDxfId="577"/>
    <tableColumn id="13" xr3:uid="{2ACE40DE-7D56-44B3-884F-A79E6BB72021}" name="ComissãoVendedor " totalsRowFunction="sum" dataDxfId="576" totalsRowDxfId="575"/>
    <tableColumn id="14" xr3:uid="{BA93F379-EB16-44E4-B240-F73C47EC360B}" name="ComissãoSupervisor" totalsRowFunction="sum" dataDxfId="574" totalsRowDxfId="573"/>
    <tableColumn id="15" xr3:uid="{1955815E-E6AE-4BF7-9F21-8DED62E8CFB6}" name="Clicksign" dataDxfId="572" totalsRowDxfId="571"/>
    <tableColumn id="16" xr3:uid="{8899F7C2-6C46-4913-9178-C3BFBB1A431F}" name="Contrato_Termo Aditivo" dataDxfId="570" totalsRowDxfId="569"/>
    <tableColumn id="17" xr3:uid="{C9C40A0A-C8C0-48A4-B2A9-E4A1A88755B6}" name="Obs" dataDxfId="568" totalsRowDxfId="567"/>
    <tableColumn id="18" xr3:uid="{492A95C3-2CCC-4EE6-9E8A-A11F6F0B43DA}" name="Parcelas" dataDxfId="566" totalsRowDxfId="565"/>
    <tableColumn id="22" xr3:uid="{EC452F76-CA8F-41A5-A01B-D142E0025C39}" name="Data Contrato" dataDxfId="564" totalsRowDxfId="563"/>
    <tableColumn id="19" xr3:uid="{167F829A-0296-408D-BAAA-468B00E956F1}" name="Contrato" dataDxfId="562" totalsRowDxfId="561"/>
    <tableColumn id="20" xr3:uid="{3FECAE39-38AF-4BA8-8C16-B26E27D74267}" name="SDR_RESPONSÁVEL" totalsRowFunction="count" dataDxfId="560" totalsRowDxfId="5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558">
  <autoFilter ref="M1:AC57" xr:uid="{86D9BEC3-8CE7-4C1E-BA0F-25EC8B5FACDF}">
    <filterColumn colId="1">
      <filters>
        <dateGroupItem year="2026" dateTimeGrouping="year"/>
      </filters>
    </filterColumn>
  </autoFilter>
  <tableColumns count="17">
    <tableColumn id="1" xr3:uid="{65FF39B3-6AA4-47E3-A2E0-34AF59670B48}" name="Ano" dataDxfId="557"/>
    <tableColumn id="15" xr3:uid="{4F28688F-AE94-4AA3-B655-5355F9DA4CEC}" name="Mês" dataDxfId="556"/>
    <tableColumn id="2" xr3:uid="{9F352413-EAA1-41A7-B4D3-9D32DC5A8B88}" name="Vendedor"/>
    <tableColumn id="16" xr3:uid="{3D4D81D6-372A-48C5-9408-A36AD27C1B31}" name="Lead" dataDxfId="555"/>
    <tableColumn id="3" xr3:uid="{5D6A238A-B8BE-4B10-9CED-92C1F0D4F835}" name="Propsota" dataDxfId="554"/>
    <tableColumn id="4" xr3:uid="{2EF085B6-3E3A-46B0-8B55-AD9641ECEB8F}" name="Apresentação" dataDxfId="553"/>
    <tableColumn id="5" xr3:uid="{81EB3760-F668-479F-8FF5-C2210941AFE3}" name="Meta Individual" dataDxfId="552"/>
    <tableColumn id="6" xr3:uid="{897CAD94-46DD-414E-B5CF-D27344FB7C5F}" name="Meta Equipe" dataDxfId="551"/>
    <tableColumn id="7" xr3:uid="{DBA8DEF0-9D1D-42B7-8979-411FC3118DB7}" name="Meta Projetos" dataDxfId="550"/>
    <tableColumn id="17" xr3:uid="{2A353D1A-2C11-433A-B27A-F3ACE6F07AD9}" name="OBLead" dataDxfId="549"/>
    <tableColumn id="8" xr3:uid="{CF39EE58-1D3F-47E2-9DEA-C387BBAA7E67}" name="OB Proposta "/>
    <tableColumn id="9" xr3:uid="{0E45D32A-35C3-4D50-AE03-0075AD8C6EEA}" name="OB Apresentação"/>
    <tableColumn id="10" xr3:uid="{7B549B0C-BAC0-483C-B6BC-A82C834A1EEE}" name="OB Individual" dataDxfId="548"/>
    <tableColumn id="11" xr3:uid="{50C746E6-3A52-4E59-9FDB-C49049B8DB33}" name="OBEquipe" dataDxfId="547"/>
    <tableColumn id="12" xr3:uid="{DAD9E805-63F1-4227-AD05-A88F02501A42}" name="OB Projetos" dataDxfId="546"/>
    <tableColumn id="13" xr3:uid="{363BCA7E-0EE6-4F3F-AD3D-9BD2DD9564A6}" name="OBI" dataDxfId="545" dataCellStyle="Porcentagem">
      <calculatedColumnFormula>metas[[#This Row],[Meta Individual]]/metas[[#This Row],[OB Individual]]</calculatedColumnFormula>
    </tableColumn>
    <tableColumn id="14" xr3:uid="{B9AA1BFD-524A-4E21-8FFD-935006A08F7F}" name="OBE" dataDxfId="544"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16"/>
  <sheetViews>
    <sheetView showGridLines="0" zoomScaleNormal="100" workbookViewId="0">
      <pane xSplit="5" ySplit="1" topLeftCell="F197" activePane="bottomRight" state="frozen"/>
      <selection pane="topRight" activeCell="F1" sqref="F1"/>
      <selection pane="bottomLeft" activeCell="A3" sqref="A3"/>
      <selection pane="bottomRight" activeCell="C1" sqref="C1"/>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3">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3">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26</v>
      </c>
      <c r="V197" s="17" t="s">
        <v>45</v>
      </c>
    </row>
    <row r="198" spans="1:22" x14ac:dyDescent="0.3">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26</v>
      </c>
      <c r="V198" s="17" t="s">
        <v>45</v>
      </c>
    </row>
    <row r="199" spans="1:22" x14ac:dyDescent="0.3">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3">
      <c r="A200" s="10">
        <v>46183</v>
      </c>
      <c r="B200" s="11">
        <v>140986</v>
      </c>
      <c r="C200" s="11" t="s">
        <v>45</v>
      </c>
      <c r="D200" s="11" t="s">
        <v>49</v>
      </c>
      <c r="E200" s="11" t="s">
        <v>50</v>
      </c>
      <c r="F200" s="11" t="s">
        <v>50</v>
      </c>
      <c r="G200" s="12">
        <v>16</v>
      </c>
      <c r="H200" s="13">
        <v>156.25</v>
      </c>
      <c r="I200" s="14">
        <f>vendas2026[[#This Row],[Qtde]]*vendas2026[[#This Row],[VlrUnitário]]</f>
        <v>2500</v>
      </c>
      <c r="J200" s="385">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x14ac:dyDescent="0.3">
      <c r="A201" s="10">
        <v>46184</v>
      </c>
      <c r="B201" s="11">
        <v>142241</v>
      </c>
      <c r="C201" s="11" t="s">
        <v>45</v>
      </c>
      <c r="D201" s="11" t="s">
        <v>4489</v>
      </c>
      <c r="E201" s="11" t="s">
        <v>50</v>
      </c>
      <c r="F201" s="11" t="s">
        <v>50</v>
      </c>
      <c r="G201" s="12">
        <v>6</v>
      </c>
      <c r="H201" s="13">
        <v>176</v>
      </c>
      <c r="I201" s="14">
        <f>vendas2026[[#This Row],[Qtde]]*vendas2026[[#This Row],[VlrUnitário]]</f>
        <v>1056</v>
      </c>
      <c r="J201" s="385">
        <f>vendas2026[[#This Row],[VlrTotal]]</f>
        <v>1056</v>
      </c>
      <c r="K201" s="16">
        <v>0.01</v>
      </c>
      <c r="L201" s="16">
        <f>vendas2026[[#This Row],[%Comissão]]*0.25</f>
        <v>2.5000000000000001E-3</v>
      </c>
      <c r="M201" s="14" t="s">
        <v>43</v>
      </c>
      <c r="N201" s="24">
        <f>vendas2026[[#This Row],[VlrTotal]]*vendas2026[[#This Row],[%Comissão]]</f>
        <v>10.56</v>
      </c>
      <c r="O201" s="14">
        <f>vendas2026[[#This Row],[VlrTotal]]*vendas2026[[#This Row],[%ComissãoSupervisor]]</f>
        <v>2.64</v>
      </c>
      <c r="P201" s="11" t="s">
        <v>3361</v>
      </c>
      <c r="Q201" s="11" t="s">
        <v>3362</v>
      </c>
      <c r="R201" s="11"/>
      <c r="S201" s="11">
        <v>1</v>
      </c>
      <c r="T201" s="383"/>
      <c r="U201" s="11" t="s">
        <v>3363</v>
      </c>
      <c r="V201" s="17" t="s">
        <v>45</v>
      </c>
    </row>
    <row r="202" spans="1:22" x14ac:dyDescent="0.3">
      <c r="A202" s="10">
        <v>46188</v>
      </c>
      <c r="B202" s="11">
        <v>144483</v>
      </c>
      <c r="C202" s="11" t="s">
        <v>6557</v>
      </c>
      <c r="D202" s="11" t="s">
        <v>6558</v>
      </c>
      <c r="E202" s="11" t="s">
        <v>28</v>
      </c>
      <c r="F202" s="11" t="s">
        <v>3355</v>
      </c>
      <c r="G202" s="12">
        <v>400</v>
      </c>
      <c r="H202" s="13">
        <v>190</v>
      </c>
      <c r="I202" s="14">
        <f>vendas2026[[#This Row],[Qtde]]*vendas2026[[#This Row],[VlrUnitário]]</f>
        <v>76000</v>
      </c>
      <c r="J202" s="385">
        <f>vendas2026[[#This Row],[VlrTotal]]</f>
        <v>76000</v>
      </c>
      <c r="K202" s="16">
        <v>7.0000000000000007E-2</v>
      </c>
      <c r="L202" s="16">
        <f>vendas2026[[#This Row],[%Comissão]]*0.25</f>
        <v>1.7500000000000002E-2</v>
      </c>
      <c r="M202" s="14" t="s">
        <v>24</v>
      </c>
      <c r="N202" s="24">
        <v>0</v>
      </c>
      <c r="O202" s="14">
        <f>vendas2026[[#This Row],[VlrTotal]]*vendas2026[[#This Row],[%ComissãoSupervisor]]</f>
        <v>1330.0000000000002</v>
      </c>
      <c r="P202" s="11" t="s">
        <v>25</v>
      </c>
      <c r="Q202" s="11" t="s">
        <v>25</v>
      </c>
      <c r="R202" s="11"/>
      <c r="S202" s="11">
        <v>10</v>
      </c>
      <c r="T202" s="383">
        <v>46188</v>
      </c>
      <c r="U202" s="11" t="s">
        <v>204</v>
      </c>
      <c r="V202" s="17" t="s">
        <v>6111</v>
      </c>
    </row>
    <row r="203" spans="1:22" x14ac:dyDescent="0.3">
      <c r="A203" s="10">
        <v>46188</v>
      </c>
      <c r="B203" s="11">
        <v>144483</v>
      </c>
      <c r="C203" s="11" t="s">
        <v>6557</v>
      </c>
      <c r="D203" s="11" t="s">
        <v>6558</v>
      </c>
      <c r="E203" s="11" t="s">
        <v>30</v>
      </c>
      <c r="F203" s="11" t="s">
        <v>3355</v>
      </c>
      <c r="G203" s="12">
        <v>24</v>
      </c>
      <c r="H203" s="13">
        <v>190</v>
      </c>
      <c r="I203" s="14">
        <f>vendas2026[[#This Row],[Qtde]]*vendas2026[[#This Row],[VlrUnitário]]</f>
        <v>4560</v>
      </c>
      <c r="J203" s="385">
        <f>vendas2026[[#This Row],[VlrTotal]]</f>
        <v>4560</v>
      </c>
      <c r="K203" s="16">
        <v>7.0000000000000007E-2</v>
      </c>
      <c r="L203" s="16">
        <f>vendas2026[[#This Row],[%Comissão]]*0.25</f>
        <v>1.7500000000000002E-2</v>
      </c>
      <c r="M203" s="14" t="s">
        <v>24</v>
      </c>
      <c r="N203" s="24">
        <v>0</v>
      </c>
      <c r="O203" s="14">
        <f>vendas2026[[#This Row],[VlrTotal]]*vendas2026[[#This Row],[%ComissãoSupervisor]]</f>
        <v>79.800000000000011</v>
      </c>
      <c r="P203" s="11" t="s">
        <v>25</v>
      </c>
      <c r="Q203" s="11" t="s">
        <v>25</v>
      </c>
      <c r="R203" s="11"/>
      <c r="S203" s="11">
        <v>10</v>
      </c>
      <c r="T203" s="383">
        <v>46188</v>
      </c>
      <c r="U203" s="11" t="s">
        <v>204</v>
      </c>
      <c r="V203" s="17" t="s">
        <v>6111</v>
      </c>
    </row>
    <row r="204" spans="1:22" x14ac:dyDescent="0.3">
      <c r="A204" s="10">
        <v>46188</v>
      </c>
      <c r="B204" s="11">
        <v>144484</v>
      </c>
      <c r="C204" s="11" t="s">
        <v>6557</v>
      </c>
      <c r="D204" s="11" t="s">
        <v>6558</v>
      </c>
      <c r="E204" s="11" t="s">
        <v>31</v>
      </c>
      <c r="F204" s="11" t="s">
        <v>32</v>
      </c>
      <c r="G204" s="12">
        <v>1</v>
      </c>
      <c r="H204" s="13">
        <v>1600</v>
      </c>
      <c r="I204" s="14">
        <f>vendas2026[[#This Row],[Qtde]]*vendas2026[[#This Row],[VlrUnitário]]</f>
        <v>1600</v>
      </c>
      <c r="J204" s="385">
        <f>vendas2026[[#This Row],[VlrTotal]]</f>
        <v>1600</v>
      </c>
      <c r="K204" s="16">
        <v>7.0000000000000007E-2</v>
      </c>
      <c r="L204" s="16">
        <f>vendas2026[[#This Row],[%Comissão]]*0.25</f>
        <v>1.7500000000000002E-2</v>
      </c>
      <c r="M204" s="14" t="s">
        <v>24</v>
      </c>
      <c r="N204" s="24">
        <v>0</v>
      </c>
      <c r="O204" s="14">
        <f>vendas2026[[#This Row],[VlrTotal]]*vendas2026[[#This Row],[%ComissãoSupervisor]]</f>
        <v>28.000000000000004</v>
      </c>
      <c r="P204" s="11" t="s">
        <v>25</v>
      </c>
      <c r="Q204" s="11" t="s">
        <v>25</v>
      </c>
      <c r="R204" s="11"/>
      <c r="S204" s="11">
        <v>10</v>
      </c>
      <c r="T204" s="383">
        <v>46188</v>
      </c>
      <c r="U204" s="11" t="s">
        <v>204</v>
      </c>
      <c r="V204" s="17" t="s">
        <v>6111</v>
      </c>
    </row>
    <row r="205" spans="1:22" x14ac:dyDescent="0.3">
      <c r="A205" s="10">
        <v>46188</v>
      </c>
      <c r="B205" s="11">
        <v>144483</v>
      </c>
      <c r="C205" s="11" t="s">
        <v>6557</v>
      </c>
      <c r="D205" s="11" t="s">
        <v>6558</v>
      </c>
      <c r="E205" s="11" t="s">
        <v>28</v>
      </c>
      <c r="F205" s="11" t="s">
        <v>23</v>
      </c>
      <c r="G205" s="12">
        <v>8</v>
      </c>
      <c r="H205" s="13">
        <v>275.62</v>
      </c>
      <c r="I205" s="14">
        <f>vendas2026[[#This Row],[Qtde]]*vendas2026[[#This Row],[VlrUnitário]]</f>
        <v>2204.96</v>
      </c>
      <c r="J205" s="385">
        <f>vendas2026[[#This Row],[VlrTotal]]</f>
        <v>2204.96</v>
      </c>
      <c r="K205" s="16">
        <v>1</v>
      </c>
      <c r="L205" s="16">
        <f>vendas2026[[#This Row],[%Comissão]]*0.25</f>
        <v>0.25</v>
      </c>
      <c r="M205" s="14" t="s">
        <v>24</v>
      </c>
      <c r="N205" s="24">
        <v>0</v>
      </c>
      <c r="O205" s="14">
        <f>vendas2026[[#This Row],[VlrTotal]]*vendas2026[[#This Row],[%ComissãoSupervisor]]</f>
        <v>551.24</v>
      </c>
      <c r="P205" s="11" t="s">
        <v>25</v>
      </c>
      <c r="Q205" s="11" t="s">
        <v>25</v>
      </c>
      <c r="R205" s="11"/>
      <c r="S205" s="11">
        <v>1</v>
      </c>
      <c r="T205" s="383">
        <v>46188</v>
      </c>
      <c r="U205" s="11" t="s">
        <v>204</v>
      </c>
      <c r="V205" s="17" t="s">
        <v>6111</v>
      </c>
    </row>
    <row r="206" spans="1:22" x14ac:dyDescent="0.3">
      <c r="A206" s="10">
        <v>46188</v>
      </c>
      <c r="B206" s="11">
        <v>144483</v>
      </c>
      <c r="C206" s="11" t="s">
        <v>6557</v>
      </c>
      <c r="D206" s="11" t="s">
        <v>6558</v>
      </c>
      <c r="E206" s="11" t="s">
        <v>30</v>
      </c>
      <c r="F206" s="11" t="s">
        <v>23</v>
      </c>
      <c r="G206" s="12">
        <v>12</v>
      </c>
      <c r="H206" s="13">
        <v>115</v>
      </c>
      <c r="I206" s="14">
        <f>vendas2026[[#This Row],[Qtde]]*vendas2026[[#This Row],[VlrUnitário]]</f>
        <v>1380</v>
      </c>
      <c r="J206" s="385">
        <f>vendas2026[[#This Row],[VlrTotal]]</f>
        <v>1380</v>
      </c>
      <c r="K206" s="16">
        <v>1</v>
      </c>
      <c r="L206" s="16">
        <f>vendas2026[[#This Row],[%Comissão]]*0.25</f>
        <v>0.25</v>
      </c>
      <c r="M206" s="14" t="s">
        <v>24</v>
      </c>
      <c r="N206" s="24">
        <v>0</v>
      </c>
      <c r="O206" s="14">
        <f>vendas2026[[#This Row],[VlrTotal]]*vendas2026[[#This Row],[%ComissãoSupervisor]]</f>
        <v>345</v>
      </c>
      <c r="P206" s="11" t="s">
        <v>25</v>
      </c>
      <c r="Q206" s="11" t="s">
        <v>25</v>
      </c>
      <c r="R206" s="11"/>
      <c r="S206" s="11">
        <v>1</v>
      </c>
      <c r="T206" s="383">
        <v>46188</v>
      </c>
      <c r="U206" s="11" t="s">
        <v>204</v>
      </c>
      <c r="V206" s="17" t="s">
        <v>6111</v>
      </c>
    </row>
    <row r="207" spans="1:22" x14ac:dyDescent="0.3">
      <c r="A207" s="10">
        <v>46188</v>
      </c>
      <c r="B207" s="11">
        <v>144483</v>
      </c>
      <c r="C207" s="11" t="s">
        <v>6557</v>
      </c>
      <c r="D207" s="11" t="s">
        <v>6558</v>
      </c>
      <c r="E207" s="11" t="s">
        <v>141</v>
      </c>
      <c r="F207" s="11" t="s">
        <v>23</v>
      </c>
      <c r="G207" s="12">
        <v>1</v>
      </c>
      <c r="H207" s="13">
        <v>712.8</v>
      </c>
      <c r="I207" s="14">
        <f>vendas2026[[#This Row],[Qtde]]*vendas2026[[#This Row],[VlrUnitário]]</f>
        <v>712.8</v>
      </c>
      <c r="J207" s="385">
        <f>vendas2026[[#This Row],[VlrTotal]]</f>
        <v>712.8</v>
      </c>
      <c r="K207" s="16">
        <v>1</v>
      </c>
      <c r="L207" s="16">
        <f>vendas2026[[#This Row],[%Comissão]]*0.25</f>
        <v>0.25</v>
      </c>
      <c r="M207" s="14" t="s">
        <v>24</v>
      </c>
      <c r="N207" s="24">
        <v>0</v>
      </c>
      <c r="O207" s="14">
        <f>vendas2026[[#This Row],[VlrTotal]]*vendas2026[[#This Row],[%ComissãoSupervisor]]</f>
        <v>178.2</v>
      </c>
      <c r="P207" s="11" t="s">
        <v>25</v>
      </c>
      <c r="Q207" s="11" t="s">
        <v>25</v>
      </c>
      <c r="R207" s="11"/>
      <c r="S207" s="11">
        <v>1</v>
      </c>
      <c r="T207" s="383">
        <v>46188</v>
      </c>
      <c r="U207" s="11" t="s">
        <v>204</v>
      </c>
      <c r="V207" s="17" t="s">
        <v>6111</v>
      </c>
    </row>
    <row r="208" spans="1:22" x14ac:dyDescent="0.3">
      <c r="A208" s="10">
        <v>46188</v>
      </c>
      <c r="B208" s="11">
        <v>144483</v>
      </c>
      <c r="C208" s="11" t="s">
        <v>6557</v>
      </c>
      <c r="D208" s="11" t="s">
        <v>6558</v>
      </c>
      <c r="E208" s="11" t="s">
        <v>3364</v>
      </c>
      <c r="F208" s="11" t="s">
        <v>23</v>
      </c>
      <c r="G208" s="12">
        <v>1</v>
      </c>
      <c r="H208" s="13">
        <v>356.4</v>
      </c>
      <c r="I208" s="14">
        <f>vendas2026[[#This Row],[Qtde]]*vendas2026[[#This Row],[VlrUnitário]]</f>
        <v>356.4</v>
      </c>
      <c r="J208" s="385">
        <f>vendas2026[[#This Row],[VlrTotal]]</f>
        <v>356.4</v>
      </c>
      <c r="K208" s="16">
        <v>1</v>
      </c>
      <c r="L208" s="16">
        <f>vendas2026[[#This Row],[%Comissão]]*0.25</f>
        <v>0.25</v>
      </c>
      <c r="M208" s="14" t="s">
        <v>24</v>
      </c>
      <c r="N208" s="24">
        <v>0</v>
      </c>
      <c r="O208" s="14">
        <f>vendas2026[[#This Row],[VlrTotal]]*vendas2026[[#This Row],[%ComissãoSupervisor]]</f>
        <v>89.1</v>
      </c>
      <c r="P208" s="11" t="s">
        <v>25</v>
      </c>
      <c r="Q208" s="11" t="s">
        <v>25</v>
      </c>
      <c r="R208" s="11"/>
      <c r="S208" s="11">
        <v>1</v>
      </c>
      <c r="T208" s="383">
        <v>46188</v>
      </c>
      <c r="U208" s="11" t="s">
        <v>204</v>
      </c>
      <c r="V208" s="17" t="s">
        <v>6111</v>
      </c>
    </row>
    <row r="209" spans="1:22" x14ac:dyDescent="0.3">
      <c r="A209" s="10">
        <v>46188</v>
      </c>
      <c r="B209" s="11">
        <v>144483</v>
      </c>
      <c r="C209" s="11" t="s">
        <v>6557</v>
      </c>
      <c r="D209" s="11" t="s">
        <v>6558</v>
      </c>
      <c r="E209" s="11" t="s">
        <v>106</v>
      </c>
      <c r="F209" s="11" t="s">
        <v>23</v>
      </c>
      <c r="G209" s="12">
        <v>1</v>
      </c>
      <c r="H209" s="13">
        <v>356.4</v>
      </c>
      <c r="I209" s="14">
        <f>vendas2026[[#This Row],[Qtde]]*vendas2026[[#This Row],[VlrUnitário]]</f>
        <v>356.4</v>
      </c>
      <c r="J209" s="385">
        <f>vendas2026[[#This Row],[VlrTotal]]</f>
        <v>356.4</v>
      </c>
      <c r="K209" s="16">
        <v>1</v>
      </c>
      <c r="L209" s="16">
        <f>vendas2026[[#This Row],[%Comissão]]*0.25</f>
        <v>0.25</v>
      </c>
      <c r="M209" s="14" t="s">
        <v>24</v>
      </c>
      <c r="N209" s="24">
        <v>0</v>
      </c>
      <c r="O209" s="14">
        <f>vendas2026[[#This Row],[VlrTotal]]*vendas2026[[#This Row],[%ComissãoSupervisor]]</f>
        <v>89.1</v>
      </c>
      <c r="P209" s="11" t="s">
        <v>25</v>
      </c>
      <c r="Q209" s="11" t="s">
        <v>25</v>
      </c>
      <c r="R209" s="11"/>
      <c r="S209" s="11">
        <v>1</v>
      </c>
      <c r="T209" s="383">
        <v>46188</v>
      </c>
      <c r="U209" s="11" t="s">
        <v>204</v>
      </c>
      <c r="V209" s="17" t="s">
        <v>6111</v>
      </c>
    </row>
    <row r="210" spans="1:22" x14ac:dyDescent="0.3">
      <c r="A210" s="10">
        <v>46188</v>
      </c>
      <c r="B210" s="11">
        <v>144483</v>
      </c>
      <c r="C210" s="11" t="s">
        <v>6557</v>
      </c>
      <c r="D210" s="11" t="s">
        <v>6558</v>
      </c>
      <c r="E210" s="11" t="s">
        <v>54</v>
      </c>
      <c r="F210" s="11" t="s">
        <v>23</v>
      </c>
      <c r="G210" s="12">
        <v>1</v>
      </c>
      <c r="H210" s="13">
        <v>356.4</v>
      </c>
      <c r="I210" s="14">
        <f>vendas2026[[#This Row],[Qtde]]*vendas2026[[#This Row],[VlrUnitário]]</f>
        <v>356.4</v>
      </c>
      <c r="J210" s="385">
        <f>vendas2026[[#This Row],[VlrTotal]]</f>
        <v>356.4</v>
      </c>
      <c r="K210" s="16">
        <v>1</v>
      </c>
      <c r="L210" s="16">
        <f>vendas2026[[#This Row],[%Comissão]]*0.25</f>
        <v>0.25</v>
      </c>
      <c r="M210" s="14" t="s">
        <v>24</v>
      </c>
      <c r="N210" s="24">
        <v>0</v>
      </c>
      <c r="O210" s="14">
        <f>vendas2026[[#This Row],[VlrTotal]]*vendas2026[[#This Row],[%ComissãoSupervisor]]</f>
        <v>89.1</v>
      </c>
      <c r="P210" s="11" t="s">
        <v>25</v>
      </c>
      <c r="Q210" s="11" t="s">
        <v>25</v>
      </c>
      <c r="R210" s="11"/>
      <c r="S210" s="11">
        <v>1</v>
      </c>
      <c r="T210" s="383">
        <v>46188</v>
      </c>
      <c r="U210" s="11" t="s">
        <v>204</v>
      </c>
      <c r="V210" s="17" t="s">
        <v>6111</v>
      </c>
    </row>
    <row r="211" spans="1:22" x14ac:dyDescent="0.3">
      <c r="A211" s="10">
        <v>46188</v>
      </c>
      <c r="B211" s="11">
        <v>144484</v>
      </c>
      <c r="C211" s="11" t="s">
        <v>6557</v>
      </c>
      <c r="D211" s="11" t="s">
        <v>6558</v>
      </c>
      <c r="E211" s="11" t="s">
        <v>31</v>
      </c>
      <c r="F211" s="11" t="s">
        <v>23</v>
      </c>
      <c r="G211" s="12">
        <v>1</v>
      </c>
      <c r="H211" s="13">
        <v>2295.1999999999998</v>
      </c>
      <c r="I211" s="14">
        <f>vendas2026[[#This Row],[Qtde]]*vendas2026[[#This Row],[VlrUnitário]]</f>
        <v>2295.1999999999998</v>
      </c>
      <c r="J211" s="385">
        <f>vendas2026[[#This Row],[VlrTotal]]</f>
        <v>2295.1999999999998</v>
      </c>
      <c r="K211" s="16">
        <v>1</v>
      </c>
      <c r="L211" s="16">
        <f>vendas2026[[#This Row],[%Comissão]]*0.25</f>
        <v>0.25</v>
      </c>
      <c r="M211" s="14" t="s">
        <v>24</v>
      </c>
      <c r="N211" s="24">
        <v>0</v>
      </c>
      <c r="O211" s="14">
        <f>vendas2026[[#This Row],[VlrTotal]]*vendas2026[[#This Row],[%ComissãoSupervisor]]</f>
        <v>573.79999999999995</v>
      </c>
      <c r="P211" s="11" t="s">
        <v>25</v>
      </c>
      <c r="Q211" s="11" t="s">
        <v>25</v>
      </c>
      <c r="R211" s="11"/>
      <c r="S211" s="11">
        <v>1</v>
      </c>
      <c r="T211" s="383">
        <v>46188</v>
      </c>
      <c r="U211" s="11" t="s">
        <v>204</v>
      </c>
      <c r="V211" s="17" t="s">
        <v>6111</v>
      </c>
    </row>
    <row r="212" spans="1:22" x14ac:dyDescent="0.3">
      <c r="A212" s="10">
        <v>46188</v>
      </c>
      <c r="B212" s="11">
        <v>134873</v>
      </c>
      <c r="C212" s="11" t="s">
        <v>45</v>
      </c>
      <c r="D212" s="11" t="s">
        <v>81</v>
      </c>
      <c r="E212" s="11" t="s">
        <v>42</v>
      </c>
      <c r="F212" s="11" t="s">
        <v>3355</v>
      </c>
      <c r="G212" s="12">
        <v>15</v>
      </c>
      <c r="H212" s="13">
        <v>180</v>
      </c>
      <c r="I212" s="14">
        <f>vendas2026[[#This Row],[Qtde]]*vendas2026[[#This Row],[VlrUnitário]]</f>
        <v>2700</v>
      </c>
      <c r="J212" s="385">
        <f>(vendas2026[[#This Row],[VlrTotal]]*0.2)+vendas2026[[#This Row],[VlrTotal]]</f>
        <v>3240</v>
      </c>
      <c r="K212" s="16">
        <v>7.0000000000000007E-2</v>
      </c>
      <c r="L212" s="16">
        <f>vendas2026[[#This Row],[%Comissão]]*0.25</f>
        <v>1.7500000000000002E-2</v>
      </c>
      <c r="M212" s="14" t="s">
        <v>43</v>
      </c>
      <c r="N212" s="24">
        <f>vendas2026[[#This Row],[VlrTotal]]*vendas2026[[#This Row],[%Comissão]]</f>
        <v>189.00000000000003</v>
      </c>
      <c r="O212" s="14">
        <f>vendas2026[[#This Row],[VlrTotal]]*vendas2026[[#This Row],[%ComissãoSupervisor]]</f>
        <v>47.250000000000007</v>
      </c>
      <c r="P212" s="11" t="s">
        <v>3361</v>
      </c>
      <c r="Q212" s="11" t="s">
        <v>3362</v>
      </c>
      <c r="R212" s="11"/>
      <c r="S212" s="11">
        <v>1</v>
      </c>
      <c r="T212" s="383"/>
      <c r="U212" s="11" t="s">
        <v>3363</v>
      </c>
      <c r="V212" s="17" t="s">
        <v>45</v>
      </c>
    </row>
    <row r="213" spans="1:22" x14ac:dyDescent="0.3">
      <c r="A213" s="10">
        <v>46188</v>
      </c>
      <c r="B213" s="11">
        <v>144460</v>
      </c>
      <c r="C213" s="11" t="s">
        <v>45</v>
      </c>
      <c r="D213" s="11" t="s">
        <v>134</v>
      </c>
      <c r="E213" s="11" t="s">
        <v>42</v>
      </c>
      <c r="F213" s="11" t="s">
        <v>3355</v>
      </c>
      <c r="G213" s="12">
        <v>8</v>
      </c>
      <c r="H213" s="13">
        <v>180</v>
      </c>
      <c r="I213" s="14">
        <f>vendas2026[[#This Row],[Qtde]]*vendas2026[[#This Row],[VlrUnitário]]</f>
        <v>1440</v>
      </c>
      <c r="J213" s="385">
        <f>(vendas2026[[#This Row],[VlrTotal]]*0.2)+vendas2026[[#This Row],[VlrTotal]]</f>
        <v>1728</v>
      </c>
      <c r="K213" s="16">
        <v>7.0000000000000007E-2</v>
      </c>
      <c r="L213" s="16">
        <f>vendas2026[[#This Row],[%Comissão]]*0.25</f>
        <v>1.7500000000000002E-2</v>
      </c>
      <c r="M213" s="14" t="s">
        <v>43</v>
      </c>
      <c r="N213" s="24">
        <f>vendas2026[[#This Row],[VlrTotal]]*vendas2026[[#This Row],[%Comissão]]</f>
        <v>100.80000000000001</v>
      </c>
      <c r="O213" s="14">
        <f>vendas2026[[#This Row],[VlrTotal]]*vendas2026[[#This Row],[%ComissãoSupervisor]]</f>
        <v>25.200000000000003</v>
      </c>
      <c r="P213" s="11" t="s">
        <v>3361</v>
      </c>
      <c r="Q213" s="11" t="s">
        <v>3362</v>
      </c>
      <c r="R213" s="11"/>
      <c r="S213" s="11">
        <v>3</v>
      </c>
      <c r="T213" s="383"/>
      <c r="U213" s="11" t="s">
        <v>3363</v>
      </c>
      <c r="V213" s="17" t="s">
        <v>45</v>
      </c>
    </row>
    <row r="214" spans="1:22" x14ac:dyDescent="0.3">
      <c r="A214" s="10">
        <v>46189</v>
      </c>
      <c r="B214" s="11">
        <v>142677</v>
      </c>
      <c r="C214" s="11" t="s">
        <v>45</v>
      </c>
      <c r="D214" s="11" t="s">
        <v>131</v>
      </c>
      <c r="E214" s="11" t="s">
        <v>96</v>
      </c>
      <c r="F214" s="11" t="s">
        <v>32</v>
      </c>
      <c r="G214" s="12">
        <v>1</v>
      </c>
      <c r="H214" s="13">
        <v>8100</v>
      </c>
      <c r="I214" s="14">
        <f>vendas2026[[#This Row],[Qtde]]*vendas2026[[#This Row],[VlrUnitário]]</f>
        <v>8100</v>
      </c>
      <c r="J214" s="385">
        <f>(vendas2026[[#This Row],[VlrTotal]]*0.2)+vendas2026[[#This Row],[VlrTotal]]</f>
        <v>9720</v>
      </c>
      <c r="K214" s="16">
        <v>7.0000000000000007E-2</v>
      </c>
      <c r="L214" s="16">
        <f>vendas2026[[#This Row],[%Comissão]]*0.25</f>
        <v>1.7500000000000002E-2</v>
      </c>
      <c r="M214" s="14" t="s">
        <v>43</v>
      </c>
      <c r="N214" s="24">
        <f>vendas2026[[#This Row],[VlrTotal]]*vendas2026[[#This Row],[%Comissão]]</f>
        <v>567</v>
      </c>
      <c r="O214" s="14">
        <f>vendas2026[[#This Row],[VlrTotal]]*vendas2026[[#This Row],[%ComissãoSupervisor]]</f>
        <v>141.75</v>
      </c>
      <c r="P214" s="11" t="s">
        <v>25</v>
      </c>
      <c r="Q214" s="11" t="s">
        <v>25</v>
      </c>
      <c r="R214" s="11"/>
      <c r="S214" s="11">
        <v>6</v>
      </c>
      <c r="T214" s="383">
        <v>46189</v>
      </c>
      <c r="U214" s="11" t="s">
        <v>204</v>
      </c>
      <c r="V214" s="17" t="s">
        <v>45</v>
      </c>
    </row>
    <row r="215" spans="1:22" x14ac:dyDescent="0.3">
      <c r="A215" s="10">
        <v>46189</v>
      </c>
      <c r="B215" s="11">
        <v>142677</v>
      </c>
      <c r="C215" s="11" t="s">
        <v>45</v>
      </c>
      <c r="D215" s="11" t="s">
        <v>131</v>
      </c>
      <c r="E215" s="11" t="s">
        <v>96</v>
      </c>
      <c r="F215" s="11" t="s">
        <v>23</v>
      </c>
      <c r="G215" s="12">
        <v>1</v>
      </c>
      <c r="H215" s="13">
        <v>1800</v>
      </c>
      <c r="I215" s="14">
        <f>vendas2026[[#This Row],[Qtde]]*vendas2026[[#This Row],[VlrUnitário]]</f>
        <v>1800</v>
      </c>
      <c r="J215" s="385">
        <f>(vendas2026[[#This Row],[VlrTotal]]*0.2)+vendas2026[[#This Row],[VlrTotal]]</f>
        <v>2160</v>
      </c>
      <c r="K215" s="16">
        <v>1</v>
      </c>
      <c r="L215" s="16">
        <f>vendas2026[[#This Row],[%Comissão]]*0.25</f>
        <v>0.25</v>
      </c>
      <c r="M215" s="14" t="s">
        <v>43</v>
      </c>
      <c r="N215" s="24">
        <f>vendas2026[[#This Row],[VlrTotal]]*vendas2026[[#This Row],[%Comissão]]</f>
        <v>1800</v>
      </c>
      <c r="O215" s="14">
        <f>vendas2026[[#This Row],[VlrTotal]]*vendas2026[[#This Row],[%ComissãoSupervisor]]</f>
        <v>450</v>
      </c>
      <c r="P215" s="11" t="s">
        <v>25</v>
      </c>
      <c r="Q215" s="11" t="s">
        <v>25</v>
      </c>
      <c r="R215" s="11"/>
      <c r="S215" s="11">
        <v>1</v>
      </c>
      <c r="T215" s="383">
        <v>46189</v>
      </c>
      <c r="U215" s="11" t="s">
        <v>204</v>
      </c>
      <c r="V215" s="17" t="s">
        <v>45</v>
      </c>
    </row>
    <row r="216" spans="1:22" ht="13.95" customHeight="1" x14ac:dyDescent="0.3">
      <c r="A216" s="77" t="s">
        <v>3367</v>
      </c>
      <c r="B216" s="22"/>
      <c r="C216" s="22"/>
      <c r="D216" s="11"/>
      <c r="E216" s="22"/>
      <c r="F216" s="22"/>
      <c r="G216" s="23">
        <f>SUBTOTAL(109,vendas2026[Qtde])</f>
        <v>721</v>
      </c>
      <c r="H216" s="22"/>
      <c r="I216" s="24">
        <f>SUBTOTAL(109,vendas2026[VlrTotal])</f>
        <v>147851.20000000001</v>
      </c>
      <c r="J216" s="24">
        <f>SUBTOTAL(109,vendas2026[Vlr Meta])</f>
        <v>151616.22399999999</v>
      </c>
      <c r="K216" s="22"/>
      <c r="L216" s="22"/>
      <c r="M216" s="22"/>
      <c r="N216" s="24">
        <f>SUBTOTAL(109,vendas2026[[ComissãoVendedor ]])</f>
        <v>5780.0843999999997</v>
      </c>
      <c r="O216" s="24">
        <f>SUBTOTAL(109,vendas2026[ComissãoSupervisor])</f>
        <v>4798.3610999999992</v>
      </c>
      <c r="P216" s="22"/>
      <c r="Q216" s="22"/>
      <c r="R216" s="22"/>
      <c r="S216" s="22"/>
      <c r="T216" s="384"/>
      <c r="U216" s="22"/>
      <c r="V216" s="76">
        <f>SUBTOTAL(103,vendas2026[SDR_RESPONSÁVEL])</f>
        <v>19</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opLeftCell="A7" workbookViewId="0">
      <selection activeCell="C30" sqref="C30"/>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35647.919999999998</v>
      </c>
      <c r="D4" s="84">
        <f>C4/B4</f>
        <v>0.396088</v>
      </c>
    </row>
    <row r="5" spans="1:6" ht="15.6" thickTop="1" thickBot="1" x14ac:dyDescent="0.35">
      <c r="A5" s="81" t="s">
        <v>3378</v>
      </c>
      <c r="B5" s="82">
        <v>10000</v>
      </c>
      <c r="C5" s="83">
        <v>0</v>
      </c>
      <c r="D5" s="84">
        <f>C5/B5</f>
        <v>0</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23644</v>
      </c>
      <c r="D8" s="84">
        <f>C8/B8</f>
        <v>0.26271111111111112</v>
      </c>
    </row>
    <row r="9" spans="1:6" ht="15.6" thickTop="1" thickBot="1" x14ac:dyDescent="0.35">
      <c r="A9" s="81" t="s">
        <v>3378</v>
      </c>
      <c r="B9" s="82">
        <v>8500</v>
      </c>
      <c r="C9" s="83">
        <v>2502.14</v>
      </c>
      <c r="D9" s="84">
        <f>C9/B9</f>
        <v>0.29436941176470588</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0</v>
      </c>
      <c r="D14" s="84">
        <f>C14/B14</f>
        <v>0</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82160</v>
      </c>
      <c r="D17" s="84">
        <f>C17/B17</f>
        <v>1.5214814814814814</v>
      </c>
    </row>
    <row r="18" spans="1:6" ht="15.6" thickTop="1" thickBot="1" x14ac:dyDescent="0.35">
      <c r="A18" s="81" t="s">
        <v>3378</v>
      </c>
      <c r="B18" s="82">
        <v>6500</v>
      </c>
      <c r="C18" s="83">
        <v>7662.16</v>
      </c>
      <c r="D18" s="84">
        <f>C18/B18</f>
        <v>1.1787938461538461</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90000*4</f>
        <v>360000</v>
      </c>
      <c r="C24" s="86">
        <f>C4+C8+C13+C21+C17</f>
        <v>141451.91999999998</v>
      </c>
      <c r="D24" s="87">
        <f>C24/B24</f>
        <v>0.39292199999999994</v>
      </c>
    </row>
    <row r="25" spans="1:6" ht="15.6" thickTop="1" thickBot="1" x14ac:dyDescent="0.35">
      <c r="A25" s="85" t="s">
        <v>3382</v>
      </c>
      <c r="B25" s="88">
        <f>B9+B14+B18+B22</f>
        <v>35000</v>
      </c>
      <c r="C25" s="88">
        <f>C5+C9+C14+C22+C18</f>
        <v>10164.299999999999</v>
      </c>
      <c r="D25" s="89">
        <f>C25/B25</f>
        <v>0.2904085714285714</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90000*4</f>
        <v>360000</v>
      </c>
      <c r="C28" s="90">
        <f>C4+C8+C21+C13+C17</f>
        <v>141451.91999999998</v>
      </c>
      <c r="D28" s="87">
        <f>C28/B28</f>
        <v>0.39292199999999994</v>
      </c>
    </row>
    <row r="29" spans="1:6" ht="15.6" thickTop="1" thickBot="1" x14ac:dyDescent="0.35">
      <c r="A29" s="81" t="s">
        <v>3378</v>
      </c>
      <c r="B29" s="86">
        <f>B25</f>
        <v>35000</v>
      </c>
      <c r="C29" s="90">
        <f>C9+C14+C18+C22</f>
        <v>10164.299999999999</v>
      </c>
      <c r="D29" s="87">
        <f>C29/B29</f>
        <v>0.2904085714285714</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V43" sqref="V43"/>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53"/>
      <c r="Q50" s="33">
        <v>16</v>
      </c>
      <c r="R50" s="33">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3">
      <c r="A51" s="48" t="s">
        <v>242</v>
      </c>
      <c r="B51" s="48"/>
      <c r="C51" s="48"/>
      <c r="D51" s="48"/>
      <c r="E51" s="48"/>
      <c r="F51" s="48"/>
      <c r="G51" s="48"/>
      <c r="H51" s="48"/>
      <c r="I51" s="48"/>
      <c r="J51" s="48"/>
      <c r="K51" s="48"/>
      <c r="L51" s="48"/>
      <c r="M51" s="240">
        <v>2026</v>
      </c>
      <c r="N51" s="53">
        <v>46143</v>
      </c>
      <c r="O51" s="33" t="s">
        <v>20</v>
      </c>
      <c r="P51" s="33"/>
      <c r="Q51" s="33">
        <v>18</v>
      </c>
      <c r="R51" s="33">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3">
      <c r="A52" s="48" t="s">
        <v>229</v>
      </c>
      <c r="B52" s="48"/>
      <c r="C52" s="48"/>
      <c r="D52" s="48"/>
      <c r="E52" s="48"/>
      <c r="F52" s="48"/>
      <c r="G52" s="48"/>
      <c r="H52" s="48"/>
      <c r="I52" s="48"/>
      <c r="J52" s="48"/>
      <c r="K52" s="48"/>
      <c r="L52" s="48"/>
      <c r="M52" s="240">
        <v>2026</v>
      </c>
      <c r="N52" s="53">
        <v>46143</v>
      </c>
      <c r="O52" s="33" t="s">
        <v>40</v>
      </c>
      <c r="P52" s="33"/>
      <c r="Q52" s="33">
        <v>2</v>
      </c>
      <c r="R52" s="33">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3">
      <c r="A53" s="48" t="s">
        <v>230</v>
      </c>
      <c r="B53" s="48"/>
      <c r="C53" s="48"/>
      <c r="D53" s="48"/>
      <c r="E53" s="48" t="s">
        <v>231</v>
      </c>
      <c r="F53" s="48"/>
      <c r="G53" s="48"/>
      <c r="H53" s="48"/>
      <c r="I53" s="48" t="s">
        <v>232</v>
      </c>
      <c r="J53" s="48"/>
      <c r="K53" s="48"/>
      <c r="L53" s="48"/>
      <c r="M53" s="240">
        <v>2026</v>
      </c>
      <c r="N53" s="53">
        <v>46143</v>
      </c>
      <c r="O53" t="s">
        <v>6111</v>
      </c>
      <c r="Q53" s="33">
        <v>2</v>
      </c>
      <c r="R53" s="33">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3">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80">
        <v>14</v>
      </c>
      <c r="R54" s="380">
        <v>11</v>
      </c>
      <c r="S54" s="54">
        <f>'Metas Quadro'!C9</f>
        <v>2502.14</v>
      </c>
      <c r="T54" s="54">
        <f>'Metas Quadro'!C25</f>
        <v>10164.299999999999</v>
      </c>
      <c r="U54" s="54">
        <f>'Metas Quadro'!C8</f>
        <v>23644</v>
      </c>
      <c r="V54" s="379">
        <v>150</v>
      </c>
      <c r="W54">
        <v>15</v>
      </c>
      <c r="X54">
        <v>12</v>
      </c>
      <c r="Y54" s="238">
        <v>8.5</v>
      </c>
      <c r="Z54" s="238">
        <v>35</v>
      </c>
      <c r="AA54" s="55">
        <v>90000</v>
      </c>
      <c r="AB54" s="36">
        <f>metas[[#This Row],[Meta Individual]]/8500</f>
        <v>0.29436941176470588</v>
      </c>
      <c r="AC54" s="290">
        <f>metas[[#This Row],[Meta Equipe]]/34000/4</f>
        <v>7.4737499999999998E-2</v>
      </c>
    </row>
    <row r="55" spans="1:29" x14ac:dyDescent="0.3">
      <c r="A55" t="s">
        <v>236</v>
      </c>
      <c r="B55">
        <v>15</v>
      </c>
      <c r="C55">
        <v>25</v>
      </c>
      <c r="D55">
        <v>1.6666666666666667</v>
      </c>
      <c r="E55" t="s">
        <v>236</v>
      </c>
      <c r="F55">
        <v>15</v>
      </c>
      <c r="G55">
        <v>18</v>
      </c>
      <c r="H55">
        <v>1.2</v>
      </c>
      <c r="I55" t="s">
        <v>236</v>
      </c>
      <c r="J55">
        <v>15</v>
      </c>
      <c r="K55">
        <v>3</v>
      </c>
      <c r="L55">
        <v>0.2</v>
      </c>
      <c r="M55" s="240">
        <v>2026</v>
      </c>
      <c r="N55" s="53">
        <v>46174</v>
      </c>
      <c r="O55" s="33" t="s">
        <v>20</v>
      </c>
      <c r="P55" s="33"/>
      <c r="Q55" s="380">
        <v>5</v>
      </c>
      <c r="R55" s="380">
        <v>6</v>
      </c>
      <c r="S55" s="54">
        <f>'Metas Quadro'!C5</f>
        <v>0</v>
      </c>
      <c r="T55" s="54">
        <f>'Metas Quadro'!C25</f>
        <v>10164.299999999999</v>
      </c>
      <c r="U55" s="54">
        <f>'Metas Quadro'!C4</f>
        <v>35647.919999999998</v>
      </c>
      <c r="V55" s="379">
        <v>150</v>
      </c>
      <c r="W55">
        <v>15</v>
      </c>
      <c r="X55">
        <v>12</v>
      </c>
      <c r="Y55" s="238">
        <v>10</v>
      </c>
      <c r="Z55" s="238">
        <v>35</v>
      </c>
      <c r="AA55" s="55">
        <v>90000</v>
      </c>
      <c r="AB55" s="36">
        <f>metas[[#This Row],[Meta Individual]]/10000</f>
        <v>0</v>
      </c>
      <c r="AC55" s="290">
        <f>metas[[#This Row],[Meta Equipe]]/34000/4</f>
        <v>7.4737499999999998E-2</v>
      </c>
    </row>
    <row r="56" spans="1:29" x14ac:dyDescent="0.3">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80">
        <v>0</v>
      </c>
      <c r="R56" s="380">
        <v>0</v>
      </c>
      <c r="S56" s="54">
        <f>'Metas Quadro'!C14</f>
        <v>0</v>
      </c>
      <c r="T56" s="54">
        <f>'Metas Quadro'!C25</f>
        <v>10164.299999999999</v>
      </c>
      <c r="U56" s="54">
        <f>'Metas Quadro'!C13</f>
        <v>0</v>
      </c>
      <c r="V56" s="379">
        <v>150</v>
      </c>
      <c r="W56">
        <v>15</v>
      </c>
      <c r="X56">
        <v>12</v>
      </c>
      <c r="Y56" s="238">
        <v>10</v>
      </c>
      <c r="Z56" s="238">
        <v>35</v>
      </c>
      <c r="AA56" s="55">
        <v>90000</v>
      </c>
      <c r="AB56" s="36">
        <f>metas[[#This Row],[Meta Individual]]/10000</f>
        <v>0</v>
      </c>
      <c r="AC56" s="290">
        <f>metas[[#This Row],[Meta Equipe]]/34000/4</f>
        <v>7.4737499999999998E-2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80">
        <v>3</v>
      </c>
      <c r="R57" s="380">
        <v>5</v>
      </c>
      <c r="S57" s="54">
        <f>'Metas Quadro'!C18</f>
        <v>7662.16</v>
      </c>
      <c r="T57" s="54">
        <f>'Metas Quadro'!C25</f>
        <v>10164.299999999999</v>
      </c>
      <c r="U57" s="54">
        <f>'Metas Quadro'!C17</f>
        <v>82160</v>
      </c>
      <c r="V57" s="379">
        <v>150</v>
      </c>
      <c r="W57">
        <v>15</v>
      </c>
      <c r="X57">
        <v>12</v>
      </c>
      <c r="Y57" s="238">
        <v>6.5</v>
      </c>
      <c r="Z57" s="238">
        <v>35</v>
      </c>
      <c r="AA57" s="55">
        <v>58500</v>
      </c>
      <c r="AB57" s="36">
        <f>metas[[#This Row],[Meta Individual]]/6500</f>
        <v>1.1787938461538461</v>
      </c>
      <c r="AC57" s="290">
        <f>metas[[#This Row],[Meta Equipe]]/34000/4</f>
        <v>7.4737499999999998E-2</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3">
      <c r="U60" s="54"/>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6">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2026-06-17T11:58:49Z</dcterms:modified>
</cp:coreProperties>
</file>