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735719D1-54A0-4776-88A0-15E82BA60B6E}" xr6:coauthVersionLast="47" xr6:coauthVersionMax="47" xr10:uidLastSave="{00000000-0000-0000-0000-000000000000}"/>
  <bookViews>
    <workbookView xWindow="-21720" yWindow="660" windowWidth="21840" windowHeight="13020" tabRatio="1000" activeTab="1"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1" i="1" l="1"/>
  <c r="I201" i="1"/>
  <c r="L200" i="1"/>
  <c r="I200" i="1"/>
  <c r="L199" i="1"/>
  <c r="I199" i="1"/>
  <c r="I197" i="1"/>
  <c r="S57" i="4"/>
  <c r="S56" i="4"/>
  <c r="S55" i="4"/>
  <c r="S54" i="4"/>
  <c r="AB50" i="4"/>
  <c r="AC50" i="4"/>
  <c r="U57" i="4"/>
  <c r="U56" i="4"/>
  <c r="U55" i="4"/>
  <c r="U54" i="4"/>
  <c r="C25" i="12"/>
  <c r="AC53" i="4"/>
  <c r="L198" i="1"/>
  <c r="L197" i="1"/>
  <c r="I198" i="1"/>
  <c r="L196" i="1"/>
  <c r="I196" i="1"/>
  <c r="L195" i="1"/>
  <c r="I195" i="1"/>
  <c r="I194" i="1"/>
  <c r="N194" i="1" s="1"/>
  <c r="L193" i="1"/>
  <c r="L192" i="1"/>
  <c r="I193" i="1"/>
  <c r="I192" i="1"/>
  <c r="I191" i="1"/>
  <c r="C24" i="12"/>
  <c r="D24" i="12" s="1"/>
  <c r="B24" i="12"/>
  <c r="N201" i="1" l="1"/>
  <c r="O201" i="1"/>
  <c r="J201" i="1"/>
  <c r="J200" i="1"/>
  <c r="O200" i="1"/>
  <c r="N200" i="1"/>
  <c r="O199" i="1"/>
  <c r="N199" i="1"/>
  <c r="J199" i="1"/>
  <c r="T57" i="4"/>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B29" i="12"/>
  <c r="D29" i="12" l="1"/>
  <c r="L179" i="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02" i="1"/>
  <c r="G202"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02" i="1"/>
  <c r="J41" i="1"/>
  <c r="J202" i="1" s="1"/>
  <c r="O41" i="1"/>
  <c r="N5" i="1"/>
  <c r="N6" i="1"/>
  <c r="D13" i="12"/>
  <c r="N7" i="1"/>
  <c r="N4" i="1"/>
  <c r="N8" i="1"/>
  <c r="D8" i="12"/>
  <c r="D4" i="12"/>
  <c r="N41" i="1"/>
  <c r="D5" i="12"/>
  <c r="O9" i="1"/>
  <c r="O4" i="1"/>
  <c r="O202" i="1" s="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02" i="1" l="1"/>
  <c r="D14" i="12"/>
  <c r="M473" i="2"/>
  <c r="M152" i="2"/>
  <c r="N152" i="2"/>
  <c r="N473" i="2" s="1"/>
  <c r="DN28" i="22" l="1"/>
  <c r="CX30"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<sst xmlns="http://schemas.openxmlformats.org/spreadsheetml/2006/main" count="100917" uniqueCount="6557">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</sst>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17">
      <pivotArea dataOnly="0" labelOnly="1" fieldPosition="0">
        <references count="1">
          <reference field="6" count="1">
            <x v="441"/>
          </reference>
        </references>
      </pivotArea>
    </format>
    <format dxfId="516">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56">
      <pivotArea type="all" dataOnly="0" outline="0" fieldPosition="0"/>
    </format>
    <format dxfId="555">
      <pivotArea field="18" type="button" dataOnly="0" labelOnly="1" outline="0" axis="axisRow" fieldPosition="0"/>
    </format>
    <format dxfId="554">
      <pivotArea dataOnly="0" labelOnly="1" outline="0" fieldPosition="0">
        <references count="1">
          <reference field="4294967294" count="2">
            <x v="0"/>
            <x v="1"/>
          </reference>
        </references>
      </pivotArea>
    </format>
    <format dxfId="553">
      <pivotArea type="all" dataOnly="0" outline="0" fieldPosition="0"/>
    </format>
    <format dxfId="552">
      <pivotArea field="18" type="button" dataOnly="0" labelOnly="1" outline="0" axis="axisRow" fieldPosition="0"/>
    </format>
    <format dxfId="551">
      <pivotArea dataOnly="0" labelOnly="1" outline="0" fieldPosition="0">
        <references count="1">
          <reference field="4294967294" count="2">
            <x v="0"/>
            <x v="1"/>
          </reference>
        </references>
      </pivotArea>
    </format>
    <format dxfId="550">
      <pivotArea collapsedLevelsAreSubtotals="1" fieldPosition="0">
        <references count="1">
          <reference field="18" count="1">
            <x v="0"/>
          </reference>
        </references>
      </pivotArea>
    </format>
    <format dxfId="549">
      <pivotArea collapsedLevelsAreSubtotals="1" fieldPosition="0">
        <references count="1">
          <reference field="18" count="1">
            <x v="1"/>
          </reference>
        </references>
      </pivotArea>
    </format>
    <format dxfId="548">
      <pivotArea collapsedLevelsAreSubtotals="1" fieldPosition="0">
        <references count="1">
          <reference field="18" count="1">
            <x v="2"/>
          </reference>
        </references>
      </pivotArea>
    </format>
    <format dxfId="547">
      <pivotArea collapsedLevelsAreSubtotals="1" fieldPosition="0">
        <references count="1">
          <reference field="18" count="1">
            <x v="3"/>
          </reference>
        </references>
      </pivotArea>
    </format>
    <format dxfId="546">
      <pivotArea collapsedLevelsAreSubtotals="1" fieldPosition="0">
        <references count="1">
          <reference field="18" count="1">
            <x v="4"/>
          </reference>
        </references>
      </pivotArea>
    </format>
    <format dxfId="545">
      <pivotArea collapsedLevelsAreSubtotals="1" fieldPosition="0">
        <references count="1">
          <reference field="18" count="1">
            <x v="5"/>
          </reference>
        </references>
      </pivotArea>
    </format>
    <format dxfId="544">
      <pivotArea collapsedLevelsAreSubtotals="1" fieldPosition="0">
        <references count="1">
          <reference field="18" count="1">
            <x v="6"/>
          </reference>
        </references>
      </pivotArea>
    </format>
    <format dxfId="543">
      <pivotArea collapsedLevelsAreSubtotals="1" fieldPosition="0">
        <references count="1">
          <reference field="18" count="1">
            <x v="7"/>
          </reference>
        </references>
      </pivotArea>
    </format>
    <format dxfId="542">
      <pivotArea collapsedLevelsAreSubtotals="1" fieldPosition="0">
        <references count="1">
          <reference field="18" count="1">
            <x v="8"/>
          </reference>
        </references>
      </pivotArea>
    </format>
    <format dxfId="541">
      <pivotArea collapsedLevelsAreSubtotals="1" fieldPosition="0">
        <references count="1">
          <reference field="18" count="1">
            <x v="9"/>
          </reference>
        </references>
      </pivotArea>
    </format>
    <format dxfId="540">
      <pivotArea collapsedLevelsAreSubtotals="1" fieldPosition="0">
        <references count="1">
          <reference field="18" count="1">
            <x v="10"/>
          </reference>
        </references>
      </pivotArea>
    </format>
    <format dxfId="539">
      <pivotArea outline="0" collapsedLevelsAreSubtotals="1" fieldPosition="0">
        <references count="1">
          <reference field="4294967294" count="1" selected="0">
            <x v="1"/>
          </reference>
        </references>
      </pivotArea>
    </format>
    <format dxfId="538">
      <pivotArea collapsedLevelsAreSubtotals="1" fieldPosition="0">
        <references count="2">
          <reference field="4294967294" count="1" selected="0">
            <x v="0"/>
          </reference>
          <reference field="18" count="1">
            <x v="0"/>
          </reference>
        </references>
      </pivotArea>
    </format>
    <format dxfId="537">
      <pivotArea collapsedLevelsAreSubtotals="1" fieldPosition="0">
        <references count="2">
          <reference field="4294967294" count="1" selected="0">
            <x v="0"/>
          </reference>
          <reference field="18" count="1">
            <x v="1"/>
          </reference>
        </references>
      </pivotArea>
    </format>
    <format dxfId="536">
      <pivotArea collapsedLevelsAreSubtotals="1" fieldPosition="0">
        <references count="2">
          <reference field="4294967294" count="1" selected="0">
            <x v="0"/>
          </reference>
          <reference field="18" count="1">
            <x v="2"/>
          </reference>
        </references>
      </pivotArea>
    </format>
    <format dxfId="535">
      <pivotArea collapsedLevelsAreSubtotals="1" fieldPosition="0">
        <references count="2">
          <reference field="4294967294" count="1" selected="0">
            <x v="0"/>
          </reference>
          <reference field="18" count="1">
            <x v="3"/>
          </reference>
        </references>
      </pivotArea>
    </format>
    <format dxfId="534">
      <pivotArea collapsedLevelsAreSubtotals="1" fieldPosition="0">
        <references count="2">
          <reference field="4294967294" count="1" selected="0">
            <x v="0"/>
          </reference>
          <reference field="18" count="1">
            <x v="4"/>
          </reference>
        </references>
      </pivotArea>
    </format>
    <format dxfId="533">
      <pivotArea collapsedLevelsAreSubtotals="1" fieldPosition="0">
        <references count="2">
          <reference field="4294967294" count="1" selected="0">
            <x v="0"/>
          </reference>
          <reference field="18" count="1">
            <x v="5"/>
          </reference>
        </references>
      </pivotArea>
    </format>
    <format dxfId="532">
      <pivotArea collapsedLevelsAreSubtotals="1" fieldPosition="0">
        <references count="2">
          <reference field="4294967294" count="1" selected="0">
            <x v="0"/>
          </reference>
          <reference field="18" count="1">
            <x v="6"/>
          </reference>
        </references>
      </pivotArea>
    </format>
    <format dxfId="531">
      <pivotArea collapsedLevelsAreSubtotals="1" fieldPosition="0">
        <references count="2">
          <reference field="4294967294" count="1" selected="0">
            <x v="0"/>
          </reference>
          <reference field="18" count="1">
            <x v="7"/>
          </reference>
        </references>
      </pivotArea>
    </format>
    <format dxfId="530">
      <pivotArea collapsedLevelsAreSubtotals="1" fieldPosition="0">
        <references count="2">
          <reference field="4294967294" count="1" selected="0">
            <x v="0"/>
          </reference>
          <reference field="18" count="1">
            <x v="8"/>
          </reference>
        </references>
      </pivotArea>
    </format>
    <format dxfId="529">
      <pivotArea collapsedLevelsAreSubtotals="1" fieldPosition="0">
        <references count="2">
          <reference field="4294967294" count="1" selected="0">
            <x v="0"/>
          </reference>
          <reference field="18" count="1">
            <x v="9"/>
          </reference>
        </references>
      </pivotArea>
    </format>
    <format dxfId="528">
      <pivotArea collapsedLevelsAreSubtotals="1" fieldPosition="0">
        <references count="2">
          <reference field="4294967294" count="1" selected="0">
            <x v="0"/>
          </reference>
          <reference field="18" count="1">
            <x v="10"/>
          </reference>
        </references>
      </pivotArea>
    </format>
    <format dxfId="527">
      <pivotArea collapsedLevelsAreSubtotals="1" fieldPosition="0">
        <references count="2">
          <reference field="4294967294" count="1" selected="0">
            <x v="0"/>
          </reference>
          <reference field="18" count="1">
            <x v="11"/>
          </reference>
        </references>
      </pivotArea>
    </format>
    <format dxfId="526">
      <pivotArea outline="0" collapsedLevelsAreSubtotals="1" fieldPosition="0"/>
    </format>
    <format dxfId="525">
      <pivotArea dataOnly="0" labelOnly="1" fieldPosition="0">
        <references count="1">
          <reference field="18" count="0"/>
        </references>
      </pivotArea>
    </format>
    <format dxfId="524">
      <pivotArea dataOnly="0" labelOnly="1" grandRow="1" outline="0" fieldPosition="0"/>
    </format>
    <format dxfId="523">
      <pivotArea outline="0" collapsedLevelsAreSubtotals="1" fieldPosition="0"/>
    </format>
    <format dxfId="522">
      <pivotArea dataOnly="0" labelOnly="1" fieldPosition="0">
        <references count="1">
          <reference field="18" count="0"/>
        </references>
      </pivotArea>
    </format>
    <format dxfId="521">
      <pivotArea dataOnly="0" labelOnly="1" grandRow="1" outline="0" fieldPosition="0"/>
    </format>
    <format dxfId="520">
      <pivotArea outline="0" collapsedLevelsAreSubtotals="1" fieldPosition="0"/>
    </format>
    <format dxfId="519">
      <pivotArea dataOnly="0" labelOnly="1" fieldPosition="0">
        <references count="1">
          <reference field="18" count="0"/>
        </references>
      </pivotArea>
    </format>
    <format dxfId="518">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65">
      <pivotArea outline="0" collapsedLevelsAreSubtotals="1" fieldPosition="0"/>
    </format>
    <format dxfId="564">
      <pivotArea dataOnly="0" labelOnly="1" fieldPosition="0">
        <references count="1">
          <reference field="18" count="0"/>
        </references>
      </pivotArea>
    </format>
    <format dxfId="563">
      <pivotArea dataOnly="0" labelOnly="1" grandRow="1" outline="0" fieldPosition="0"/>
    </format>
    <format dxfId="562">
      <pivotArea outline="0" collapsedLevelsAreSubtotals="1" fieldPosition="0"/>
    </format>
    <format dxfId="561">
      <pivotArea dataOnly="0" labelOnly="1" fieldPosition="0">
        <references count="1">
          <reference field="18" count="0"/>
        </references>
      </pivotArea>
    </format>
    <format dxfId="560">
      <pivotArea dataOnly="0" labelOnly="1" grandRow="1" outline="0" fieldPosition="0"/>
    </format>
    <format dxfId="559">
      <pivotArea outline="0" collapsedLevelsAreSubtotals="1" fieldPosition="0"/>
    </format>
    <format dxfId="558">
      <pivotArea dataOnly="0" labelOnly="1" fieldPosition="0">
        <references count="1">
          <reference field="18" count="0"/>
        </references>
      </pivotArea>
    </format>
    <format dxfId="557">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03">
      <pivotArea outline="0" collapsedLevelsAreSubtotals="1" fieldPosition="0"/>
    </format>
    <format dxfId="402">
      <pivotArea outline="0" fieldPosition="0">
        <references count="1">
          <reference field="4294967294" count="3" selected="0">
            <x v="1"/>
            <x v="2"/>
            <x v="3"/>
          </reference>
        </references>
      </pivotArea>
    </format>
    <format dxfId="401">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04">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10">
      <pivotArea dataOnly="0" labelOnly="1" outline="0" axis="axisValues" fieldPosition="0"/>
    </format>
    <format dxfId="409">
      <pivotArea field="21" type="button" dataOnly="0" labelOnly="1" outline="0" axis="axisRow" fieldPosition="0"/>
    </format>
    <format dxfId="408">
      <pivotArea field="4" type="button" dataOnly="0" labelOnly="1" outline="0" axis="axisRow" fieldPosition="1"/>
    </format>
    <format dxfId="407">
      <pivotArea dataOnly="0" labelOnly="1" outline="0" axis="axisValues" fieldPosition="0"/>
    </format>
    <format dxfId="406">
      <pivotArea grandRow="1" outline="0" collapsedLevelsAreSubtotals="1" fieldPosition="0"/>
    </format>
    <format dxfId="40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4">
      <pivotArea grandRow="1" outline="0" collapsedLevelsAreSubtotals="1" fieldPosition="0"/>
    </format>
    <format dxfId="413">
      <pivotArea dataOnly="0" labelOnly="1" grandRow="1" outline="0" fieldPosition="0"/>
    </format>
    <format dxfId="412">
      <pivotArea field="21" type="button" dataOnly="0" labelOnly="1" outline="0" axis="axisRow" fieldPosition="0"/>
    </format>
    <format dxfId="4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18">
      <pivotArea field="21" type="button" dataOnly="0" labelOnly="1" outline="0" axis="axisRow" fieldPosition="0"/>
    </format>
    <format dxfId="417">
      <pivotArea dataOnly="0" labelOnly="1" outline="0" axis="axisValues" fieldPosition="0"/>
    </format>
    <format dxfId="416">
      <pivotArea grandRow="1" outline="0" collapsedLevelsAreSubtotals="1" fieldPosition="0"/>
    </format>
    <format dxfId="41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29">
      <pivotArea type="all" dataOnly="0" outline="0" fieldPosition="0"/>
    </format>
    <format dxfId="328">
      <pivotArea outline="0" collapsedLevelsAreSubtotals="1" fieldPosition="0"/>
    </format>
    <format dxfId="327">
      <pivotArea type="origin" dataOnly="0" labelOnly="1" outline="0" fieldPosition="0"/>
    </format>
    <format dxfId="326">
      <pivotArea field="5" type="button" dataOnly="0" labelOnly="1" outline="0" axis="axisCol" fieldPosition="0"/>
    </format>
    <format dxfId="325">
      <pivotArea type="topRight" dataOnly="0" labelOnly="1" outline="0" fieldPosition="0"/>
    </format>
    <format dxfId="324">
      <pivotArea field="2" type="button" dataOnly="0" labelOnly="1" outline="0" axis="axisRow" fieldPosition="0"/>
    </format>
    <format dxfId="323">
      <pivotArea dataOnly="0" labelOnly="1" fieldPosition="0">
        <references count="1">
          <reference field="2" count="0"/>
        </references>
      </pivotArea>
    </format>
    <format dxfId="322">
      <pivotArea dataOnly="0" labelOnly="1" grandRow="1" outline="0" fieldPosition="0"/>
    </format>
    <format dxfId="321">
      <pivotArea dataOnly="0" labelOnly="1" fieldPosition="0">
        <references count="1">
          <reference field="5" count="0"/>
        </references>
      </pivotArea>
    </format>
    <format dxfId="320">
      <pivotArea dataOnly="0" labelOnly="1" grandCol="1" outline="0" fieldPosition="0"/>
    </format>
    <format dxfId="319">
      <pivotArea type="origin" dataOnly="0" labelOnly="1" outline="0" fieldPosition="0"/>
    </format>
    <format dxfId="318">
      <pivotArea field="5" type="button" dataOnly="0" labelOnly="1" outline="0" axis="axisCol" fieldPosition="0"/>
    </format>
    <format dxfId="317">
      <pivotArea type="topRight" dataOnly="0" labelOnly="1" outline="0" fieldPosition="0"/>
    </format>
    <format dxfId="316">
      <pivotArea field="2" type="button" dataOnly="0" labelOnly="1" outline="0" axis="axisRow" fieldPosition="0"/>
    </format>
    <format dxfId="315">
      <pivotArea dataOnly="0" labelOnly="1" fieldPosition="0">
        <references count="1">
          <reference field="5" count="0"/>
        </references>
      </pivotArea>
    </format>
    <format dxfId="314">
      <pivotArea dataOnly="0" labelOnly="1" grandCol="1" outline="0" fieldPosition="0"/>
    </format>
    <format dxfId="313">
      <pivotArea type="origin" dataOnly="0" labelOnly="1" outline="0" fieldPosition="0"/>
    </format>
    <format dxfId="312">
      <pivotArea field="5" type="button" dataOnly="0" labelOnly="1" outline="0" axis="axisCol" fieldPosition="0"/>
    </format>
    <format dxfId="311">
      <pivotArea type="topRight" dataOnly="0" labelOnly="1" outline="0" fieldPosition="0"/>
    </format>
    <format dxfId="310">
      <pivotArea field="2" type="button" dataOnly="0" labelOnly="1" outline="0" axis="axisRow" fieldPosition="0"/>
    </format>
    <format dxfId="309">
      <pivotArea dataOnly="0" labelOnly="1" fieldPosition="0">
        <references count="1">
          <reference field="5" count="0"/>
        </references>
      </pivotArea>
    </format>
    <format dxfId="308">
      <pivotArea dataOnly="0" labelOnly="1" grandCol="1" outline="0" fieldPosition="0"/>
    </format>
    <format dxfId="307">
      <pivotArea grandRow="1" outline="0" collapsedLevelsAreSubtotals="1" fieldPosition="0"/>
    </format>
    <format dxfId="306">
      <pivotArea dataOnly="0" labelOnly="1" grandRow="1" outline="0" fieldPosition="0"/>
    </format>
    <format dxfId="305">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49">
      <pivotArea field="4" type="button" dataOnly="0" labelOnly="1" outline="0" axis="axisRow" fieldPosition="0"/>
    </format>
    <format dxfId="348">
      <pivotArea dataOnly="0" labelOnly="1" outline="0" axis="axisValues" fieldPosition="0"/>
    </format>
    <format dxfId="347">
      <pivotArea grandRow="1" outline="0" collapsedLevelsAreSubtotals="1" fieldPosition="0"/>
    </format>
    <format dxfId="346">
      <pivotArea dataOnly="0" labelOnly="1" grandRow="1" outline="0" fieldPosition="0"/>
    </format>
    <format dxfId="345">
      <pivotArea type="all" dataOnly="0" outline="0" fieldPosition="0"/>
    </format>
    <format dxfId="344">
      <pivotArea outline="0" collapsedLevelsAreSubtotals="1" fieldPosition="0"/>
    </format>
    <format dxfId="343">
      <pivotArea field="4" type="button" dataOnly="0" labelOnly="1" outline="0" axis="axisRow" fieldPosition="0"/>
    </format>
    <format dxfId="342">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41">
      <pivotArea dataOnly="0" labelOnly="1" grandRow="1" outline="0" fieldPosition="0"/>
    </format>
    <format dxfId="340">
      <pivotArea dataOnly="0" labelOnly="1" outline="0" axis="axisValues" fieldPosition="0"/>
    </format>
    <format dxfId="339">
      <pivotArea type="all" dataOnly="0" outline="0" fieldPosition="0"/>
    </format>
    <format dxfId="338">
      <pivotArea outline="0" collapsedLevelsAreSubtotals="1" fieldPosition="0"/>
    </format>
    <format dxfId="337">
      <pivotArea field="4" type="button" dataOnly="0" labelOnly="1" outline="0" axis="axisRow" fieldPosition="0"/>
    </format>
    <format dxfId="336">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35">
      <pivotArea dataOnly="0" labelOnly="1" grandRow="1" outline="0" fieldPosition="0"/>
    </format>
    <format dxfId="334">
      <pivotArea dataOnly="0" labelOnly="1" outline="0" axis="axisValues" fieldPosition="0"/>
    </format>
    <format dxfId="333">
      <pivotArea field="4" type="button" dataOnly="0" labelOnly="1" outline="0" axis="axisRow" fieldPosition="0"/>
    </format>
    <format dxfId="332">
      <pivotArea dataOnly="0" labelOnly="1" outline="0" axis="axisValues" fieldPosition="0"/>
    </format>
    <format dxfId="331">
      <pivotArea grandRow="1" outline="0" collapsedLevelsAreSubtotals="1" fieldPosition="0"/>
    </format>
    <format dxfId="33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75">
      <pivotArea field="5" type="button" dataOnly="0" labelOnly="1" outline="0" axis="axisRow" fieldPosition="0"/>
    </format>
    <format dxfId="374">
      <pivotArea dataOnly="0" labelOnly="1" outline="0" fieldPosition="0">
        <references count="1">
          <reference field="4294967294" count="2">
            <x v="0"/>
            <x v="1"/>
          </reference>
        </references>
      </pivotArea>
    </format>
    <format dxfId="373">
      <pivotArea field="5" type="button" dataOnly="0" labelOnly="1" outline="0" axis="axisRow" fieldPosition="0"/>
    </format>
    <format dxfId="372">
      <pivotArea dataOnly="0" labelOnly="1" outline="0" fieldPosition="0">
        <references count="1">
          <reference field="4294967294" count="2">
            <x v="0"/>
            <x v="1"/>
          </reference>
        </references>
      </pivotArea>
    </format>
    <format dxfId="371">
      <pivotArea type="all" dataOnly="0" outline="0" fieldPosition="0"/>
    </format>
    <format dxfId="370">
      <pivotArea dataOnly="0" labelOnly="1" grandRow="1" outline="0" fieldPosition="0"/>
    </format>
    <format dxfId="369">
      <pivotArea grandRow="1" outline="0" collapsedLevelsAreSubtotals="1" fieldPosition="0"/>
    </format>
    <format dxfId="368">
      <pivotArea dataOnly="0" labelOnly="1" grandRow="1" outline="0" fieldPosition="0"/>
    </format>
    <format dxfId="367">
      <pivotArea grandRow="1" outline="0" collapsedLevelsAreSubtotals="1" fieldPosition="0"/>
    </format>
    <format dxfId="366">
      <pivotArea dataOnly="0" labelOnly="1" grandRow="1" outline="0" fieldPosition="0"/>
    </format>
    <format dxfId="365">
      <pivotArea grandRow="1" outline="0" collapsedLevelsAreSubtotals="1" fieldPosition="0"/>
    </format>
    <format dxfId="364">
      <pivotArea dataOnly="0" labelOnly="1" grandRow="1" outline="0" fieldPosition="0"/>
    </format>
    <format dxfId="363">
      <pivotArea field="5" type="button" dataOnly="0" labelOnly="1" outline="0" axis="axisRow" fieldPosition="0"/>
    </format>
    <format dxfId="362">
      <pivotArea dataOnly="0" labelOnly="1" outline="0" fieldPosition="0">
        <references count="1">
          <reference field="4294967294" count="2">
            <x v="0"/>
            <x v="1"/>
          </reference>
        </references>
      </pivotArea>
    </format>
    <format dxfId="361">
      <pivotArea type="all" dataOnly="0" outline="0" fieldPosition="0"/>
    </format>
    <format dxfId="360">
      <pivotArea outline="0" collapsedLevelsAreSubtotals="1" fieldPosition="0"/>
    </format>
    <format dxfId="359">
      <pivotArea field="5" type="button" dataOnly="0" labelOnly="1" outline="0" axis="axisRow" fieldPosition="0"/>
    </format>
    <format dxfId="358">
      <pivotArea dataOnly="0" labelOnly="1" fieldPosition="0">
        <references count="1">
          <reference field="5" count="0"/>
        </references>
      </pivotArea>
    </format>
    <format dxfId="357">
      <pivotArea dataOnly="0" labelOnly="1" grandRow="1" outline="0" fieldPosition="0"/>
    </format>
    <format dxfId="356">
      <pivotArea dataOnly="0" labelOnly="1" outline="0" fieldPosition="0">
        <references count="1">
          <reference field="4294967294" count="2">
            <x v="0"/>
            <x v="1"/>
          </reference>
        </references>
      </pivotArea>
    </format>
    <format dxfId="355">
      <pivotArea type="all" dataOnly="0" outline="0" fieldPosition="0"/>
    </format>
    <format dxfId="354">
      <pivotArea outline="0" collapsedLevelsAreSubtotals="1" fieldPosition="0"/>
    </format>
    <format dxfId="353">
      <pivotArea field="5" type="button" dataOnly="0" labelOnly="1" outline="0" axis="axisRow" fieldPosition="0"/>
    </format>
    <format dxfId="352">
      <pivotArea dataOnly="0" labelOnly="1" fieldPosition="0">
        <references count="1">
          <reference field="5" count="0"/>
        </references>
      </pivotArea>
    </format>
    <format dxfId="351">
      <pivotArea dataOnly="0" labelOnly="1" grandRow="1" outline="0" fieldPosition="0"/>
    </format>
    <format dxfId="35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400">
      <pivotArea type="all" dataOnly="0" outline="0" fieldPosition="0"/>
    </format>
    <format dxfId="399">
      <pivotArea outline="0" collapsedLevelsAreSubtotals="1" fieldPosition="0"/>
    </format>
    <format dxfId="398">
      <pivotArea field="18" type="button" dataOnly="0" labelOnly="1" outline="0" axis="axisRow" fieldPosition="0"/>
    </format>
    <format dxfId="397">
      <pivotArea dataOnly="0" labelOnly="1" fieldPosition="0">
        <references count="1">
          <reference field="18" count="11">
            <x v="3"/>
            <x v="4"/>
            <x v="5"/>
            <x v="6"/>
            <x v="7"/>
            <x v="8"/>
            <x v="9"/>
            <x v="10"/>
            <x v="11"/>
            <x v="12"/>
            <x v="13"/>
          </reference>
        </references>
      </pivotArea>
    </format>
    <format dxfId="396">
      <pivotArea dataOnly="0" labelOnly="1" grandRow="1" outline="0" fieldPosition="0"/>
    </format>
    <format dxfId="395">
      <pivotArea dataOnly="0" labelOnly="1" outline="0" fieldPosition="0">
        <references count="1">
          <reference field="4294967294" count="2">
            <x v="0"/>
            <x v="1"/>
          </reference>
        </references>
      </pivotArea>
    </format>
    <format dxfId="394">
      <pivotArea type="all" dataOnly="0" outline="0" fieldPosition="0"/>
    </format>
    <format dxfId="393">
      <pivotArea outline="0" collapsedLevelsAreSubtotals="1" fieldPosition="0"/>
    </format>
    <format dxfId="392">
      <pivotArea field="18" type="button" dataOnly="0" labelOnly="1" outline="0" axis="axisRow" fieldPosition="0"/>
    </format>
    <format dxfId="391">
      <pivotArea dataOnly="0" labelOnly="1" fieldPosition="0">
        <references count="1">
          <reference field="18" count="11">
            <x v="3"/>
            <x v="4"/>
            <x v="5"/>
            <x v="6"/>
            <x v="7"/>
            <x v="8"/>
            <x v="9"/>
            <x v="10"/>
            <x v="11"/>
            <x v="12"/>
            <x v="13"/>
          </reference>
        </references>
      </pivotArea>
    </format>
    <format dxfId="390">
      <pivotArea dataOnly="0" labelOnly="1" grandRow="1" outline="0" fieldPosition="0"/>
    </format>
    <format dxfId="389">
      <pivotArea dataOnly="0" labelOnly="1" outline="0" fieldPosition="0">
        <references count="1">
          <reference field="4294967294" count="2">
            <x v="0"/>
            <x v="1"/>
          </reference>
        </references>
      </pivotArea>
    </format>
    <format dxfId="388">
      <pivotArea collapsedLevelsAreSubtotals="1" fieldPosition="0">
        <references count="1">
          <reference field="18" count="1">
            <x v="13"/>
          </reference>
        </references>
      </pivotArea>
    </format>
    <format dxfId="387">
      <pivotArea collapsedLevelsAreSubtotals="1" fieldPosition="0">
        <references count="1">
          <reference field="18" count="1">
            <x v="12"/>
          </reference>
        </references>
      </pivotArea>
    </format>
    <format dxfId="386">
      <pivotArea collapsedLevelsAreSubtotals="1" fieldPosition="0">
        <references count="1">
          <reference field="18" count="1">
            <x v="11"/>
          </reference>
        </references>
      </pivotArea>
    </format>
    <format dxfId="385">
      <pivotArea collapsedLevelsAreSubtotals="1" fieldPosition="0">
        <references count="1">
          <reference field="18" count="1">
            <x v="10"/>
          </reference>
        </references>
      </pivotArea>
    </format>
    <format dxfId="384">
      <pivotArea collapsedLevelsAreSubtotals="1" fieldPosition="0">
        <references count="1">
          <reference field="18" count="1">
            <x v="9"/>
          </reference>
        </references>
      </pivotArea>
    </format>
    <format dxfId="383">
      <pivotArea collapsedLevelsAreSubtotals="1" fieldPosition="0">
        <references count="1">
          <reference field="18" count="1">
            <x v="8"/>
          </reference>
        </references>
      </pivotArea>
    </format>
    <format dxfId="382">
      <pivotArea collapsedLevelsAreSubtotals="1" fieldPosition="0">
        <references count="1">
          <reference field="18" count="1">
            <x v="7"/>
          </reference>
        </references>
      </pivotArea>
    </format>
    <format dxfId="381">
      <pivotArea collapsedLevelsAreSubtotals="1" fieldPosition="0">
        <references count="1">
          <reference field="18" count="1">
            <x v="6"/>
          </reference>
        </references>
      </pivotArea>
    </format>
    <format dxfId="380">
      <pivotArea collapsedLevelsAreSubtotals="1" fieldPosition="0">
        <references count="1">
          <reference field="18" count="1">
            <x v="5"/>
          </reference>
        </references>
      </pivotArea>
    </format>
    <format dxfId="379">
      <pivotArea collapsedLevelsAreSubtotals="1" fieldPosition="0">
        <references count="1">
          <reference field="18" count="1">
            <x v="4"/>
          </reference>
        </references>
      </pivotArea>
    </format>
    <format dxfId="378">
      <pivotArea collapsedLevelsAreSubtotals="1" fieldPosition="0">
        <references count="1">
          <reference field="18" count="1">
            <x v="3"/>
          </reference>
        </references>
      </pivotArea>
    </format>
    <format dxfId="377">
      <pivotArea dataOnly="0" labelOnly="1" fieldPosition="0">
        <references count="1">
          <reference field="18" count="11">
            <x v="3"/>
            <x v="4"/>
            <x v="5"/>
            <x v="6"/>
            <x v="7"/>
            <x v="8"/>
            <x v="9"/>
            <x v="10"/>
            <x v="11"/>
            <x v="12"/>
            <x v="13"/>
          </reference>
        </references>
      </pivotArea>
    </format>
    <format dxfId="376">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58">
      <pivotArea outline="0" collapsedLevelsAreSubtotals="1" fieldPosition="0"/>
    </format>
    <format dxfId="257">
      <pivotArea dataOnly="0" labelOnly="1" fieldPosition="0">
        <references count="1">
          <reference field="1" count="0"/>
        </references>
      </pivotArea>
    </format>
    <format dxfId="25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02" totalsRowCount="1" headerRowDxfId="607" dataDxfId="605" headerRowBorderDxfId="606" tableBorderDxfId="604" totalsRowBorderDxfId="603">
  <autoFilter ref="A1:V201" xr:uid="{7E831CCF-E802-4A71-B6A7-513A8B426708}">
    <filterColumn colId="0">
      <dynamicFilter type="thisMonth" val="46174" maxVal="46204"/>
    </filterColumn>
  </autoFilter>
  <tableColumns count="22">
    <tableColumn id="1" xr3:uid="{76684A6E-C7B0-4199-8302-DE0D42A8A105}" name="Data" totalsRowLabel="Total" dataDxfId="602" totalsRowDxfId="21"/>
    <tableColumn id="2" xr3:uid="{F15B895A-5A3B-4C2D-B383-6D0C48AA278E}" name="Ticket" dataDxfId="601" totalsRowDxfId="20"/>
    <tableColumn id="3" xr3:uid="{6EFEAB9B-E063-4E4A-A6D2-F8CA892B2013}" name="Vendedor" dataDxfId="600" totalsRowDxfId="19"/>
    <tableColumn id="4" xr3:uid="{EF07BB64-6F57-4639-A122-622E6666E3DE}" name="Cliente" dataDxfId="599" totalsRowDxfId="18"/>
    <tableColumn id="5" xr3:uid="{625FDEEF-1D7F-47FF-83F2-1A660D74F81C}" name="Produto" dataDxfId="598" totalsRowDxfId="17"/>
    <tableColumn id="6" xr3:uid="{86198995-B475-46CD-8D95-629C89133146}" name="TipoReceita" dataDxfId="597" totalsRowDxfId="16"/>
    <tableColumn id="7" xr3:uid="{511AE429-E4B5-42F3-A35D-C9BC180DD29B}" name="Qtde" totalsRowFunction="sum" dataDxfId="596" totalsRowDxfId="15"/>
    <tableColumn id="8" xr3:uid="{DF379BCA-61D2-49FA-8CEF-5FB7467DE718}" name="VlrUnitário" dataDxfId="595" totalsRowDxfId="14"/>
    <tableColumn id="9" xr3:uid="{1945195E-4F82-478B-8B2D-7F0600A8CEC8}" name="VlrTotal" totalsRowFunction="sum" dataDxfId="594" totalsRowDxfId="13"/>
    <tableColumn id="21" xr3:uid="{0FCE8FB0-ED64-4402-9279-D3450C229927}" name="Vlr Meta" totalsRowFunction="sum" dataDxfId="593" totalsRowDxfId="12"/>
    <tableColumn id="10" xr3:uid="{1F8E86E1-C3B8-4BA1-8EF2-34FD28A99CD1}" name="%Comissão" dataDxfId="592" totalsRowDxfId="11" dataCellStyle="Porcentagem"/>
    <tableColumn id="11" xr3:uid="{7AF1D776-3583-4AA8-ABA9-5A652B9C2CC7}" name="%ComissãoSupervisor" dataDxfId="591" totalsRowDxfId="10" dataCellStyle="Porcentagem"/>
    <tableColumn id="12" xr3:uid="{776F0B3E-2DA8-4332-870D-42A9616574CD}" name="Base" dataDxfId="590" totalsRowDxfId="9"/>
    <tableColumn id="13" xr3:uid="{2ACE40DE-7D56-44B3-884F-A79E6BB72021}" name="ComissãoVendedor " totalsRowFunction="sum" dataDxfId="589" totalsRowDxfId="8"/>
    <tableColumn id="14" xr3:uid="{BA93F379-EB16-44E4-B240-F73C47EC360B}" name="ComissãoSupervisor" totalsRowFunction="sum" dataDxfId="588" totalsRowDxfId="7"/>
    <tableColumn id="15" xr3:uid="{1955815E-E6AE-4BF7-9F21-8DED62E8CFB6}" name="Clicksign" dataDxfId="587" totalsRowDxfId="6"/>
    <tableColumn id="16" xr3:uid="{8899F7C2-6C46-4913-9178-C3BFBB1A431F}" name="Contrato_Termo Aditivo" dataDxfId="586" totalsRowDxfId="5"/>
    <tableColumn id="17" xr3:uid="{C9C40A0A-C8C0-48A4-B2A9-E4A1A88755B6}" name="Obs" dataDxfId="585" totalsRowDxfId="4"/>
    <tableColumn id="18" xr3:uid="{492A95C3-2CCC-4EE6-9E8A-A11F6F0B43DA}" name="Parcelas" dataDxfId="584" totalsRowDxfId="3"/>
    <tableColumn id="22" xr3:uid="{EC452F76-CA8F-41A5-A01B-D142E0025C39}" name="Data Contrato" dataDxfId="583" totalsRowDxfId="2"/>
    <tableColumn id="19" xr3:uid="{167F829A-0296-408D-BAAA-468B00E956F1}" name="Contrato" dataDxfId="582" totalsRowDxfId="1"/>
    <tableColumn id="20" xr3:uid="{3FECAE39-38AF-4BA8-8C16-B26E27D74267}" name="SDR_RESPONSÁVEL" totalsRowFunction="count" dataDxfId="581" totalsRow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580">
  <autoFilter ref="M1:AC57" xr:uid="{86D9BEC3-8CE7-4C1E-BA0F-25EC8B5FACDF}">
    <filterColumn colId="1">
      <filters>
        <dateGroupItem year="2026" dateTimeGrouping="year"/>
      </filters>
    </filterColumn>
  </autoFilter>
  <tableColumns count="17">
    <tableColumn id="1" xr3:uid="{65FF39B3-6AA4-47E3-A2E0-34AF59670B48}" name="Ano" dataDxfId="579"/>
    <tableColumn id="15" xr3:uid="{4F28688F-AE94-4AA3-B655-5355F9DA4CEC}" name="Mês" dataDxfId="578"/>
    <tableColumn id="2" xr3:uid="{9F352413-EAA1-41A7-B4D3-9D32DC5A8B88}" name="Vendedor"/>
    <tableColumn id="16" xr3:uid="{3D4D81D6-372A-48C5-9408-A36AD27C1B31}" name="Lead" dataDxfId="577"/>
    <tableColumn id="3" xr3:uid="{5D6A238A-B8BE-4B10-9CED-92C1F0D4F835}" name="Propsota" dataDxfId="576"/>
    <tableColumn id="4" xr3:uid="{2EF085B6-3E3A-46B0-8B55-AD9641ECEB8F}" name="Apresentação" dataDxfId="575"/>
    <tableColumn id="5" xr3:uid="{81EB3760-F668-479F-8FF5-C2210941AFE3}" name="Meta Individual" dataDxfId="574"/>
    <tableColumn id="6" xr3:uid="{897CAD94-46DD-414E-B5CF-D27344FB7C5F}" name="Meta Equipe" dataDxfId="573"/>
    <tableColumn id="7" xr3:uid="{DBA8DEF0-9D1D-42B7-8979-411FC3118DB7}" name="Meta Projetos" dataDxfId="572"/>
    <tableColumn id="17" xr3:uid="{2A353D1A-2C11-433A-B27A-F3ACE6F07AD9}" name="OBLead" dataDxfId="571"/>
    <tableColumn id="8" xr3:uid="{CF39EE58-1D3F-47E2-9DEA-C387BBAA7E67}" name="OB Proposta "/>
    <tableColumn id="9" xr3:uid="{0E45D32A-35C3-4D50-AE03-0075AD8C6EEA}" name="OB Apresentação"/>
    <tableColumn id="10" xr3:uid="{7B549B0C-BAC0-483C-B6BC-A82C834A1EEE}" name="OB Individual" dataDxfId="570"/>
    <tableColumn id="11" xr3:uid="{50C746E6-3A52-4E59-9FDB-C49049B8DB33}" name="OBEquipe" dataDxfId="569"/>
    <tableColumn id="12" xr3:uid="{DAD9E805-63F1-4227-AD05-A88F02501A42}" name="OB Projetos" dataDxfId="568"/>
    <tableColumn id="13" xr3:uid="{363BCA7E-0EE6-4F3F-AD3D-9BD2DD9564A6}" name="OBI" dataDxfId="567" dataCellStyle="Porcentagem">
      <calculatedColumnFormula>metas[[#This Row],[Meta Individual]]/metas[[#This Row],[OB Individual]]</calculatedColumnFormula>
    </tableColumn>
    <tableColumn id="14" xr3:uid="{B9AA1BFD-524A-4E21-8FFD-935006A08F7F}" name="OBE" dataDxfId="566"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4"/>
    <tableColumn id="3" xr3:uid="{306573B0-663F-4FD5-A3DB-9F62497B49A9}" name="Produto"/>
    <tableColumn id="4" xr3:uid="{77DF7960-C077-4684-96D0-A87B770E7A42}" name="Responsável" dataDxfId="513"/>
    <tableColumn id="5" xr3:uid="{08577646-70E8-4AAD-838B-B3AD45B15BFA}" name="Vlr Projeto" dataDxfId="512"/>
    <tableColumn id="6" xr3:uid="{ECBE08A0-270B-44AD-AD1B-6FE645E9669D}" name="Mensalidade" dataDxfId="511"/>
    <tableColumn id="7" xr3:uid="{8DA10C52-D1C8-42CF-AEC3-B20978502172}" name="Horas" dataDxfId="510"/>
    <tableColumn id="8" xr3:uid="{DF4F6CC0-7A04-4D77-93AA-AF8D4237E27A}" name="Pipeline"/>
    <tableColumn id="9" xr3:uid="{2D7FB6EE-86E4-4C40-8A68-E47C1B133D6C}" name="Temperatura" dataDxfId="50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08" dataDxfId="507">
  <autoFilter ref="A1:U61" xr:uid="{82EEB8D0-CE5D-4E33-AA8F-68FA3FB9BE2A}"/>
  <tableColumns count="21">
    <tableColumn id="1" xr3:uid="{FDF714A1-D874-417D-A9CC-E0F5CD8364C0}" name="Data" totalsRowLabel="Total" dataDxfId="506" totalsRowDxfId="505"/>
    <tableColumn id="2" xr3:uid="{C9123B6B-DC9A-42B9-AB49-621ED871EEC6}" name="Ticket" dataDxfId="504" totalsRowDxfId="503"/>
    <tableColumn id="3" xr3:uid="{5EE4A1B1-B4FC-4010-A057-AFBCDF3C80A9}" name="Vendedor" dataDxfId="502" totalsRowDxfId="501"/>
    <tableColumn id="4" xr3:uid="{CD645F1C-700E-447C-8AFB-7FD118CE1220}" name="Cliente" dataDxfId="500" totalsRowDxfId="499"/>
    <tableColumn id="5" xr3:uid="{E6E29ECF-BE70-494F-8A66-4068F851AEC7}" name="Produto" dataDxfId="498" totalsRowDxfId="497"/>
    <tableColumn id="6" xr3:uid="{2F930CC3-19EA-4CB4-AF15-DD8CD9606F51}" name="TipoReceita" dataDxfId="496" totalsRowDxfId="495"/>
    <tableColumn id="7" xr3:uid="{CEB413ED-2BFB-4732-87B1-70ECDBE68737}" name="Qtde" dataDxfId="494" totalsRowDxfId="493"/>
    <tableColumn id="8" xr3:uid="{0FC4679B-8C0E-4915-BEAF-694BD9655225}" name="VlrUnitário" dataDxfId="492" totalsRowDxfId="491"/>
    <tableColumn id="9" xr3:uid="{EF19D10E-A4ED-48E8-B0BF-201B6109D558}" name="VlrTotal" totalsRowFunction="sum" dataDxfId="490" totalsRowDxfId="489"/>
    <tableColumn id="10" xr3:uid="{5D1AD167-E6F3-4299-B733-45131C7E5230}" name="Vlr Meta" totalsRowFunction="sum" dataDxfId="488" totalsRowDxfId="487"/>
    <tableColumn id="11" xr3:uid="{A20882DB-0D54-4D31-9C96-64E969432C02}" name="%Comissão" dataDxfId="486" totalsRowDxfId="485" dataCellStyle="Porcentagem"/>
    <tableColumn id="12" xr3:uid="{53FADB7C-1AFC-424B-8FC9-80755A67C5BB}" name="%ComissãoSupervisor" dataDxfId="484" totalsRowDxfId="483" dataCellStyle="Porcentagem"/>
    <tableColumn id="13" xr3:uid="{5CF9A7CA-E3CE-4259-87AC-ED9493455B65}" name="Base" dataDxfId="482" totalsRowDxfId="481"/>
    <tableColumn id="14" xr3:uid="{A5274DAD-9DB2-4B17-9537-C9AADA14F4EA}" name="ComissãoVendedor " totalsRowFunction="sum" dataDxfId="480" totalsRowDxfId="479"/>
    <tableColumn id="15" xr3:uid="{B72E7035-569C-44CF-9EC3-82C0F46FD072}" name="ComissãoSupervisor" totalsRowFunction="sum" dataDxfId="478" totalsRowDxfId="477"/>
    <tableColumn id="16" xr3:uid="{B62C88FC-04AD-4E74-828E-41FB780EF4E9}" name="Clicksign" dataDxfId="476" totalsRowDxfId="475"/>
    <tableColumn id="17" xr3:uid="{43B9E5D9-373B-42B4-8C07-5118CE8E0679}" name="Contrato_Termo Aditivo" dataDxfId="474" totalsRowDxfId="473"/>
    <tableColumn id="18" xr3:uid="{674995D7-A090-40AA-87D2-F212C3CB0550}" name="Obs" dataDxfId="472" totalsRowDxfId="471"/>
    <tableColumn id="19" xr3:uid="{1B38FD7B-AEA1-4772-9790-456B0A6B3CAE}" name="Parcelas" dataDxfId="470" totalsRowDxfId="469"/>
    <tableColumn id="20" xr3:uid="{E47F7669-974D-406F-977B-68C71598F46F}" name="Contrato" dataDxfId="468" totalsRowDxfId="467"/>
    <tableColumn id="21" xr3:uid="{FC398DAA-0384-4ED0-85A6-8DB0EC189ADA}" name="SDR_RESPONSÁVEL" totalsRowFunction="count" dataDxfId="466" totalsRowDxfId="46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4" dataDxfId="462" totalsRowDxfId="460" headerRowBorderDxfId="463" tableBorderDxfId="461" totalsRowBorderDxfId="459">
  <autoFilter ref="A1:T39" xr:uid="{FA16E0BC-1B01-4779-A523-F5AA6B5E51F4}"/>
  <tableColumns count="20">
    <tableColumn id="1" xr3:uid="{4C21184A-44CC-4EE0-8661-F18F99CCF773}" name="Data" totalsRowLabel="Total" dataDxfId="458" totalsRowDxfId="457"/>
    <tableColumn id="2" xr3:uid="{AE9B43E8-4AB3-4ECB-B1F7-05CFBD6F78DA}" name="Ticket" dataDxfId="456" totalsRowDxfId="455"/>
    <tableColumn id="3" xr3:uid="{DED0B5A8-E2EB-461D-940E-56B6906B1974}" name="Vendedor" dataDxfId="454" totalsRowDxfId="453"/>
    <tableColumn id="4" xr3:uid="{F3C569F1-990C-4A11-A1D3-8ECFB0FD57B6}" name="Cliente" dataDxfId="452" totalsRowDxfId="451"/>
    <tableColumn id="5" xr3:uid="{61CCE236-22AA-49B6-A6DC-B78FFD8F7C4C}" name="Produto" dataDxfId="450" totalsRowDxfId="449"/>
    <tableColumn id="6" xr3:uid="{4F0ECD4A-6CD6-4B9D-9A55-3CA2652D0EF9}" name="TipoReceita" dataDxfId="448" totalsRowDxfId="447"/>
    <tableColumn id="7" xr3:uid="{5A38B627-1D9C-4E8D-834F-AFB8B46F319F}" name="Qtde" dataDxfId="446" totalsRowDxfId="445"/>
    <tableColumn id="8" xr3:uid="{9A7106D1-2566-4F8E-B087-BE94BF2F6481}" name="VlrUnitário" dataDxfId="444" totalsRowDxfId="443"/>
    <tableColumn id="9" xr3:uid="{141D27AC-20C6-43D9-9F0F-372CAB0D4BEA}" name="VlrTotal" totalsRowFunction="sum" dataDxfId="442" totalsRowDxfId="441"/>
    <tableColumn id="10" xr3:uid="{9FF41B08-0A53-4FE5-AC69-7C1C72342134}" name="%Comissão" dataDxfId="440" totalsRowDxfId="439" dataCellStyle="Porcentagem"/>
    <tableColumn id="11" xr3:uid="{CCBA7B46-6AF4-4E49-88BB-EAA1E9BCBFD1}" name="%ComissãoSupervisor" dataDxfId="438" totalsRowDxfId="437" dataCellStyle="Porcentagem"/>
    <tableColumn id="12" xr3:uid="{E4F1B715-9DEA-4EAF-97AF-E348093D9C5B}" name="Base" dataDxfId="436" totalsRowDxfId="435"/>
    <tableColumn id="13" xr3:uid="{5FF8D42C-CF34-4949-A4E0-D1379216A978}" name="ComissãoVendedor " totalsRowFunction="sum" dataDxfId="434" totalsRowDxfId="433"/>
    <tableColumn id="14" xr3:uid="{8AD2B6AD-FB83-493E-95FD-73A4DF6D3A7F}" name="ComissãoSupervisor" totalsRowFunction="sum" dataDxfId="432" totalsRowDxfId="431"/>
    <tableColumn id="15" xr3:uid="{E36C2879-DCB7-47E4-926C-4D1CFEF1DDB9}" name="Clicksign" dataDxfId="430" totalsRowDxfId="429"/>
    <tableColumn id="16" xr3:uid="{4CBF53D7-5E48-4A66-A9D6-945E0F991E27}" name="Contrato_Termo Aditivo" dataDxfId="428" totalsRowDxfId="427"/>
    <tableColumn id="17" xr3:uid="{B859C796-E301-4D3B-AF03-966FCC5341C4}" name="Obs" dataDxfId="426" totalsRowDxfId="425"/>
    <tableColumn id="18" xr3:uid="{8C299E41-B52B-4CD0-B302-76DE9544C246}" name="Parcelas" dataDxfId="424" totalsRowDxfId="423"/>
    <tableColumn id="19" xr3:uid="{F7F7FB0F-7370-462E-BE66-7CA061F4B3B6}" name="Contrato" dataDxfId="422" totalsRowDxfId="421"/>
    <tableColumn id="20" xr3:uid="{025BEC9C-214E-48B4-8731-AE066749F9C4}" name="SDR_RESPONSÁVEL" totalsRowFunction="count" dataDxfId="420" totalsRowDxfId="4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4" dataDxfId="302" totalsRowDxfId="300" headerRowBorderDxfId="303" tableBorderDxfId="301" totalsRowBorderDxfId="299">
  <autoFilter ref="A1:T472" xr:uid="{7B01CAB7-A111-4A1F-874C-05E6EF76761E}"/>
  <tableColumns count="20">
    <tableColumn id="1" xr3:uid="{D98A93E1-518A-437B-B560-00DA34E821B9}" name="Data" dataDxfId="298" totalsRowDxfId="297"/>
    <tableColumn id="2" xr3:uid="{E88C721A-9459-47D3-A404-36378FCFCDBC}" name="Ticket" dataDxfId="296" totalsRowDxfId="295"/>
    <tableColumn id="20" xr3:uid="{36C32BDC-9C00-4E36-ABE0-7C4FB1417122}" name="Vendedor" dataDxfId="294" totalsRowDxfId="293"/>
    <tableColumn id="21" xr3:uid="{15E6999E-F87A-4E92-8F1A-DD29C2D03C79}" name="Cliente" dataDxfId="292" totalsRowDxfId="291"/>
    <tableColumn id="4" xr3:uid="{841A1A22-266C-4ADD-A8E1-D5B95AC720B2}" name="Produto" dataDxfId="290" totalsRowDxfId="289"/>
    <tableColumn id="22" xr3:uid="{9E7A4823-6FF5-43AC-8F94-86E07BC3535C}" name="TipoReceita" dataDxfId="288" totalsRowDxfId="287"/>
    <tableColumn id="5" xr3:uid="{FCC66FFD-B33C-49DF-8B3D-36A59C2672DE}" name="Qtde" totalsRowFunction="sum" dataDxfId="286" totalsRowDxfId="285"/>
    <tableColumn id="6" xr3:uid="{7C7708B0-856F-4F76-BB9A-C08A8D54998A}" name="VlrUnitário" dataDxfId="284" totalsRowDxfId="283"/>
    <tableColumn id="7" xr3:uid="{DAAF017B-4132-45EC-AD6F-694FBC225003}" name="VlrTotal" totalsRowFunction="sum" dataDxfId="282" totalsRowDxfId="281"/>
    <tableColumn id="8" xr3:uid="{BE877EFB-9A45-42CB-A398-6810470BF145}" name="%Comissão" dataDxfId="280" totalsRowDxfId="279"/>
    <tableColumn id="24" xr3:uid="{2891F2B7-9296-47A8-A6D2-6F937C88CF9C}" name="%ComissãoSupervisor" dataDxfId="278" totalsRowDxfId="277" dataCellStyle="Porcentagem"/>
    <tableColumn id="23" xr3:uid="{D9138345-7A13-4DF3-A0A3-03ABBA4517C3}" name="Base" dataDxfId="276" totalsRowDxfId="275"/>
    <tableColumn id="12" xr3:uid="{2DCA9EA6-5A40-4243-B9A8-52C9B5628C8D}" name="ComissãoVendedor " totalsRowFunction="sum" dataDxfId="274" totalsRowDxfId="273"/>
    <tableColumn id="19" xr3:uid="{B57463C3-FF1A-4F7C-8BE9-8033C5DDAABF}" name="ComissãoSupervisor" totalsRowFunction="sum" dataDxfId="272" totalsRowDxfId="271">
      <calculatedColumnFormula>I2*K2</calculatedColumnFormula>
    </tableColumn>
    <tableColumn id="13" xr3:uid="{0B98ECE0-DA19-407A-BCF0-C9536DA8924D}" name="Clicksign" dataDxfId="270" totalsRowDxfId="269"/>
    <tableColumn id="15" xr3:uid="{A24336E0-1F31-4129-A7A3-E801FA9E3771}" name="Contrato_Termo Aditivo" dataDxfId="268" totalsRowDxfId="267"/>
    <tableColumn id="18" xr3:uid="{BED66D4B-16BD-4626-B834-B792A67FF693}" name="Obs" dataDxfId="266" totalsRowDxfId="265"/>
    <tableColumn id="3" xr3:uid="{09087987-4727-462C-A676-B2798483B70E}" name="Parcelas" dataDxfId="264" totalsRowDxfId="263"/>
    <tableColumn id="9" xr3:uid="{FC0705B0-6485-4403-BED7-415CB4369586}" name="Contrato" dataDxfId="262" totalsRowDxfId="261"/>
    <tableColumn id="10" xr3:uid="{468DE6E7-89A6-4755-BD52-A5A6134AD835}" name="SDR_RESPONSÁVEL" totalsRowFunction="count" dataDxfId="260" totalsRowDxfId="25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4" dataDxfId="253">
  <autoFilter ref="A867:F1039" xr:uid="{7A9B4EAF-0C6C-4CB4-8FF9-ACC9F3932E87}">
    <filterColumn colId="0">
      <filters>
        <dateGroupItem year="2026" dateTimeGrouping="year"/>
      </filters>
    </filterColumn>
  </autoFilter>
  <tableColumns count="6">
    <tableColumn id="1" xr3:uid="{FB20A868-C54A-4318-90D3-550D7885B37C}" name="Mês" dataDxfId="252"/>
    <tableColumn id="2" xr3:uid="{B68CA983-D16E-44EB-BB27-CFCB434B4917}" name="Vendedor" dataDxfId="251"/>
    <tableColumn id="3" xr3:uid="{AA0D617C-AB69-4353-A05D-4CE569F76D3C}" name="Comissão" dataDxfId="250"/>
    <tableColumn id="4" xr3:uid="{BE9D0C40-3D48-4F36-8C56-B9F4BF5CBE92}" name="Pago em" dataDxfId="249"/>
    <tableColumn id="5" xr3:uid="{75570D4F-F2F5-45CF-8D02-81B06EE9ABB9}" name="Count" dataDxfId="248"/>
    <tableColumn id="6" xr3:uid="{156C348A-8365-4ECD-8330-6BCE96EB2A6C}" name="Ano" dataDxfId="24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5"/>
    <tableColumn id="6" xr3:uid="{CBE87A94-DE6E-4285-BD4F-53A7D915C0E9}" uniqueName="6" name="Razão social" queryTableFieldId="6" dataDxfId="244"/>
    <tableColumn id="7" xr3:uid="{09887FDB-35E3-4620-BDCF-C53CB8BD1907}" uniqueName="7" name="Título do negócio" queryTableFieldId="7" dataDxfId="243"/>
    <tableColumn id="8" xr3:uid="{489F02EC-E957-4B33-B3D0-8CAA7B10EB8E}" uniqueName="8" name="CNPJ" queryTableFieldId="8"/>
    <tableColumn id="9" xr3:uid="{B7EA3BFD-AC42-48FB-9B6F-075FF1258307}" uniqueName="9" name="Nome do Cliente" queryTableFieldId="9" dataDxfId="242"/>
    <tableColumn id="10" xr3:uid="{C5F8166A-0642-4311-B0EE-AF768F9A6B42}" uniqueName="10" name="Nome do Contato" queryTableFieldId="10" dataDxfId="241"/>
    <tableColumn id="11" xr3:uid="{E373BC8E-FF44-46C1-8BBC-4A2A4F60C7FE}" uniqueName="11" name="Telefone do Contato" queryTableFieldId="11" dataDxfId="240"/>
    <tableColumn id="12" xr3:uid="{E47FA22B-98C0-4A66-AD84-FC7BB89C6A58}" uniqueName="12" name="Celular do Contato" queryTableFieldId="12" dataDxfId="239"/>
    <tableColumn id="13" xr3:uid="{D236F7C3-2841-47E5-A1D3-4AC2C4E7C211}" uniqueName="13" name="E-mail do contato" queryTableFieldId="13" dataDxfId="238"/>
    <tableColumn id="14" xr3:uid="{2A49ABC7-3326-4E83-9B52-C9A10176A3BC}" uniqueName="14" name="Grupo do cliente" queryTableFieldId="14" dataDxfId="237"/>
    <tableColumn id="15" xr3:uid="{768421AB-6F00-4E3D-802E-DD5A7B01989B}" uniqueName="15" name="Contatos" queryTableFieldId="15" dataDxfId="236"/>
    <tableColumn id="16" xr3:uid="{B7479E1D-0651-4D86-9855-A6544C4DFE8A}" uniqueName="16" name="Endereço" queryTableFieldId="16" dataDxfId="235"/>
    <tableColumn id="17" xr3:uid="{CBDC0715-CDB4-4A3D-BA4E-6DE3FA68F809}" uniqueName="17" name="Cidade" queryTableFieldId="17" dataDxfId="234"/>
    <tableColumn id="18" xr3:uid="{3453DAD6-C85C-450E-99FF-91469E17F829}" uniqueName="18" name="Estado" queryTableFieldId="18" dataDxfId="233"/>
    <tableColumn id="19" xr3:uid="{BFFA8133-959F-4C00-B3DC-64EF7A462C70}" uniqueName="19" name="Origem" queryTableFieldId="19" dataDxfId="232"/>
    <tableColumn id="20" xr3:uid="{54F3BCFD-7922-4E12-912E-2E42ED625E8E}" uniqueName="20" name="Origem do cliente" queryTableFieldId="20" dataDxfId="231"/>
    <tableColumn id="21" xr3:uid="{4841ADBD-907C-4F49-AD32-A5758306F00D}" uniqueName="21" name="Categoria do cliente" queryTableFieldId="21" dataDxfId="230"/>
    <tableColumn id="22" xr3:uid="{27B6B7FD-08E2-4FAB-AE93-BD95AEF27A4A}" uniqueName="22" name="TAGS" queryTableFieldId="22" dataDxfId="229"/>
    <tableColumn id="23" xr3:uid="{8DA2DA71-3E50-4A46-AAC4-3CF7DA233C62}" uniqueName="23" name="Funil de vendas" queryTableFieldId="23" dataDxfId="228"/>
    <tableColumn id="24" xr3:uid="{9E02B082-1677-4B86-AFDF-90B0986B08D1}" uniqueName="24" name="Etapa do funil de vendas" queryTableFieldId="24" dataDxfId="227"/>
    <tableColumn id="25" xr3:uid="{ABFCFA4B-A592-44AC-91C4-B7B80F8EE1C4}" uniqueName="25" name="Forma de Pagamento" queryTableFieldId="25" dataDxfId="226"/>
    <tableColumn id="26" xr3:uid="{CA852046-D628-426B-B418-FF1D2317F78C}" uniqueName="26" name="Data esperada de fechamento" queryTableFieldId="26" dataDxfId="225"/>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4"/>
    <tableColumn id="31" xr3:uid="{20F99E58-AB46-4597-BDCE-41F115FBF9DD}" uniqueName="31" name="Data de Criação" queryTableFieldId="31" dataDxfId="223"/>
    <tableColumn id="32" xr3:uid="{267E0369-4AB6-4B0E-900E-A52A0C68F27A}" uniqueName="32" name="Hora de Criação" queryTableFieldId="32" dataDxfId="222"/>
    <tableColumn id="33" xr3:uid="{3ED1E8E8-2C02-44B1-85F7-68DABBDC0FFC}" uniqueName="33" name="Código externo" queryTableFieldId="33" dataDxfId="221"/>
    <tableColumn id="34" xr3:uid="{8EBC58A9-606E-4A64-A808-D87DADCEE496}" uniqueName="34" name="Status" queryTableFieldId="34" dataDxfId="220"/>
    <tableColumn id="35" xr3:uid="{D67BD68F-6116-4A3E-A324-4835EF324C2B}" uniqueName="35" name="Data de Perda/Ganho" queryTableFieldId="35" dataDxfId="219"/>
    <tableColumn id="36" xr3:uid="{F5E4F8E7-678E-4A08-83C0-5DF0CDDF83FE}" uniqueName="36" name="Hora de Perda/Ganho" queryTableFieldId="36" dataDxfId="218"/>
    <tableColumn id="37" xr3:uid="{A3E25483-5EDE-482D-B422-7495AC3681F0}" uniqueName="37" name="Motivo de perda" queryTableFieldId="37" dataDxfId="217"/>
    <tableColumn id="38" xr3:uid="{9BDBDEF4-F472-4BC2-A19B-3A5BBF571263}" uniqueName="38" name="Razão de Perda" queryTableFieldId="38" dataDxfId="216"/>
    <tableColumn id="39" xr3:uid="{6CEDE161-6498-4F3F-A241-464682713E29}" uniqueName="39" name="Data Venda  Agenda" queryTableFieldId="39" dataDxfId="215"/>
    <tableColumn id="40" xr3:uid="{AAF6D804-27BE-40AA-A48E-CAD6DA14262A}" uniqueName="40" name="Data Proposta" queryTableFieldId="40" dataDxfId="214"/>
    <tableColumn id="41" xr3:uid="{A384EDEA-CA81-4E3B-8F58-1BF98F57506F}" uniqueName="41" name="SDRResponsável" queryTableFieldId="41" dataDxfId="213"/>
    <tableColumn id="42" xr3:uid="{E49259CF-0FF4-40D2-AB01-99C229B760DF}" uniqueName="42" name="DataApresentação1" queryTableFieldId="42" dataDxfId="212"/>
    <tableColumn id="43" xr3:uid="{75285A4D-0112-4034-A2AF-AA4705378E59}" uniqueName="43" name="DataApresentação2" queryTableFieldId="43" dataDxfId="211"/>
    <tableColumn id="44" xr3:uid="{0A3858B8-B3AD-46AC-9C95-BF25A96B3BE7}" uniqueName="44" name="Data UltContato" queryTableFieldId="44" dataDxfId="210"/>
    <tableColumn id="45" xr3:uid="{4E3896E7-0E34-4F67-8449-9C4FFD89CD0E}" uniqueName="45" name="Temperatura" queryTableFieldId="45" dataDxfId="209"/>
    <tableColumn id="46" xr3:uid="{493C3EC1-A15A-4BBD-8BF7-4C41387CB9F2}" uniqueName="46" name="Horas" queryTableFieldId="46" dataDxfId="208"/>
    <tableColumn id="47" xr3:uid="{E35BF434-0FA1-4027-B123-AE0769A46904}" uniqueName="47" name="Produtos" queryTableFieldId="47" dataDxfId="207"/>
    <tableColumn id="48" xr3:uid="{468BC8B6-B38C-4DB0-96FD-DFE55FC8ED6C}" uniqueName="48" name="Vlr Projeto" queryTableFieldId="48" dataDxfId="206"/>
    <tableColumn id="49" xr3:uid="{6ED41C70-B488-4E3D-B323-FD31332C7575}" uniqueName="49" name="Vlr Mensalidade" queryTableFieldId="49" dataDxfId="205"/>
    <tableColumn id="50" xr3:uid="{9FD843D3-6241-4E66-BABB-701962EA0660}" uniqueName="50" name="QTDE" queryTableFieldId="50" dataDxfId="20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03"/>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02"/>
    <tableColumn id="6" xr3:uid="{874CB533-C906-4B19-8FB2-A9B7AB544979}" uniqueName="6" name="Razão social" queryTableFieldId="6" dataDxfId="201"/>
    <tableColumn id="7" xr3:uid="{B838C63B-0DB5-4DF9-A734-4819D4D91B16}" uniqueName="7" name="Título do negócio" queryTableFieldId="7" dataDxfId="200"/>
    <tableColumn id="8" xr3:uid="{909DC2EB-CEA0-4FE5-A88C-843DDE979854}" uniqueName="8" name="CNPJ" queryTableFieldId="8"/>
    <tableColumn id="9" xr3:uid="{CD11231E-71E5-4A58-8D4C-3C2ACAEE7AED}" uniqueName="9" name="Nome do Cliente" queryTableFieldId="9" dataDxfId="199"/>
    <tableColumn id="10" xr3:uid="{05265F90-2572-4E99-B1AF-D25A0829C63F}" uniqueName="10" name="Nome do Contato" queryTableFieldId="10" dataDxfId="198"/>
    <tableColumn id="11" xr3:uid="{5E7C55EB-0E8B-44B8-8CC5-1F571C57D324}" uniqueName="11" name="Telefone do Contato" queryTableFieldId="11" dataDxfId="197"/>
    <tableColumn id="12" xr3:uid="{8FFDE287-C36B-4B9A-8940-1760A8AF96D8}" uniqueName="12" name="Celular do Contato" queryTableFieldId="12"/>
    <tableColumn id="13" xr3:uid="{D866E01C-BE8C-48F6-ABEA-E79D580A6E11}" uniqueName="13" name="E-mail" queryTableFieldId="13" dataDxfId="196"/>
    <tableColumn id="14" xr3:uid="{8F4C7A63-EE14-4662-AB65-437CD720852A}" uniqueName="14" name="Contatos" queryTableFieldId="14" dataDxfId="195"/>
    <tableColumn id="15" xr3:uid="{DE3BCCAF-C1AF-491E-9D91-7562F3C53A83}" uniqueName="15" name="Endereço" queryTableFieldId="15" dataDxfId="194"/>
    <tableColumn id="16" xr3:uid="{DB7D31B4-9D6E-4D5F-BD35-D85E6E21C294}" uniqueName="16" name="Cidade" queryTableFieldId="16" dataDxfId="193"/>
    <tableColumn id="17" xr3:uid="{CC0FEDE9-C5BD-4BC7-A298-5F39A828289E}" uniqueName="17" name="Estado" queryTableFieldId="17" dataDxfId="192"/>
    <tableColumn id="18" xr3:uid="{4221F071-BFA0-44ED-9E0A-CC8A59E8FE58}" uniqueName="18" name="Origem" queryTableFieldId="18" dataDxfId="191"/>
    <tableColumn id="19" xr3:uid="{A4355A7A-4A60-4417-A76F-04AE3E80524E}" uniqueName="19" name="TAGS" queryTableFieldId="19" dataDxfId="190"/>
    <tableColumn id="20" xr3:uid="{127A6323-B959-4F7C-AC57-78D9CE68331B}" uniqueName="20" name="Funil de vendas" queryTableFieldId="20" dataDxfId="189"/>
    <tableColumn id="21" xr3:uid="{8EFB872E-0A60-4880-8458-F8E6C1A801CB}" uniqueName="21" name="Etapa do funil de vendas" queryTableFieldId="21" dataDxfId="188"/>
    <tableColumn id="22" xr3:uid="{4057C1FD-9EC2-4303-9016-1715F8F4F3A7}" uniqueName="22" name="Forma de Pagamento" queryTableFieldId="22" dataDxfId="187"/>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86"/>
    <tableColumn id="26" xr3:uid="{3B0E6E40-BC9B-4200-89AC-3F372096B2A8}" uniqueName="26" name="Tempo como pós venda" queryTableFieldId="26"/>
    <tableColumn id="27" xr3:uid="{985AD707-61EE-4A26-8FB2-EA6CEDB1E8BA}" uniqueName="27" name="Data de Criação" queryTableFieldId="27" dataDxfId="185"/>
    <tableColumn id="28" xr3:uid="{D1FE223F-D0AF-449B-B944-9C30DDA1C9C5}" uniqueName="28" name="Hora de Criação" queryTableFieldId="28" dataDxfId="184"/>
    <tableColumn id="29" xr3:uid="{7AF73B45-1471-4A0E-9D25-5D304FB8A467}" uniqueName="29" name="Status" queryTableFieldId="29" dataDxfId="183"/>
    <tableColumn id="30" xr3:uid="{4206398E-EB31-4D5A-9AE8-1FB8D5050C5E}" uniqueName="30" name="Data de Perda/Ganho" queryTableFieldId="30" dataDxfId="182"/>
    <tableColumn id="31" xr3:uid="{14280A48-F44F-4E3E-A9EE-3A1CD51709D6}" uniqueName="31" name="Hora de Perda/Ganho" queryTableFieldId="31" dataDxfId="181"/>
    <tableColumn id="32" xr3:uid="{458C9950-FBE5-426C-B56B-F626D7E9FE5B}" uniqueName="32" name="Motivo de perda" queryTableFieldId="32" dataDxfId="180"/>
    <tableColumn id="33" xr3:uid="{A0E07746-40EE-479A-8AEC-D52571F2EE44}" uniqueName="33" name="Razão de Perda" queryTableFieldId="33"/>
    <tableColumn id="34" xr3:uid="{FDBACAB6-4052-4409-808D-1DDF39B2A783}" uniqueName="34" name="Data Proposta" queryTableFieldId="34" dataDxfId="179"/>
    <tableColumn id="35" xr3:uid="{912B14E4-F9DF-4D73-8228-3A244ECD4A6B}" uniqueName="35" name="DataApresentação1" queryTableFieldId="35" dataDxfId="178"/>
    <tableColumn id="36" xr3:uid="{A74222D5-28A6-4D45-AD64-DDC465AF7CC5}" uniqueName="36" name="DataApresentação2" queryTableFieldId="36" dataDxfId="177"/>
    <tableColumn id="37" xr3:uid="{97201CBA-70CC-4FD6-89EE-D69F3DB929E5}" uniqueName="37" name="Data UltContato" queryTableFieldId="37" dataDxfId="176"/>
    <tableColumn id="38" xr3:uid="{1F306328-79C2-43F3-A43E-340346C9E490}" uniqueName="38" name="Temperatura" queryTableFieldId="38" dataDxfId="175"/>
    <tableColumn id="39" xr3:uid="{AAE44C16-35E4-41E1-B086-A4E8AEF21720}" uniqueName="39" name="Horas" queryTableFieldId="39" dataDxfId="174"/>
    <tableColumn id="40" xr3:uid="{52E7DAA2-436D-4EE1-9094-8BD419C0AAB7}" uniqueName="40" name="Vlr Projeto" queryTableFieldId="40" dataDxfId="173"/>
    <tableColumn id="41" xr3:uid="{DA2EAA45-2398-44AC-AE82-C299CF986D49}" uniqueName="41" name="Vlr Mensalidade" queryTableFieldId="41" dataDxfId="172"/>
    <tableColumn id="42" xr3:uid="{C7E9C93B-D13C-46E0-A7AA-CC6C130098FB}" uniqueName="42" name="Produtos" queryTableFieldId="42" dataDxfId="171"/>
    <tableColumn id="43" xr3:uid="{295C9D30-71BC-42B4-AA62-D72EF35AB869}" uniqueName="43" name="Qtde" queryTableFieldId="43" dataDxfId="17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6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68"/>
    <tableColumn id="8" xr3:uid="{C53D8128-CE59-4E9E-A64E-60414DDD7916}" uniqueName="8" name="CNPJ" queryTableFieldId="8"/>
    <tableColumn id="9" xr3:uid="{E7613A43-0BF0-4862-9AA7-8E6B7359F8FF}" uniqueName="9" name="Nome do Cliente" queryTableFieldId="9" dataDxfId="167"/>
    <tableColumn id="10" xr3:uid="{FE97FA32-6FF3-4E5E-9BF5-48D1B6AEB67B}" uniqueName="10" name="Nome do Contato" queryTableFieldId="10" dataDxfId="16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65"/>
    <tableColumn id="14" xr3:uid="{FF380B9C-7E02-4273-9007-88D08E1E9E93}" uniqueName="14" name="Contatos" queryTableFieldId="14"/>
    <tableColumn id="15" xr3:uid="{02CC331F-2916-4388-82BD-6151884837C5}" uniqueName="15" name="Endereço" queryTableFieldId="15" dataDxfId="164"/>
    <tableColumn id="16" xr3:uid="{A8831C4D-1259-4FC5-96AE-44BFBE3531A7}" uniqueName="16" name="Cidade" queryTableFieldId="16" dataDxfId="163"/>
    <tableColumn id="17" xr3:uid="{DA4852BE-E3EE-4F9E-9A1C-C014CCE9E8FB}" uniqueName="17" name="Estado" queryTableFieldId="17" dataDxfId="162"/>
    <tableColumn id="18" xr3:uid="{141C7615-D3F2-40CD-8AD6-54C95E553D2B}" uniqueName="18" name="Origem" queryTableFieldId="18" dataDxfId="161"/>
    <tableColumn id="19" xr3:uid="{84DADEE5-095F-4343-B53B-A2854E53F18F}" uniqueName="19" name="TAGS" queryTableFieldId="19" dataDxfId="160"/>
    <tableColumn id="20" xr3:uid="{BE601783-814C-469F-B1E6-D4414A0BF5A1}" uniqueName="20" name="Funil de vendas" queryTableFieldId="20" dataDxfId="159"/>
    <tableColumn id="21" xr3:uid="{50334F77-9C37-4615-BEE1-6701F0E87F7D}" uniqueName="21" name="Etapa do funil de vendas" queryTableFieldId="21" dataDxfId="158"/>
    <tableColumn id="22" xr3:uid="{D73F32C2-12CB-464C-87AB-91B534CF205A}" uniqueName="22" name="Forma de Pagamento" queryTableFieldId="22" dataDxfId="15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56"/>
    <tableColumn id="26" xr3:uid="{4DA6F876-E8AD-432A-9340-0424A085D0D7}" uniqueName="26" name="Tempo como pós venda" queryTableFieldId="26"/>
    <tableColumn id="27" xr3:uid="{57C009B9-6D10-49D2-BD0E-DC3953BB7E6D}" uniqueName="27" name="Data de Criação" queryTableFieldId="27" dataDxfId="155"/>
    <tableColumn id="28" xr3:uid="{1BB12652-3102-4960-AB02-5972739FEF11}" uniqueName="28" name="Hora de Criação" queryTableFieldId="28" dataDxfId="154"/>
    <tableColumn id="29" xr3:uid="{14B6BE92-D3C6-46E0-B292-7D1E0E6DA160}" uniqueName="29" name="Status" queryTableFieldId="29" dataDxfId="153"/>
    <tableColumn id="30" xr3:uid="{1683160A-1F86-4351-99E3-268583AD1EDA}" uniqueName="30" name="Data de Perda/Ganho" queryTableFieldId="30" dataDxfId="152"/>
    <tableColumn id="31" xr3:uid="{525A694C-D6FE-4FFA-AC17-66B0A5F5547C}" uniqueName="31" name="Hora de Perda/Ganho" queryTableFieldId="31" dataDxfId="151"/>
    <tableColumn id="32" xr3:uid="{609DC66E-2430-4723-ACFA-DD97A1696A19}" uniqueName="32" name="Motivo de perda" queryTableFieldId="32" dataDxfId="150"/>
    <tableColumn id="33" xr3:uid="{08E5268C-178E-4B37-8AA0-101BC2C46977}" uniqueName="33" name="Razão de Perda" queryTableFieldId="33"/>
    <tableColumn id="34" xr3:uid="{9517416E-12E1-4380-8C08-0D01B5911766}" uniqueName="34" name="Data Proposta" queryTableFieldId="34" dataDxfId="149"/>
    <tableColumn id="35" xr3:uid="{2E66FED3-C176-4E3B-A356-31C7C08CBD34}" uniqueName="35" name="DataApresentação1" queryTableFieldId="35" dataDxfId="14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4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46"/>
    <tableColumn id="6" xr3:uid="{B2E94FB6-EA59-4C43-AD0F-5791BDA6E13A}" uniqueName="6" name="Razão social" queryTableFieldId="6" dataDxfId="145"/>
    <tableColumn id="7" xr3:uid="{CD7A8E33-244F-4CA3-8836-E5CE817B2720}" uniqueName="7" name="Título do negócio" queryTableFieldId="7" dataDxfId="144"/>
    <tableColumn id="8" xr3:uid="{E6C4065F-22E1-40D8-B4DC-C0E5968ADABA}" uniqueName="8" name="CNPJ" queryTableFieldId="8"/>
    <tableColumn id="9" xr3:uid="{2EBF13C4-49F5-41D2-BE54-4DE5D2947F78}" uniqueName="9" name="Nome do Cliente" queryTableFieldId="9" dataDxfId="143"/>
    <tableColumn id="10" xr3:uid="{E7A02E27-BF96-4F02-BB92-32885B3AEE23}" uniqueName="10" name="Nome do Contato" queryTableFieldId="10" dataDxfId="14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41"/>
    <tableColumn id="14" xr3:uid="{A4E87BBB-FF83-41AA-B630-9F20BB285574}" uniqueName="14" name="Grupo do cliente" queryTableFieldId="14" dataDxfId="140"/>
    <tableColumn id="15" xr3:uid="{5E574475-1F29-458F-AEDF-E64D62E69EF1}" uniqueName="15" name="Contatos" queryTableFieldId="15" dataDxfId="139"/>
    <tableColumn id="16" xr3:uid="{4F5538B1-72DE-4A41-9E4E-CEC5FFC0DC9C}" uniqueName="16" name="Endereço" queryTableFieldId="16" dataDxfId="138"/>
    <tableColumn id="17" xr3:uid="{0922BF57-1964-4805-AD20-57C3751B67DD}" uniqueName="17" name="Cidade" queryTableFieldId="17" dataDxfId="137"/>
    <tableColumn id="18" xr3:uid="{CF8B72FC-7A20-4673-A961-7C5C2F89800B}" uniqueName="18" name="Estado" queryTableFieldId="18" dataDxfId="136"/>
    <tableColumn id="19" xr3:uid="{1D7794B7-9149-460D-81E5-971758704AE1}" uniqueName="19" name="Origem" queryTableFieldId="19" dataDxfId="135"/>
    <tableColumn id="20" xr3:uid="{56801F2A-1E9C-4202-A4D7-E8B7010F6F6D}" uniqueName="20" name="Origem do cliente" queryTableFieldId="20" dataDxfId="134"/>
    <tableColumn id="21" xr3:uid="{B1A68A04-0A0A-4273-A209-47220E12255A}" uniqueName="21" name="Categoria do cliente" queryTableFieldId="21"/>
    <tableColumn id="22" xr3:uid="{F1A3F332-AB38-4B75-B5AE-7B599552DBE7}" uniqueName="22" name="TAGS" queryTableFieldId="22" dataDxfId="133"/>
    <tableColumn id="23" xr3:uid="{7FFBDD0B-A736-4E6B-BBAB-966B44D38C10}" uniqueName="23" name="Funil de vendas" queryTableFieldId="23" dataDxfId="132"/>
    <tableColumn id="24" xr3:uid="{9C81CB07-2DFC-4491-88A9-1C3D1AE31605}" uniqueName="24" name="Etapa do funil de vendas" queryTableFieldId="24" dataDxfId="131"/>
    <tableColumn id="25" xr3:uid="{41CA4D09-1619-4A79-83FF-56FE482B6680}" uniqueName="25" name="Forma de Pagamento" queryTableFieldId="25" dataDxfId="130"/>
    <tableColumn id="26" xr3:uid="{7142DEC2-91EA-4168-8560-B6175F64D9C1}" uniqueName="26" name="Data esperada de fechamento" queryTableFieldId="26" dataDxfId="12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28"/>
    <tableColumn id="31" xr3:uid="{730FF3EA-CAC1-4DBE-B3FA-38B54DDA2E2D}" uniqueName="31" name="Data de Criação" queryTableFieldId="31" dataDxfId="127"/>
    <tableColumn id="32" xr3:uid="{79B15A37-F21B-419F-B25D-F8CD01AC557F}" uniqueName="32" name="Hora de Criação" queryTableFieldId="32" dataDxfId="126"/>
    <tableColumn id="33" xr3:uid="{2BD51DAD-1DC4-4C18-818D-C1EA2661E9EA}" uniqueName="33" name="Código externo" queryTableFieldId="33"/>
    <tableColumn id="34" xr3:uid="{14B2D0CA-9FE4-4155-BA00-54FB8B9AE06B}" uniqueName="34" name="Status" queryTableFieldId="34" dataDxfId="125"/>
    <tableColumn id="35" xr3:uid="{FF98BFC9-76D9-44DE-A404-F7225B22FED3}" uniqueName="35" name="Data de Perda/Ganho" queryTableFieldId="35" dataDxfId="124"/>
    <tableColumn id="36" xr3:uid="{A18BA80B-7EFA-445C-B7F4-AFFE47E9920B}" uniqueName="36" name="Hora de Perda/Ganho" queryTableFieldId="36" dataDxfId="123"/>
    <tableColumn id="37" xr3:uid="{BF4330A4-537D-41ED-B790-12DB92F247FB}" uniqueName="37" name="Motivo de perda" queryTableFieldId="37" dataDxfId="122"/>
    <tableColumn id="38" xr3:uid="{F475CCED-B0E0-4721-A54B-A36F714A34F5}" uniqueName="38" name="Razão de Perda" queryTableFieldId="38"/>
    <tableColumn id="39" xr3:uid="{2ABDBB96-557F-4774-8238-4BED09EE1771}" uniqueName="39" name="Data Venda  Agenda" queryTableFieldId="39" dataDxfId="121"/>
    <tableColumn id="40" xr3:uid="{EDBE036E-FE7C-4F06-BE99-DC15813B046C}" uniqueName="40" name="Data Proposta" queryTableFieldId="40" dataDxfId="120"/>
    <tableColumn id="41" xr3:uid="{5E873FA1-C8B3-49B8-8D64-D79B01F5B856}" uniqueName="41" name="SDRResponsável" queryTableFieldId="41" dataDxfId="119"/>
    <tableColumn id="42" xr3:uid="{18BB8A4B-D728-4CA6-BB36-C6992FE5B703}" uniqueName="42" name="DataApresentação1" queryTableFieldId="42" dataDxfId="118"/>
    <tableColumn id="43" xr3:uid="{FAFE9C00-D594-44C7-BC01-59E8317F8A32}" uniqueName="43" name="DataApresentação2" queryTableFieldId="43" dataDxfId="117"/>
    <tableColumn id="44" xr3:uid="{060FBFE5-52FA-4C04-B8A0-E2029E8CDEC9}" uniqueName="44" name="Data UltContato" queryTableFieldId="44" dataDxfId="11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115"/>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14"/>
    <tableColumn id="6" xr3:uid="{A975B9C1-1939-4382-8A8B-D309C091DB18}" uniqueName="6" name="Razão social" queryTableFieldId="6" dataDxfId="113"/>
    <tableColumn id="7" xr3:uid="{9332744E-4FAD-453A-A7F9-A517A61A618A}" uniqueName="7" name="Título do negócio" queryTableFieldId="7" dataDxfId="112"/>
    <tableColumn id="8" xr3:uid="{BE8D8B3E-516F-4C24-92E6-CF40B5F7D7EF}" uniqueName="8" name="CNPJ" queryTableFieldId="8"/>
    <tableColumn id="9" xr3:uid="{9CB0B5EB-18B7-431C-AE16-4622C35E21CB}" uniqueName="9" name="Nome do Cliente" queryTableFieldId="9" dataDxfId="111"/>
    <tableColumn id="10" xr3:uid="{F3B8352E-7474-4E14-8348-141F4E2444EB}" uniqueName="10" name="Nome do Contato" queryTableFieldId="10" dataDxfId="110"/>
    <tableColumn id="11" xr3:uid="{7B775999-AF05-41A7-A14D-317A697691AE}" uniqueName="11" name="Telefone do Contato" queryTableFieldId="11" dataDxfId="109"/>
    <tableColumn id="12" xr3:uid="{0A290931-6D06-42F2-BCF7-BE126B993D67}" uniqueName="12" name="Celular do Contato" queryTableFieldId="12" dataDxfId="108"/>
    <tableColumn id="13" xr3:uid="{CEF199B0-3EA3-45CA-95D4-672D91433BD9}" uniqueName="13" name="E-mail do contato" queryTableFieldId="13" dataDxfId="107"/>
    <tableColumn id="14" xr3:uid="{FA5CBC93-5AD5-4556-BBD6-08406C69F4DE}" uniqueName="14" name="Grupo do cliente" queryTableFieldId="14" dataDxfId="106"/>
    <tableColumn id="15" xr3:uid="{77428C82-39F5-4DF1-8C31-30F8D3B85C79}" uniqueName="15" name="Contatos" queryTableFieldId="15" dataDxfId="105"/>
    <tableColumn id="16" xr3:uid="{BC716626-E928-406E-B335-37EDBA77897C}" uniqueName="16" name="Endereço" queryTableFieldId="16" dataDxfId="104"/>
    <tableColumn id="17" xr3:uid="{0670EBAD-AF10-42E4-BFBB-EA16F5C194B0}" uniqueName="17" name="Cidade" queryTableFieldId="17" dataDxfId="103"/>
    <tableColumn id="18" xr3:uid="{2D21E196-58BA-4ABE-9D14-08DCB0C21764}" uniqueName="18" name="Estado" queryTableFieldId="18" dataDxfId="102"/>
    <tableColumn id="19" xr3:uid="{6AFA0B9D-D74D-4F92-BA5C-1BF667DD5DBC}" uniqueName="19" name="Origem" queryTableFieldId="19" dataDxfId="101"/>
    <tableColumn id="20" xr3:uid="{3717747A-4E2A-4331-86DC-F70194294D5B}" uniqueName="20" name="Origem do cliente" queryTableFieldId="20" dataDxfId="100"/>
    <tableColumn id="21" xr3:uid="{28736824-6E0E-4AE4-9DA7-EA2ACECD6AAE}" uniqueName="21" name="Categoria do cliente" queryTableFieldId="21" dataDxfId="99"/>
    <tableColumn id="22" xr3:uid="{A4C59AAD-CDCC-439C-BC27-E044BC0C88AD}" uniqueName="22" name="TAGS" queryTableFieldId="22" dataDxfId="98"/>
    <tableColumn id="23" xr3:uid="{7C449F22-02A5-4BA1-A2BF-2FB6986DC805}" uniqueName="23" name="Funil de vendas" queryTableFieldId="23" dataDxfId="97"/>
    <tableColumn id="24" xr3:uid="{ADC01B8F-BF89-40A7-8EC6-35B291517F52}" uniqueName="24" name="Etapa do funil de vendas" queryTableFieldId="24" dataDxfId="96"/>
    <tableColumn id="25" xr3:uid="{9006C3A0-486C-4C3E-98B5-5ED3C63AD8AA}" uniqueName="25" name="Forma de Pagamento" queryTableFieldId="25" dataDxfId="95"/>
    <tableColumn id="26" xr3:uid="{A393E524-A47A-433B-8865-AE943D2265D7}" uniqueName="26" name="Data esperada de fechamento" queryTableFieldId="26" dataDxfId="94"/>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93"/>
    <tableColumn id="31" xr3:uid="{D07BBFE1-56BE-4419-A975-25509A67DB55}" uniqueName="31" name="Data de Criação" queryTableFieldId="31" dataDxfId="92"/>
    <tableColumn id="32" xr3:uid="{77A572A5-F3D2-4ABE-83C4-8A2446980D26}" uniqueName="32" name="Hora de Criação" queryTableFieldId="32" dataDxfId="91"/>
    <tableColumn id="33" xr3:uid="{1CE3884F-45AB-4814-8F3A-09A087DC6611}" uniqueName="33" name="Código externo" queryTableFieldId="33" dataDxfId="90"/>
    <tableColumn id="34" xr3:uid="{1779C4AC-A874-4F8C-969D-7FC3DE4DDC9C}" uniqueName="34" name="Status" queryTableFieldId="34" dataDxfId="89"/>
    <tableColumn id="35" xr3:uid="{F0B8FBEB-A440-4E4E-A247-B85C80AA35F9}" uniqueName="35" name="Data de Perda/Ganho" queryTableFieldId="35" dataDxfId="88"/>
    <tableColumn id="36" xr3:uid="{A18FDE3A-ED7F-4406-B561-070476D1AC46}" uniqueName="36" name="Hora de Perda/Ganho" queryTableFieldId="36" dataDxfId="87"/>
    <tableColumn id="37" xr3:uid="{1E8AEBB0-18EA-4681-A5EB-714EC16D8D7E}" uniqueName="37" name="Motivo de perda" queryTableFieldId="37" dataDxfId="86"/>
    <tableColumn id="38" xr3:uid="{F1F7BBF3-3B66-4795-9A46-B8DFC5FC9F34}" uniqueName="38" name="Razão de Perda" queryTableFieldId="38" dataDxfId="85"/>
    <tableColumn id="39" xr3:uid="{9471CAB5-456B-4647-A2A5-85BD72128D62}" uniqueName="39" name="Data Venda  Agenda" queryTableFieldId="39" dataDxfId="84"/>
    <tableColumn id="40" xr3:uid="{DF77A022-8FF0-4D70-AEE5-CBD5554615F0}" uniqueName="40" name="Data Proposta" queryTableFieldId="40" dataDxfId="83"/>
    <tableColumn id="41" xr3:uid="{24694E81-AA00-469C-B38B-E56E44E15766}" uniqueName="41" name="SDRResponsável" queryTableFieldId="41" dataDxfId="82"/>
    <tableColumn id="42" xr3:uid="{044BD884-6166-48AD-9606-8048BC2547EB}" uniqueName="42" name="DataApresentação1" queryTableFieldId="42" dataDxfId="81"/>
    <tableColumn id="43" xr3:uid="{4EB6B121-59B0-473E-A74B-1BCCADAF3291}" uniqueName="43" name="DataApresentação2" queryTableFieldId="43" dataDxfId="80"/>
    <tableColumn id="44" xr3:uid="{3A701181-DD86-475B-9966-6A7A489FC300}" uniqueName="44" name="Data UltContato" queryTableFieldId="44" dataDxfId="79"/>
    <tableColumn id="45" xr3:uid="{34FD476A-4B8A-49A6-B3CB-8DAB3E49706D}" uniqueName="45" name="Temperatura" queryTableFieldId="45"/>
    <tableColumn id="46" xr3:uid="{786CA557-A440-4019-9BE5-BC58F07ADA81}" uniqueName="46" name="Horas" queryTableFieldId="46" dataDxfId="78"/>
    <tableColumn id="47" xr3:uid="{5039C753-277D-4568-B089-45614252B95A}" uniqueName="47" name="Produtos" queryTableFieldId="47" dataDxfId="77"/>
    <tableColumn id="48" xr3:uid="{B39E5DCB-693C-4CD0-BBD4-805829F3AE58}" uniqueName="48" name="Vlr Projeto" queryTableFieldId="48" dataDxfId="76"/>
    <tableColumn id="49" xr3:uid="{740B4DE9-842F-433B-BCAC-E07AD4CD3F92}" uniqueName="49" name="Vlr Mensalidade" queryTableFieldId="49" dataDxfId="75"/>
    <tableColumn id="50" xr3:uid="{CA648311-CF4B-47AC-B564-3C206F65ADCF}" uniqueName="50" name="qtde" queryTableFieldId="50" dataDxfId="7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73"/>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72"/>
    <tableColumn id="6" xr3:uid="{F7F30899-BB58-4514-A14B-C61B54FBA67C}" uniqueName="6" name="Razão social" queryTableFieldId="6" dataDxfId="71"/>
    <tableColumn id="7" xr3:uid="{3B88F317-D3E6-4A89-9C27-66D0A88C712A}" uniqueName="7" name="Título do negócio" queryTableFieldId="7" dataDxfId="70"/>
    <tableColumn id="8" xr3:uid="{D903E9EC-3721-49D8-9A38-A4F46F9AD812}" uniqueName="8" name="CNPJ" queryTableFieldId="8"/>
    <tableColumn id="9" xr3:uid="{089B823B-979B-4928-96AF-F25078B38CCF}" uniqueName="9" name="Nome do Cliente" queryTableFieldId="9" dataDxfId="69"/>
    <tableColumn id="10" xr3:uid="{DB3C68B0-64CD-40C5-B221-6F70E8CBEF2E}" uniqueName="10" name="Nome do Contato" queryTableFieldId="10" dataDxfId="68"/>
    <tableColumn id="11" xr3:uid="{D8A37290-2279-4700-B428-8E29807876DA}" uniqueName="11" name="Telefone do Contato" queryTableFieldId="11" dataDxfId="67"/>
    <tableColumn id="12" xr3:uid="{D4F69720-B525-48AC-96DE-4B7EB9CFC0A7}" uniqueName="12" name="Celular do Contato" queryTableFieldId="12"/>
    <tableColumn id="13" xr3:uid="{9D441D56-6CDA-4F87-BBF9-A740D5DF09C0}" uniqueName="13" name="E-mail" queryTableFieldId="13" dataDxfId="66"/>
    <tableColumn id="14" xr3:uid="{7FA65F7E-8EAD-4E27-8996-CEBE9D81E2D3}" uniqueName="14" name="Contatos" queryTableFieldId="14" dataDxfId="65"/>
    <tableColumn id="15" xr3:uid="{6451E915-1ABB-4129-8BF8-9D63AAF587C7}" uniqueName="15" name="Endereço" queryTableFieldId="15" dataDxfId="64"/>
    <tableColumn id="16" xr3:uid="{6DC1A834-E487-4A1E-8B69-4C19DCC54006}" uniqueName="16" name="Cidade" queryTableFieldId="16" dataDxfId="63"/>
    <tableColumn id="17" xr3:uid="{2D46073F-B3F3-45CE-9C50-03F8C2231965}" uniqueName="17" name="Estado" queryTableFieldId="17" dataDxfId="62"/>
    <tableColumn id="18" xr3:uid="{B088FFA2-C3BA-4C78-A431-957EFE74078D}" uniqueName="18" name="Origem" queryTableFieldId="18" dataDxfId="61"/>
    <tableColumn id="19" xr3:uid="{67A83209-F810-4D36-8A25-D6BF21DFAC13}" uniqueName="19" name="TAGS" queryTableFieldId="19" dataDxfId="60"/>
    <tableColumn id="20" xr3:uid="{B67EB2E1-784C-4C30-82B7-7875ABFB100E}" uniqueName="20" name="Funil de vendas" queryTableFieldId="20" dataDxfId="59"/>
    <tableColumn id="21" xr3:uid="{D3D65C38-7209-42A9-901A-194CF3E898D8}" uniqueName="21" name="Etapa do funil de vendas" queryTableFieldId="21" dataDxfId="58"/>
    <tableColumn id="22" xr3:uid="{B6257116-5328-4D07-B0D2-76509467D09C}" uniqueName="22" name="Forma de Pagamento" queryTableFieldId="22" dataDxfId="57"/>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56"/>
    <tableColumn id="26" xr3:uid="{4E957EE7-CF14-4E14-8DDF-5BB60DE624E0}" uniqueName="26" name="Tempo como pós venda" queryTableFieldId="26"/>
    <tableColumn id="27" xr3:uid="{62AD15E0-BE70-46A1-B1A7-71E82BD64901}" uniqueName="27" name="Data de Criação" queryTableFieldId="27" dataDxfId="55"/>
    <tableColumn id="28" xr3:uid="{D519E395-8C45-4BD7-9D89-FB374CFFA869}" uniqueName="28" name="Hora de Criação" queryTableFieldId="28" dataDxfId="54"/>
    <tableColumn id="29" xr3:uid="{9A0514DC-0ED6-4A45-A9DC-9A513F83A08E}" uniqueName="29" name="Status" queryTableFieldId="29" dataDxfId="53"/>
    <tableColumn id="30" xr3:uid="{3932D2FD-4446-43AB-9E79-014EA3ADF31D}" uniqueName="30" name="Data de Perda/Ganho" queryTableFieldId="30" dataDxfId="52"/>
    <tableColumn id="31" xr3:uid="{8730F7E0-7885-42FE-B76C-AABB8F39AD41}" uniqueName="31" name="Hora de Perda/Ganho" queryTableFieldId="31" dataDxfId="51"/>
    <tableColumn id="32" xr3:uid="{9682B8EC-D1E2-40A3-926F-7DA547F79FD8}" uniqueName="32" name="Motivo de perda" queryTableFieldId="32" dataDxfId="50"/>
    <tableColumn id="33" xr3:uid="{F0F5D17C-13D3-4ADE-A0DA-AB7FB318B31A}" uniqueName="33" name="Razão de Perda" queryTableFieldId="33"/>
    <tableColumn id="34" xr3:uid="{94975100-F10B-4AE6-BDF0-1602B12B202B}" uniqueName="34" name="Data Proposta" queryTableFieldId="34" dataDxfId="49"/>
    <tableColumn id="35" xr3:uid="{8A74EA39-9157-43DB-8922-FF2307E64893}" uniqueName="35" name="DataApresentação1" queryTableFieldId="35" dataDxfId="48"/>
    <tableColumn id="36" xr3:uid="{E4959412-836E-4887-9ACD-2686A14AE260}" uniqueName="36" name="DataApresentação2" queryTableFieldId="36" dataDxfId="47"/>
    <tableColumn id="37" xr3:uid="{2BC18C98-550A-418C-99E8-EF28A4A6AFDC}" uniqueName="37" name="Data UltContato" queryTableFieldId="37" dataDxfId="46"/>
    <tableColumn id="38" xr3:uid="{2BC391F5-2E7C-4E07-B97F-73F5B4A8D9B6}" uniqueName="38" name="Temperatura" queryTableFieldId="38" dataDxfId="45"/>
    <tableColumn id="39" xr3:uid="{0B0F85F4-CF57-4EEF-B5C1-4B4D1005DF95}" uniqueName="39" name="Horas" queryTableFieldId="39" dataDxfId="44"/>
    <tableColumn id="40" xr3:uid="{7F3A6471-E45A-4FFE-AB89-E876EA069C8C}" uniqueName="40" name="Vlr Projeto" queryTableFieldId="40" dataDxfId="43"/>
    <tableColumn id="41" xr3:uid="{231CE392-E179-4721-9CCA-44C6D1545B40}" uniqueName="41" name="Vlr Mensalidade" queryTableFieldId="41" dataDxfId="42"/>
    <tableColumn id="42" xr3:uid="{2485E902-38D1-4ABF-AE20-F06EC46CF467}" uniqueName="42" name="Produtos" queryTableFieldId="42" dataDxfId="41"/>
    <tableColumn id="43" xr3:uid="{37AE4BF8-BF91-4789-AAD4-BEB33ECA78FC}" uniqueName="43" name="Qdte" queryTableFieldId="43" dataDxfId="4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02"/>
  <sheetViews>
    <sheetView showGridLines="0" tabSelected="1" zoomScaleNormal="100" workbookViewId="0">
      <pane xSplit="5" ySplit="1" topLeftCell="F197" activePane="bottomRight" state="frozen"/>
      <selection pane="topRight" activeCell="F1" sqref="F1"/>
      <selection pane="bottomLeft" activeCell="A3" sqref="A3"/>
      <selection pane="bottomRight" activeCell="C199" sqref="C199"/>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3">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3">
      <c r="A197" s="10">
        <v>46181</v>
      </c>
      <c r="B197" s="11">
        <v>135343</v>
      </c>
      <c r="C197" s="11" t="s">
        <v>45</v>
      </c>
      <c r="D197" s="11" t="s">
        <v>46</v>
      </c>
      <c r="E197" s="11" t="s">
        <v>35</v>
      </c>
      <c r="F197" s="11" t="s">
        <v>3355</v>
      </c>
      <c r="G197" s="12">
        <v>24</v>
      </c>
      <c r="H197" s="13">
        <v>187.5</v>
      </c>
      <c r="I197" s="14">
        <f>vendas2026[[#This Row],[Qtde]]*vendas2026[[#This Row],[VlrUnitário]]</f>
        <v>4500</v>
      </c>
      <c r="J197" s="385">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204</v>
      </c>
      <c r="V197" s="17" t="s">
        <v>45</v>
      </c>
    </row>
    <row r="198" spans="1:22" x14ac:dyDescent="0.3">
      <c r="A198" s="10">
        <v>46181</v>
      </c>
      <c r="B198" s="11">
        <v>135343</v>
      </c>
      <c r="C198" s="11" t="s">
        <v>45</v>
      </c>
      <c r="D198" s="11" t="s">
        <v>46</v>
      </c>
      <c r="E198" s="11" t="s">
        <v>35</v>
      </c>
      <c r="F198" s="11" t="s">
        <v>23</v>
      </c>
      <c r="G198" s="12">
        <v>2</v>
      </c>
      <c r="H198" s="13">
        <v>142.56</v>
      </c>
      <c r="I198" s="14">
        <f>vendas2026[[#This Row],[Qtde]]*vendas2026[[#This Row],[VlrUnitário]]</f>
        <v>285.12</v>
      </c>
      <c r="J198" s="385">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204</v>
      </c>
      <c r="V198" s="17" t="s">
        <v>45</v>
      </c>
    </row>
    <row r="199" spans="1:22" x14ac:dyDescent="0.3">
      <c r="A199" s="10">
        <v>46181</v>
      </c>
      <c r="B199" s="11">
        <v>118061</v>
      </c>
      <c r="C199" s="11" t="s">
        <v>20</v>
      </c>
      <c r="D199" s="11" t="s">
        <v>70</v>
      </c>
      <c r="E199" s="11" t="s">
        <v>42</v>
      </c>
      <c r="F199" s="11" t="s">
        <v>3355</v>
      </c>
      <c r="G199" s="12">
        <v>198</v>
      </c>
      <c r="H199" s="13">
        <v>180.04</v>
      </c>
      <c r="I199" s="14">
        <f>vendas2026[[#This Row],[Qtde]]*vendas2026[[#This Row],[VlrUnitário]]</f>
        <v>35647.919999999998</v>
      </c>
      <c r="J199" s="385">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x14ac:dyDescent="0.3">
      <c r="A200" s="10">
        <v>46183</v>
      </c>
      <c r="B200" s="11">
        <v>140986</v>
      </c>
      <c r="C200" s="11" t="s">
        <v>45</v>
      </c>
      <c r="D200" s="11" t="s">
        <v>49</v>
      </c>
      <c r="E200" s="11" t="s">
        <v>50</v>
      </c>
      <c r="F200" s="11" t="s">
        <v>50</v>
      </c>
      <c r="G200" s="12">
        <v>16</v>
      </c>
      <c r="H200" s="13">
        <v>156.25</v>
      </c>
      <c r="I200" s="14">
        <f>vendas2026[[#This Row],[Qtde]]*vendas2026[[#This Row],[VlrUnitário]]</f>
        <v>2500</v>
      </c>
      <c r="J200" s="385">
        <f>vendas2026[[#This Row],[VlrTotal]]</f>
        <v>2500</v>
      </c>
      <c r="K200" s="16">
        <v>6.8999999999999999E-3</v>
      </c>
      <c r="L200" s="16">
        <f>vendas2026[[#This Row],[%Comissão]]*0.25</f>
        <v>1.725E-3</v>
      </c>
      <c r="M200" s="14" t="s">
        <v>43</v>
      </c>
      <c r="N200" s="24">
        <f>vendas2026[[#This Row],[VlrTotal]]*vendas2026[[#This Row],[%Comissão]]</f>
        <v>17.25</v>
      </c>
      <c r="O200" s="14">
        <f>vendas2026[[#This Row],[VlrTotal]]*vendas2026[[#This Row],[%ComissãoSupervisor]]</f>
        <v>4.3125</v>
      </c>
      <c r="P200" s="11" t="s">
        <v>3361</v>
      </c>
      <c r="Q200" s="11" t="s">
        <v>3362</v>
      </c>
      <c r="R200" s="11"/>
      <c r="S200" s="11">
        <v>1</v>
      </c>
      <c r="T200" s="383"/>
      <c r="U200" s="11" t="s">
        <v>3363</v>
      </c>
      <c r="V200" s="17" t="s">
        <v>45</v>
      </c>
    </row>
    <row r="201" spans="1:22" x14ac:dyDescent="0.3">
      <c r="A201" s="10">
        <v>46184</v>
      </c>
      <c r="B201" s="11">
        <v>142241</v>
      </c>
      <c r="C201" s="11" t="s">
        <v>45</v>
      </c>
      <c r="D201" s="11" t="s">
        <v>4489</v>
      </c>
      <c r="E201" s="11" t="s">
        <v>50</v>
      </c>
      <c r="F201" s="11" t="s">
        <v>50</v>
      </c>
      <c r="G201" s="12">
        <v>6</v>
      </c>
      <c r="H201" s="13">
        <v>176</v>
      </c>
      <c r="I201" s="14">
        <f>vendas2026[[#This Row],[Qtde]]*vendas2026[[#This Row],[VlrUnitário]]</f>
        <v>1056</v>
      </c>
      <c r="J201" s="385">
        <f>vendas2026[[#This Row],[VlrTotal]]</f>
        <v>1056</v>
      </c>
      <c r="K201" s="16">
        <v>0.01</v>
      </c>
      <c r="L201" s="16">
        <f>vendas2026[[#This Row],[%Comissão]]*0.25</f>
        <v>2.5000000000000001E-3</v>
      </c>
      <c r="M201" s="14" t="s">
        <v>43</v>
      </c>
      <c r="N201" s="24">
        <f>vendas2026[[#This Row],[VlrTotal]]*vendas2026[[#This Row],[%Comissão]]</f>
        <v>10.56</v>
      </c>
      <c r="O201" s="14">
        <f>vendas2026[[#This Row],[VlrTotal]]*vendas2026[[#This Row],[%ComissãoSupervisor]]</f>
        <v>2.64</v>
      </c>
      <c r="P201" s="11" t="s">
        <v>3361</v>
      </c>
      <c r="Q201" s="11" t="s">
        <v>3362</v>
      </c>
      <c r="R201" s="11"/>
      <c r="S201" s="11">
        <v>1</v>
      </c>
      <c r="T201" s="383"/>
      <c r="U201" s="11" t="s">
        <v>3363</v>
      </c>
      <c r="V201" s="17" t="s">
        <v>45</v>
      </c>
    </row>
    <row r="202" spans="1:22" ht="13.95" customHeight="1" x14ac:dyDescent="0.3">
      <c r="A202" s="77" t="s">
        <v>3367</v>
      </c>
      <c r="B202" s="22"/>
      <c r="C202" s="22"/>
      <c r="D202" s="11"/>
      <c r="E202" s="22"/>
      <c r="F202" s="22"/>
      <c r="G202" s="23">
        <f>SUBTOTAL(109,vendas2026[Qtde])</f>
        <v>246</v>
      </c>
      <c r="H202" s="22"/>
      <c r="I202" s="24">
        <f>SUBTOTAL(109,vendas2026[VlrTotal])</f>
        <v>43989.04</v>
      </c>
      <c r="J202" s="24">
        <f>SUBTOTAL(109,vendas2026[Vlr Meta])</f>
        <v>44946.063999999998</v>
      </c>
      <c r="K202" s="22"/>
      <c r="L202" s="22"/>
      <c r="M202" s="22"/>
      <c r="N202" s="24">
        <f>SUBTOTAL(109,vendas2026[[ComissãoVendedor ]])</f>
        <v>3123.2844</v>
      </c>
      <c r="O202" s="24">
        <f>SUBTOTAL(109,vendas2026[ComissãoSupervisor])</f>
        <v>780.8211</v>
      </c>
      <c r="P202" s="22"/>
      <c r="Q202" s="22"/>
      <c r="R202" s="22"/>
      <c r="S202" s="22"/>
      <c r="T202" s="384"/>
      <c r="U202" s="22"/>
      <c r="V202" s="76">
        <f>SUBTOTAL(103,vendas2026[SDR_RESPONSÁVEL])</f>
        <v>5</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C9" sqref="C9"/>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35647.919999999998</v>
      </c>
      <c r="D4" s="84">
        <f>C4/B4</f>
        <v>0.396088</v>
      </c>
    </row>
    <row r="5" spans="1:6" ht="15.6" thickTop="1" thickBot="1" x14ac:dyDescent="0.35">
      <c r="A5" s="81" t="s">
        <v>3378</v>
      </c>
      <c r="B5" s="82">
        <v>10000</v>
      </c>
      <c r="C5" s="83">
        <v>0</v>
      </c>
      <c r="D5" s="84">
        <f>C5/B5</f>
        <v>0</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8956</v>
      </c>
      <c r="D8" s="84">
        <f>C8/B8</f>
        <v>9.9511111111111106E-2</v>
      </c>
    </row>
    <row r="9" spans="1:6" ht="15.6" thickTop="1" thickBot="1" x14ac:dyDescent="0.35">
      <c r="A9" s="81" t="s">
        <v>3378</v>
      </c>
      <c r="B9" s="82">
        <v>8000</v>
      </c>
      <c r="C9" s="83">
        <v>342.14</v>
      </c>
      <c r="D9" s="84">
        <f>C9/B9</f>
        <v>4.27675E-2</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0</v>
      </c>
      <c r="D14" s="84">
        <f>C14/B14</f>
        <v>0</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44603.92</v>
      </c>
      <c r="D24" s="87">
        <f>C24/B24</f>
        <v>0.16519970370370371</v>
      </c>
    </row>
    <row r="25" spans="1:6" ht="15.6" thickTop="1" thickBot="1" x14ac:dyDescent="0.35">
      <c r="A25" s="85" t="s">
        <v>3382</v>
      </c>
      <c r="B25" s="88">
        <v>35000</v>
      </c>
      <c r="C25" s="88">
        <f>C5+C9+C14+C22+C18</f>
        <v>342.14</v>
      </c>
      <c r="D25" s="89">
        <f>C25/B25</f>
        <v>9.7754285714285703E-3</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44603.92</v>
      </c>
      <c r="D28" s="87">
        <f>C28/B28</f>
        <v>0.16519970370370371</v>
      </c>
    </row>
    <row r="29" spans="1:6" ht="15.6" thickTop="1" thickBot="1" x14ac:dyDescent="0.35">
      <c r="A29" s="81" t="s">
        <v>3378</v>
      </c>
      <c r="B29" s="86">
        <f>B25</f>
        <v>35000</v>
      </c>
      <c r="C29" s="90">
        <f>C5+C9+C22+C14+C17</f>
        <v>342.14</v>
      </c>
      <c r="D29" s="87">
        <f>C29/B29</f>
        <v>9.7754285714285703E-3</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R54" sqref="R54"/>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16</v>
      </c>
      <c r="R50" s="380">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3">
      <c r="A51" s="48" t="s">
        <v>242</v>
      </c>
      <c r="B51" s="48"/>
      <c r="C51" s="48"/>
      <c r="D51" s="48"/>
      <c r="E51" s="48"/>
      <c r="F51" s="48"/>
      <c r="G51" s="48"/>
      <c r="H51" s="48"/>
      <c r="I51" s="48"/>
      <c r="J51" s="48"/>
      <c r="K51" s="48"/>
      <c r="L51" s="48"/>
      <c r="M51" s="240">
        <v>2026</v>
      </c>
      <c r="N51" s="53">
        <v>46143</v>
      </c>
      <c r="O51" s="33" t="s">
        <v>20</v>
      </c>
      <c r="P51" s="380"/>
      <c r="Q51" s="380">
        <v>18</v>
      </c>
      <c r="R51" s="380">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3">
      <c r="A52" s="48" t="s">
        <v>229</v>
      </c>
      <c r="B52" s="48"/>
      <c r="C52" s="48"/>
      <c r="D52" s="48"/>
      <c r="E52" s="48"/>
      <c r="F52" s="48"/>
      <c r="G52" s="48"/>
      <c r="H52" s="48"/>
      <c r="I52" s="48"/>
      <c r="J52" s="48"/>
      <c r="K52" s="48"/>
      <c r="L52" s="48"/>
      <c r="M52" s="240">
        <v>2026</v>
      </c>
      <c r="N52" s="53">
        <v>46143</v>
      </c>
      <c r="O52" s="33" t="s">
        <v>40</v>
      </c>
      <c r="P52" s="380"/>
      <c r="Q52" s="380">
        <v>2</v>
      </c>
      <c r="R52" s="380">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2</v>
      </c>
      <c r="R53" s="380">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3">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3">
        <v>2</v>
      </c>
      <c r="R54" s="33">
        <v>2</v>
      </c>
      <c r="S54" s="54">
        <f>'Metas Quadro'!C9</f>
        <v>342.14</v>
      </c>
      <c r="T54" s="54">
        <f>'Metas Quadro'!C25</f>
        <v>342.14</v>
      </c>
      <c r="U54" s="54">
        <f>'Metas Quadro'!C8</f>
        <v>8956</v>
      </c>
      <c r="V54" s="379">
        <v>150</v>
      </c>
      <c r="W54">
        <v>15</v>
      </c>
      <c r="X54">
        <v>12</v>
      </c>
      <c r="Y54" s="238">
        <v>8.5</v>
      </c>
      <c r="Z54" s="238">
        <v>35</v>
      </c>
      <c r="AA54" s="55">
        <v>90000</v>
      </c>
      <c r="AB54" s="36">
        <f>metas[[#This Row],[Meta Individual]]/8500</f>
        <v>4.0251764705882348E-2</v>
      </c>
      <c r="AC54" s="290">
        <f>metas[[#This Row],[Meta Equipe]]/34000/4</f>
        <v>2.5157352941176468E-3</v>
      </c>
    </row>
    <row r="55" spans="1:29" x14ac:dyDescent="0.3">
      <c r="A55" t="s">
        <v>236</v>
      </c>
      <c r="B55">
        <v>15</v>
      </c>
      <c r="C55">
        <v>25</v>
      </c>
      <c r="D55">
        <v>1.6666666666666667</v>
      </c>
      <c r="E55" t="s">
        <v>236</v>
      </c>
      <c r="F55">
        <v>15</v>
      </c>
      <c r="G55">
        <v>18</v>
      </c>
      <c r="H55">
        <v>1.2</v>
      </c>
      <c r="I55" t="s">
        <v>236</v>
      </c>
      <c r="J55">
        <v>15</v>
      </c>
      <c r="K55">
        <v>3</v>
      </c>
      <c r="L55">
        <v>0.2</v>
      </c>
      <c r="M55" s="240">
        <v>2026</v>
      </c>
      <c r="N55" s="53">
        <v>46174</v>
      </c>
      <c r="O55" s="33" t="s">
        <v>20</v>
      </c>
      <c r="P55" s="33"/>
      <c r="Q55" s="33">
        <v>0</v>
      </c>
      <c r="R55" s="33">
        <v>0</v>
      </c>
      <c r="S55" s="54">
        <f>'Metas Quadro'!C5</f>
        <v>0</v>
      </c>
      <c r="T55" s="54">
        <f>'Metas Quadro'!C25</f>
        <v>342.14</v>
      </c>
      <c r="U55" s="54">
        <f>'Metas Quadro'!C4</f>
        <v>35647.919999999998</v>
      </c>
      <c r="V55" s="379">
        <v>150</v>
      </c>
      <c r="W55">
        <v>15</v>
      </c>
      <c r="X55">
        <v>12</v>
      </c>
      <c r="Y55" s="238">
        <v>10</v>
      </c>
      <c r="Z55" s="238">
        <v>35</v>
      </c>
      <c r="AA55" s="55">
        <v>90000</v>
      </c>
      <c r="AB55" s="36">
        <f>metas[[#This Row],[Meta Individual]]/10000</f>
        <v>0</v>
      </c>
      <c r="AC55" s="290">
        <f>metas[[#This Row],[Meta Equipe]]/34000/4</f>
        <v>2.5157352941176468E-3</v>
      </c>
    </row>
    <row r="56" spans="1:29" x14ac:dyDescent="0.3">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3">
        <v>0</v>
      </c>
      <c r="R56" s="33">
        <v>0</v>
      </c>
      <c r="S56" s="54">
        <f>'Metas Quadro'!C14</f>
        <v>0</v>
      </c>
      <c r="T56" s="54">
        <f>'Metas Quadro'!C25</f>
        <v>342.14</v>
      </c>
      <c r="U56" s="54">
        <f>'Metas Quadro'!C13</f>
        <v>0</v>
      </c>
      <c r="V56" s="379">
        <v>150</v>
      </c>
      <c r="W56">
        <v>15</v>
      </c>
      <c r="X56">
        <v>12</v>
      </c>
      <c r="Y56" s="238">
        <v>10</v>
      </c>
      <c r="Z56" s="238">
        <v>35</v>
      </c>
      <c r="AA56" s="55">
        <v>90000</v>
      </c>
      <c r="AB56" s="36">
        <f>metas[[#This Row],[Meta Individual]]/10000</f>
        <v>0</v>
      </c>
      <c r="AC56" s="290">
        <f>metas[[#This Row],[Meta Equipe]]/34000/4</f>
        <v>2.5157352941176468E-3</v>
      </c>
    </row>
    <row r="57" spans="1:29" x14ac:dyDescent="0.3">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3">
        <v>1</v>
      </c>
      <c r="R57" s="33">
        <v>3</v>
      </c>
      <c r="S57" s="54">
        <f>'Metas Quadro'!C18</f>
        <v>0</v>
      </c>
      <c r="T57" s="54">
        <f>'Metas Quadro'!C25</f>
        <v>342.14</v>
      </c>
      <c r="U57" s="54">
        <f>'Metas Quadro'!C17</f>
        <v>0</v>
      </c>
      <c r="V57" s="379">
        <v>150</v>
      </c>
      <c r="W57">
        <v>15</v>
      </c>
      <c r="X57">
        <v>12</v>
      </c>
      <c r="Y57" s="238">
        <v>6.5</v>
      </c>
      <c r="Z57" s="238">
        <v>35</v>
      </c>
      <c r="AA57" s="55">
        <v>58500</v>
      </c>
      <c r="AB57" s="36">
        <f>metas[[#This Row],[Meta Individual]]/6500</f>
        <v>0</v>
      </c>
      <c r="AC57" s="290">
        <f>metas[[#This Row],[Meta Equipe]]/34000/4</f>
        <v>2.5157352941176468E-3</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3">
      <c r="U60" s="54"/>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14">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39" priority="9" operator="notEqual">
      <formula>"NÃO CUMPRIU A META INDIVIDUAL"</formula>
    </cfRule>
    <cfRule type="containsText" dxfId="38" priority="10" operator="containsText" text="NÃO CUMPRIU">
      <formula>NOT(ISERROR(SEARCH("NÃO CUMPRIU",A13)))</formula>
    </cfRule>
  </conditionalFormatting>
  <conditionalFormatting sqref="AY13:BA13">
    <cfRule type="cellIs" dxfId="37" priority="3" operator="notEqual">
      <formula>"NÃO CUMPRIU A META INDIVIDUAL"</formula>
    </cfRule>
    <cfRule type="containsText" dxfId="36" priority="4" operator="containsText" text="NÃO CUMPRIU">
      <formula>NOT(ISERROR(SEARCH("NÃO CUMPRIU",AY13)))</formula>
    </cfRule>
  </conditionalFormatting>
  <conditionalFormatting sqref="CW13:CY13">
    <cfRule type="cellIs" dxfId="35" priority="1" operator="notEqual">
      <formula>"NÃO CUMPRIU A META INDIVIDUAL"</formula>
    </cfRule>
    <cfRule type="containsText" dxfId="34"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8" t="s">
        <v>230</v>
      </c>
      <c r="D67" s="408"/>
      <c r="E67" s="408"/>
      <c r="F67" s="408"/>
      <c r="G67" s="409" t="s">
        <v>231</v>
      </c>
      <c r="H67" s="409"/>
      <c r="I67" s="409"/>
      <c r="J67" s="409"/>
      <c r="K67" s="410" t="s">
        <v>232</v>
      </c>
      <c r="L67" s="410"/>
      <c r="M67" s="410"/>
      <c r="N67" s="410"/>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11" t="s">
        <v>3389</v>
      </c>
      <c r="D75" s="411"/>
      <c r="E75" s="411"/>
      <c r="F75" s="411"/>
      <c r="G75" s="411"/>
      <c r="H75" s="411"/>
      <c r="I75" s="411"/>
      <c r="J75" s="411"/>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12" t="s">
        <v>3396</v>
      </c>
      <c r="D84" s="412"/>
      <c r="E84" s="412"/>
      <c r="F84" s="412"/>
      <c r="G84" s="412"/>
      <c r="H84" s="412"/>
      <c r="I84" s="412"/>
      <c r="J84" s="412"/>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405" t="str">
        <f>IF(J71&lt;100%,"NÃO BATEU","CUMPRIU")</f>
        <v>CUMPRIU</v>
      </c>
      <c r="J87" s="405"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7"/>
      <c r="J88" s="407"/>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405" t="str">
        <f>IF(F71&lt;100%,"NÃO BATEU","CUMPRIU")</f>
        <v>NÃO BATEU</v>
      </c>
      <c r="J92" s="405"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6"/>
      <c r="J93" s="406"/>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7"/>
      <c r="J94" s="407"/>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405" t="str">
        <f>IF(N71&lt;100%,"NÃO BATEU","CUMPRIU")</f>
        <v>CUMPRIU</v>
      </c>
      <c r="J98" s="405"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6"/>
      <c r="J99" s="406"/>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6"/>
      <c r="J100" s="406"/>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7"/>
      <c r="J101" s="407"/>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6" t="s">
        <v>3413</v>
      </c>
      <c r="E109" s="397"/>
      <c r="F109" s="398"/>
    </row>
    <row r="110" spans="3:14" ht="15.6" x14ac:dyDescent="0.3">
      <c r="D110" s="169" t="s">
        <v>2</v>
      </c>
      <c r="E110" s="399" t="s">
        <v>3414</v>
      </c>
      <c r="F110" s="400"/>
    </row>
    <row r="111" spans="3:14" ht="15.6" x14ac:dyDescent="0.3">
      <c r="D111" s="170" t="s">
        <v>3415</v>
      </c>
      <c r="E111" s="401">
        <f>M89</f>
        <v>4404.8160753828961</v>
      </c>
      <c r="F111" s="402"/>
    </row>
    <row r="112" spans="3:14" ht="15.6" x14ac:dyDescent="0.3">
      <c r="D112" s="170" t="s">
        <v>3416</v>
      </c>
      <c r="E112" s="401">
        <f>M95</f>
        <v>252.24243775806644</v>
      </c>
      <c r="F112" s="402"/>
    </row>
    <row r="113" spans="4:10" ht="16.2" thickBot="1" x14ac:dyDescent="0.35">
      <c r="D113" s="171" t="s">
        <v>40</v>
      </c>
      <c r="E113" s="403">
        <f>N102</f>
        <v>27673.744486859039</v>
      </c>
      <c r="F113" s="404"/>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33" priority="5" operator="containsText" text="CUMPRIU">
      <formula>NOT(ISERROR(SEARCH("CUMPRIU",I87)))</formula>
    </cfRule>
    <cfRule type="containsText" dxfId="32" priority="6" operator="containsText" text="NÃO">
      <formula>NOT(ISERROR(SEARCH("NÃO",I87)))</formula>
    </cfRule>
  </conditionalFormatting>
  <conditionalFormatting sqref="I92:J92">
    <cfRule type="containsText" dxfId="31" priority="3" operator="containsText" text="CUMPRIU">
      <formula>NOT(ISERROR(SEARCH("CUMPRIU",I92)))</formula>
    </cfRule>
    <cfRule type="containsText" dxfId="30" priority="4" operator="containsText" text="NÃO">
      <formula>NOT(ISERROR(SEARCH("NÃO",I92)))</formula>
    </cfRule>
  </conditionalFormatting>
  <conditionalFormatting sqref="I98:J98">
    <cfRule type="containsText" dxfId="29" priority="1" operator="containsText" text="CUMPRIU">
      <formula>NOT(ISERROR(SEARCH("CUMPRIU",I98)))</formula>
    </cfRule>
    <cfRule type="containsText" dxfId="28"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8" t="s">
        <v>230</v>
      </c>
      <c r="D44" s="408"/>
      <c r="E44" s="408"/>
      <c r="F44" s="408"/>
      <c r="G44" s="409" t="s">
        <v>231</v>
      </c>
      <c r="H44" s="409"/>
      <c r="I44" s="409"/>
      <c r="J44" s="409"/>
      <c r="K44" s="410" t="s">
        <v>232</v>
      </c>
      <c r="L44" s="410"/>
      <c r="M44" s="410"/>
      <c r="N44" s="410"/>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11" t="s">
        <v>3389</v>
      </c>
      <c r="D52" s="411"/>
      <c r="E52" s="411"/>
      <c r="F52" s="411"/>
      <c r="G52" s="411"/>
      <c r="H52" s="411"/>
      <c r="I52" s="411"/>
      <c r="J52" s="411"/>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12" t="s">
        <v>3396</v>
      </c>
      <c r="D61" s="412"/>
      <c r="E61" s="412"/>
      <c r="F61" s="412"/>
      <c r="G61" s="412"/>
      <c r="H61" s="412"/>
      <c r="I61" s="412"/>
      <c r="J61" s="412"/>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5" t="str">
        <f>IF(J48&lt;100%,"NÃO BATEU","CUMPRIU")</f>
        <v>NÃO BATEU</v>
      </c>
      <c r="J64" s="415"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5"/>
      <c r="J65" s="415"/>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5" t="str">
        <f>IF(F48&lt;100%,"NÃO BATEU","CUMPRIU")</f>
        <v>NÃO BATEU</v>
      </c>
      <c r="J69" s="415"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5"/>
      <c r="J70" s="415"/>
      <c r="K70" s="141">
        <f>E70/E84</f>
        <v>0.15412710508006758</v>
      </c>
      <c r="L70" s="142">
        <f>K70*G84</f>
        <v>0</v>
      </c>
    </row>
    <row r="71" spans="4:14" x14ac:dyDescent="0.3">
      <c r="D71" s="139" t="s">
        <v>50</v>
      </c>
      <c r="E71" s="150">
        <v>6054.41</v>
      </c>
      <c r="F71" s="151">
        <v>57.69</v>
      </c>
      <c r="G71" s="152">
        <v>0</v>
      </c>
      <c r="H71" s="140">
        <f>F71*0.1</f>
        <v>5.7690000000000001</v>
      </c>
      <c r="I71" s="415"/>
      <c r="J71" s="415"/>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5"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5"/>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5"/>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5"/>
      <c r="J78" s="415"/>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6" t="s">
        <v>3413</v>
      </c>
      <c r="E86" s="397"/>
      <c r="F86" s="398"/>
    </row>
    <row r="87" spans="4:7" ht="15.6" x14ac:dyDescent="0.3">
      <c r="D87" s="169" t="s">
        <v>2</v>
      </c>
      <c r="E87" s="399" t="s">
        <v>3414</v>
      </c>
      <c r="F87" s="400"/>
    </row>
    <row r="88" spans="4:7" ht="15.6" x14ac:dyDescent="0.3">
      <c r="D88" s="170" t="s">
        <v>3415</v>
      </c>
      <c r="E88" s="413">
        <f>M66</f>
        <v>-1052.5550000000001</v>
      </c>
      <c r="F88" s="414"/>
    </row>
    <row r="89" spans="4:7" ht="15.6" x14ac:dyDescent="0.3">
      <c r="D89" s="170" t="s">
        <v>3416</v>
      </c>
      <c r="E89" s="413">
        <f>M72</f>
        <v>-589.79300000000001</v>
      </c>
      <c r="F89" s="414"/>
    </row>
    <row r="90" spans="4:7" ht="16.2" thickBot="1" x14ac:dyDescent="0.35">
      <c r="D90" s="171" t="s">
        <v>40</v>
      </c>
      <c r="E90" s="403">
        <f>N79</f>
        <v>5417.1939999999995</v>
      </c>
      <c r="F90" s="404"/>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27" priority="5" operator="containsText" text="CUMPRIU">
      <formula>NOT(ISERROR(SEARCH("CUMPRIU",I64)))</formula>
    </cfRule>
    <cfRule type="containsText" dxfId="26" priority="6" operator="containsText" text="NÃO">
      <formula>NOT(ISERROR(SEARCH("NÃO",I64)))</formula>
    </cfRule>
  </conditionalFormatting>
  <conditionalFormatting sqref="I69:J69">
    <cfRule type="containsText" dxfId="25" priority="3" operator="containsText" text="CUMPRIU">
      <formula>NOT(ISERROR(SEARCH("CUMPRIU",I69)))</formula>
    </cfRule>
    <cfRule type="containsText" dxfId="24" priority="4" operator="containsText" text="NÃO">
      <formula>NOT(ISERROR(SEARCH("NÃO",I69)))</formula>
    </cfRule>
  </conditionalFormatting>
  <conditionalFormatting sqref="I75:J75">
    <cfRule type="containsText" dxfId="23" priority="1" operator="containsText" text="CUMPRIU">
      <formula>NOT(ISERROR(SEARCH("CUMPRIU",I75)))</formula>
    </cfRule>
    <cfRule type="containsText" dxfId="22"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2026-06-11T14:57:33Z</dcterms:modified>
</cp:coreProperties>
</file>