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3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5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sf17/Documents/Local_files_not_on_OneDrive/Research_local/Modeling_local/Excel_models/mixing-related/"/>
    </mc:Choice>
  </mc:AlternateContent>
  <xr:revisionPtr revIDLastSave="0" documentId="13_ncr:1_{CF0FF7E7-FAD3-C647-AAC7-5F25EEA5073C}" xr6:coauthVersionLast="47" xr6:coauthVersionMax="47" xr10:uidLastSave="{00000000-0000-0000-0000-000000000000}"/>
  <bookViews>
    <workbookView xWindow="0" yWindow="500" windowWidth="38400" windowHeight="23500" activeTab="1" xr2:uid="{205139D5-8337-7645-8034-A2233C7A9C9C}"/>
  </bookViews>
  <sheets>
    <sheet name="two-endmember mixing" sheetId="1" r:id="rId1"/>
    <sheet name="plot selective diss" sheetId="10" r:id="rId2"/>
    <sheet name="Morgan-Pompa solid data" sheetId="6" r:id="rId3"/>
    <sheet name="Morgan-Pompa fluid data" sheetId="7" r:id="rId4"/>
    <sheet name="Effluent data" sheetId="8" r:id="rId5"/>
    <sheet name="LFGL soil data" sheetId="4" r:id="rId6"/>
    <sheet name="H9 basalt data" sheetId="5" r:id="rId7"/>
    <sheet name="XRD_data" sheetId="9" r:id="rId8"/>
  </sheets>
  <definedNames>
    <definedName name="solver_adj" localSheetId="1" hidden="1">'plot selective diss'!$BC$39:$BF$39,'plot selective diss'!$BS$41,'plot selective diss'!$BT$41,'plot selective diss'!$BV$41,'plot selective diss'!$BU$41</definedName>
    <definedName name="solver_adj" localSheetId="0" hidden="1">'two-endmember mixing'!$BC$39:$BF$39,'two-endmember mixing'!$BS$41,'two-endmember mixing'!$BT$41,'two-endmember mixing'!$BV$41,'two-endmember mixing'!$BU$41</definedName>
    <definedName name="solver_cvg" localSheetId="1" hidden="1">0.00001</definedName>
    <definedName name="solver_cvg" localSheetId="0" hidden="1">0.00001</definedName>
    <definedName name="solver_drv" localSheetId="1" hidden="1">2</definedName>
    <definedName name="solver_drv" localSheetId="0" hidden="1">2</definedName>
    <definedName name="solver_eng" localSheetId="1" hidden="1">3</definedName>
    <definedName name="solver_eng" localSheetId="0" hidden="1">3</definedName>
    <definedName name="solver_itr" localSheetId="1" hidden="1">2147483647</definedName>
    <definedName name="solver_itr" localSheetId="0" hidden="1">2147483647</definedName>
    <definedName name="solver_lhs1" localSheetId="1" hidden="1">'plot selective diss'!$B$48</definedName>
    <definedName name="solver_lhs1" localSheetId="0" hidden="1">'two-endmember mixing'!$B$48</definedName>
    <definedName name="solver_lhs10" localSheetId="1" hidden="1">'plot selective diss'!$BP$41</definedName>
    <definedName name="solver_lhs10" localSheetId="0" hidden="1">'two-endmember mixing'!$BP$41</definedName>
    <definedName name="solver_lhs11" localSheetId="1" hidden="1">'plot selective diss'!$BP$41</definedName>
    <definedName name="solver_lhs11" localSheetId="0" hidden="1">'two-endmember mixing'!$BP$41</definedName>
    <definedName name="solver_lhs12" localSheetId="1" hidden="1">'plot selective diss'!$BR$41</definedName>
    <definedName name="solver_lhs12" localSheetId="0" hidden="1">'two-endmember mixing'!$BR$41</definedName>
    <definedName name="solver_lhs13" localSheetId="1" hidden="1">'plot selective diss'!$BR$41</definedName>
    <definedName name="solver_lhs13" localSheetId="0" hidden="1">'two-endmember mixing'!$BR$41</definedName>
    <definedName name="solver_lhs14" localSheetId="1" hidden="1">'plot selective diss'!$BS$41</definedName>
    <definedName name="solver_lhs14" localSheetId="0" hidden="1">'two-endmember mixing'!$BS$41</definedName>
    <definedName name="solver_lhs15" localSheetId="1" hidden="1">'plot selective diss'!$BS$41</definedName>
    <definedName name="solver_lhs15" localSheetId="0" hidden="1">'two-endmember mixing'!$BS$41</definedName>
    <definedName name="solver_lhs16" localSheetId="1" hidden="1">'plot selective diss'!$BT$41</definedName>
    <definedName name="solver_lhs16" localSheetId="0" hidden="1">'two-endmember mixing'!$BT$41</definedName>
    <definedName name="solver_lhs17" localSheetId="1" hidden="1">'plot selective diss'!$BT$41</definedName>
    <definedName name="solver_lhs17" localSheetId="0" hidden="1">'two-endmember mixing'!$BT$41</definedName>
    <definedName name="solver_lhs18" localSheetId="1" hidden="1">'plot selective diss'!$BU$41</definedName>
    <definedName name="solver_lhs18" localSheetId="0" hidden="1">'two-endmember mixing'!$BU$41</definedName>
    <definedName name="solver_lhs19" localSheetId="1" hidden="1">'plot selective diss'!$BU$41</definedName>
    <definedName name="solver_lhs19" localSheetId="0" hidden="1">'two-endmember mixing'!$BU$41</definedName>
    <definedName name="solver_lhs2" localSheetId="1" hidden="1">'plot selective diss'!$B$48</definedName>
    <definedName name="solver_lhs2" localSheetId="0" hidden="1">'two-endmember mixing'!$B$48</definedName>
    <definedName name="solver_lhs20" localSheetId="1" hidden="1">'plot selective diss'!$BV$41</definedName>
    <definedName name="solver_lhs20" localSheetId="0" hidden="1">'two-endmember mixing'!$BV$41</definedName>
    <definedName name="solver_lhs21" localSheetId="1" hidden="1">'plot selective diss'!$BV$41</definedName>
    <definedName name="solver_lhs21" localSheetId="0" hidden="1">'two-endmember mixing'!$BV$41</definedName>
    <definedName name="solver_lhs22" localSheetId="1" hidden="1">'plot selective diss'!$C$48</definedName>
    <definedName name="solver_lhs22" localSheetId="0" hidden="1">'two-endmember mixing'!$C$48</definedName>
    <definedName name="solver_lhs23" localSheetId="1" hidden="1">'plot selective diss'!$C$48</definedName>
    <definedName name="solver_lhs23" localSheetId="0" hidden="1">'two-endmember mixing'!$C$48</definedName>
    <definedName name="solver_lhs24" localSheetId="1" hidden="1">'plot selective diss'!$D$48</definedName>
    <definedName name="solver_lhs24" localSheetId="0" hidden="1">'two-endmember mixing'!$D$48</definedName>
    <definedName name="solver_lhs25" localSheetId="1" hidden="1">'plot selective diss'!$D$48</definedName>
    <definedName name="solver_lhs25" localSheetId="0" hidden="1">'two-endmember mixing'!$D$48</definedName>
    <definedName name="solver_lhs26" localSheetId="1" hidden="1">'plot selective diss'!$D$60</definedName>
    <definedName name="solver_lhs26" localSheetId="0" hidden="1">'two-endmember mixing'!$D$60</definedName>
    <definedName name="solver_lhs27" localSheetId="1" hidden="1">'plot selective diss'!$D$60</definedName>
    <definedName name="solver_lhs27" localSheetId="0" hidden="1">'two-endmember mixing'!$D$60</definedName>
    <definedName name="solver_lhs28" localSheetId="1" hidden="1">'plot selective diss'!$E$62</definedName>
    <definedName name="solver_lhs28" localSheetId="0" hidden="1">'two-endmember mixing'!$E$62</definedName>
    <definedName name="solver_lhs29" localSheetId="1" hidden="1">'plot selective diss'!$E$62</definedName>
    <definedName name="solver_lhs29" localSheetId="0" hidden="1">'two-endmember mixing'!$E$62</definedName>
    <definedName name="solver_lhs3" localSheetId="1" hidden="1">'plot selective diss'!$BC$39</definedName>
    <definedName name="solver_lhs3" localSheetId="0" hidden="1">'two-endmember mixing'!$BC$39</definedName>
    <definedName name="solver_lhs30" localSheetId="1" hidden="1">'plot selective diss'!$E$63</definedName>
    <definedName name="solver_lhs30" localSheetId="0" hidden="1">'two-endmember mixing'!$E$63</definedName>
    <definedName name="solver_lhs31" localSheetId="1" hidden="1">'plot selective diss'!$E$63</definedName>
    <definedName name="solver_lhs31" localSheetId="0" hidden="1">'two-endmember mixing'!$E$63</definedName>
    <definedName name="solver_lhs32" localSheetId="1" hidden="1">'plot selective diss'!$E$63</definedName>
    <definedName name="solver_lhs32" localSheetId="0" hidden="1">'two-endmember mixing'!$E$63</definedName>
    <definedName name="solver_lhs33" localSheetId="1" hidden="1">'plot selective diss'!$E$63</definedName>
    <definedName name="solver_lhs33" localSheetId="0" hidden="1">'two-endmember mixing'!$E$63</definedName>
    <definedName name="solver_lhs34" localSheetId="1" hidden="1">'plot selective diss'!$E$66</definedName>
    <definedName name="solver_lhs34" localSheetId="0" hidden="1">'two-endmember mixing'!$E$66</definedName>
    <definedName name="solver_lhs35" localSheetId="1" hidden="1">'plot selective diss'!$E$66</definedName>
    <definedName name="solver_lhs35" localSheetId="0" hidden="1">'two-endmember mixing'!$E$66</definedName>
    <definedName name="solver_lhs4" localSheetId="1" hidden="1">'plot selective diss'!$BC$39</definedName>
    <definedName name="solver_lhs4" localSheetId="0" hidden="1">'two-endmember mixing'!$BC$39</definedName>
    <definedName name="solver_lhs5" localSheetId="1" hidden="1">'plot selective diss'!$BD$39</definedName>
    <definedName name="solver_lhs5" localSheetId="0" hidden="1">'two-endmember mixing'!$BD$39</definedName>
    <definedName name="solver_lhs6" localSheetId="1" hidden="1">'plot selective diss'!$BD$39</definedName>
    <definedName name="solver_lhs6" localSheetId="0" hidden="1">'two-endmember mixing'!$BD$39</definedName>
    <definedName name="solver_lhs7" localSheetId="1" hidden="1">'plot selective diss'!$BE$39</definedName>
    <definedName name="solver_lhs7" localSheetId="0" hidden="1">'two-endmember mixing'!$BE$39</definedName>
    <definedName name="solver_lhs8" localSheetId="1" hidden="1">'plot selective diss'!$BE$39</definedName>
    <definedName name="solver_lhs8" localSheetId="0" hidden="1">'two-endmember mixing'!$BE$39</definedName>
    <definedName name="solver_lhs9" localSheetId="1" hidden="1">'plot selective diss'!$BF$39</definedName>
    <definedName name="solver_lhs9" localSheetId="0" hidden="1">'two-endmember mixing'!$BF$39</definedName>
    <definedName name="solver_lin" localSheetId="1" hidden="1">2</definedName>
    <definedName name="solver_lin" localSheetId="0" hidden="1">2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35</definedName>
    <definedName name="solver_num" localSheetId="0" hidden="1">35</definedName>
    <definedName name="solver_opt" localSheetId="1" hidden="1">'plot selective diss'!$H$42</definedName>
    <definedName name="solver_opt" localSheetId="0" hidden="1">'two-endmember mixing'!$H$42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10" localSheetId="1" hidden="1">1</definedName>
    <definedName name="solver_rel10" localSheetId="0" hidden="1">1</definedName>
    <definedName name="solver_rel11" localSheetId="1" hidden="1">3</definedName>
    <definedName name="solver_rel11" localSheetId="0" hidden="1">3</definedName>
    <definedName name="solver_rel12" localSheetId="1" hidden="1">1</definedName>
    <definedName name="solver_rel12" localSheetId="0" hidden="1">1</definedName>
    <definedName name="solver_rel13" localSheetId="1" hidden="1">3</definedName>
    <definedName name="solver_rel13" localSheetId="0" hidden="1">3</definedName>
    <definedName name="solver_rel14" localSheetId="1" hidden="1">1</definedName>
    <definedName name="solver_rel14" localSheetId="0" hidden="1">1</definedName>
    <definedName name="solver_rel15" localSheetId="1" hidden="1">3</definedName>
    <definedName name="solver_rel15" localSheetId="0" hidden="1">3</definedName>
    <definedName name="solver_rel16" localSheetId="1" hidden="1">1</definedName>
    <definedName name="solver_rel16" localSheetId="0" hidden="1">1</definedName>
    <definedName name="solver_rel17" localSheetId="1" hidden="1">3</definedName>
    <definedName name="solver_rel17" localSheetId="0" hidden="1">3</definedName>
    <definedName name="solver_rel18" localSheetId="1" hidden="1">1</definedName>
    <definedName name="solver_rel18" localSheetId="0" hidden="1">1</definedName>
    <definedName name="solver_rel19" localSheetId="1" hidden="1">3</definedName>
    <definedName name="solver_rel19" localSheetId="0" hidden="1">3</definedName>
    <definedName name="solver_rel2" localSheetId="1" hidden="1">3</definedName>
    <definedName name="solver_rel2" localSheetId="0" hidden="1">3</definedName>
    <definedName name="solver_rel20" localSheetId="1" hidden="1">1</definedName>
    <definedName name="solver_rel20" localSheetId="0" hidden="1">1</definedName>
    <definedName name="solver_rel21" localSheetId="1" hidden="1">3</definedName>
    <definedName name="solver_rel21" localSheetId="0" hidden="1">3</definedName>
    <definedName name="solver_rel22" localSheetId="1" hidden="1">1</definedName>
    <definedName name="solver_rel22" localSheetId="0" hidden="1">1</definedName>
    <definedName name="solver_rel23" localSheetId="1" hidden="1">3</definedName>
    <definedName name="solver_rel23" localSheetId="0" hidden="1">3</definedName>
    <definedName name="solver_rel24" localSheetId="1" hidden="1">1</definedName>
    <definedName name="solver_rel24" localSheetId="0" hidden="1">1</definedName>
    <definedName name="solver_rel25" localSheetId="1" hidden="1">3</definedName>
    <definedName name="solver_rel25" localSheetId="0" hidden="1">3</definedName>
    <definedName name="solver_rel26" localSheetId="1" hidden="1">1</definedName>
    <definedName name="solver_rel26" localSheetId="0" hidden="1">1</definedName>
    <definedName name="solver_rel27" localSheetId="1" hidden="1">3</definedName>
    <definedName name="solver_rel27" localSheetId="0" hidden="1">3</definedName>
    <definedName name="solver_rel28" localSheetId="1" hidden="1">1</definedName>
    <definedName name="solver_rel28" localSheetId="0" hidden="1">1</definedName>
    <definedName name="solver_rel29" localSheetId="1" hidden="1">3</definedName>
    <definedName name="solver_rel29" localSheetId="0" hidden="1">3</definedName>
    <definedName name="solver_rel3" localSheetId="1" hidden="1">1</definedName>
    <definedName name="solver_rel3" localSheetId="0" hidden="1">1</definedName>
    <definedName name="solver_rel30" localSheetId="1" hidden="1">1</definedName>
    <definedName name="solver_rel30" localSheetId="0" hidden="1">1</definedName>
    <definedName name="solver_rel31" localSheetId="1" hidden="1">1</definedName>
    <definedName name="solver_rel31" localSheetId="0" hidden="1">1</definedName>
    <definedName name="solver_rel32" localSheetId="1" hidden="1">3</definedName>
    <definedName name="solver_rel32" localSheetId="0" hidden="1">3</definedName>
    <definedName name="solver_rel33" localSheetId="1" hidden="1">3</definedName>
    <definedName name="solver_rel33" localSheetId="0" hidden="1">3</definedName>
    <definedName name="solver_rel34" localSheetId="1" hidden="1">1</definedName>
    <definedName name="solver_rel34" localSheetId="0" hidden="1">1</definedName>
    <definedName name="solver_rel35" localSheetId="1" hidden="1">3</definedName>
    <definedName name="solver_rel35" localSheetId="0" hidden="1">3</definedName>
    <definedName name="solver_rel4" localSheetId="1" hidden="1">3</definedName>
    <definedName name="solver_rel4" localSheetId="0" hidden="1">3</definedName>
    <definedName name="solver_rel5" localSheetId="1" hidden="1">1</definedName>
    <definedName name="solver_rel5" localSheetId="0" hidden="1">1</definedName>
    <definedName name="solver_rel6" localSheetId="1" hidden="1">3</definedName>
    <definedName name="solver_rel6" localSheetId="0" hidden="1">3</definedName>
    <definedName name="solver_rel7" localSheetId="1" hidden="1">1</definedName>
    <definedName name="solver_rel7" localSheetId="0" hidden="1">1</definedName>
    <definedName name="solver_rel8" localSheetId="1" hidden="1">3</definedName>
    <definedName name="solver_rel8" localSheetId="0" hidden="1">3</definedName>
    <definedName name="solver_rel9" localSheetId="1" hidden="1">3</definedName>
    <definedName name="solver_rel9" localSheetId="0" hidden="1">3</definedName>
    <definedName name="solver_rhs1" localSheetId="1" hidden="1">1</definedName>
    <definedName name="solver_rhs1" localSheetId="0" hidden="1">1</definedName>
    <definedName name="solver_rhs10" localSheetId="1" hidden="1">1</definedName>
    <definedName name="solver_rhs10" localSheetId="0" hidden="1">1</definedName>
    <definedName name="solver_rhs11" localSheetId="1" hidden="1">0</definedName>
    <definedName name="solver_rhs11" localSheetId="0" hidden="1">0</definedName>
    <definedName name="solver_rhs12" localSheetId="1" hidden="1">1</definedName>
    <definedName name="solver_rhs12" localSheetId="0" hidden="1">1</definedName>
    <definedName name="solver_rhs13" localSheetId="1" hidden="1">0</definedName>
    <definedName name="solver_rhs13" localSheetId="0" hidden="1">0</definedName>
    <definedName name="solver_rhs14" localSheetId="1" hidden="1">1</definedName>
    <definedName name="solver_rhs14" localSheetId="0" hidden="1">1</definedName>
    <definedName name="solver_rhs15" localSheetId="1" hidden="1">0</definedName>
    <definedName name="solver_rhs15" localSheetId="0" hidden="1">0</definedName>
    <definedName name="solver_rhs16" localSheetId="1" hidden="1">1</definedName>
    <definedName name="solver_rhs16" localSheetId="0" hidden="1">1</definedName>
    <definedName name="solver_rhs17" localSheetId="1" hidden="1">0</definedName>
    <definedName name="solver_rhs17" localSheetId="0" hidden="1">0</definedName>
    <definedName name="solver_rhs18" localSheetId="1" hidden="1">1</definedName>
    <definedName name="solver_rhs18" localSheetId="0" hidden="1">1</definedName>
    <definedName name="solver_rhs19" localSheetId="1" hidden="1">0</definedName>
    <definedName name="solver_rhs19" localSheetId="0" hidden="1">0</definedName>
    <definedName name="solver_rhs2" localSheetId="1" hidden="1">0.05</definedName>
    <definedName name="solver_rhs2" localSheetId="0" hidden="1">0.05</definedName>
    <definedName name="solver_rhs20" localSheetId="1" hidden="1">1</definedName>
    <definedName name="solver_rhs20" localSheetId="0" hidden="1">1</definedName>
    <definedName name="solver_rhs21" localSheetId="1" hidden="1">0</definedName>
    <definedName name="solver_rhs21" localSheetId="0" hidden="1">0</definedName>
    <definedName name="solver_rhs22" localSheetId="1" hidden="1">1</definedName>
    <definedName name="solver_rhs22" localSheetId="0" hidden="1">1</definedName>
    <definedName name="solver_rhs23" localSheetId="1" hidden="1">0</definedName>
    <definedName name="solver_rhs23" localSheetId="0" hidden="1">0</definedName>
    <definedName name="solver_rhs24" localSheetId="1" hidden="1">0.03</definedName>
    <definedName name="solver_rhs24" localSheetId="0" hidden="1">0.03</definedName>
    <definedName name="solver_rhs25" localSheetId="1" hidden="1">0.001</definedName>
    <definedName name="solver_rhs25" localSheetId="0" hidden="1">0.001</definedName>
    <definedName name="solver_rhs26" localSheetId="1" hidden="1">1</definedName>
    <definedName name="solver_rhs26" localSheetId="0" hidden="1">1</definedName>
    <definedName name="solver_rhs27" localSheetId="1" hidden="1">0</definedName>
    <definedName name="solver_rhs27" localSheetId="0" hidden="1">0</definedName>
    <definedName name="solver_rhs28" localSheetId="1" hidden="1">1</definedName>
    <definedName name="solver_rhs28" localSheetId="0" hidden="1">1</definedName>
    <definedName name="solver_rhs29" localSheetId="1" hidden="1">0</definedName>
    <definedName name="solver_rhs29" localSheetId="0" hidden="1">0</definedName>
    <definedName name="solver_rhs3" localSheetId="1" hidden="1">1</definedName>
    <definedName name="solver_rhs3" localSheetId="0" hidden="1">1</definedName>
    <definedName name="solver_rhs30" localSheetId="1" hidden="1">3</definedName>
    <definedName name="solver_rhs30" localSheetId="0" hidden="1">3</definedName>
    <definedName name="solver_rhs31" localSheetId="1" hidden="1">3</definedName>
    <definedName name="solver_rhs31" localSheetId="0" hidden="1">3</definedName>
    <definedName name="solver_rhs32" localSheetId="1" hidden="1">0</definedName>
    <definedName name="solver_rhs32" localSheetId="0" hidden="1">0</definedName>
    <definedName name="solver_rhs33" localSheetId="1" hidden="1">2</definedName>
    <definedName name="solver_rhs33" localSheetId="0" hidden="1">2</definedName>
    <definedName name="solver_rhs34" localSheetId="1" hidden="1">1</definedName>
    <definedName name="solver_rhs34" localSheetId="0" hidden="1">1</definedName>
    <definedName name="solver_rhs35" localSheetId="1" hidden="1">0</definedName>
    <definedName name="solver_rhs35" localSheetId="0" hidden="1">0</definedName>
    <definedName name="solver_rhs4" localSheetId="1" hidden="1">0</definedName>
    <definedName name="solver_rhs4" localSheetId="0" hidden="1">0</definedName>
    <definedName name="solver_rhs5" localSheetId="1" hidden="1">1</definedName>
    <definedName name="solver_rhs5" localSheetId="0" hidden="1">1</definedName>
    <definedName name="solver_rhs6" localSheetId="1" hidden="1">0</definedName>
    <definedName name="solver_rhs6" localSheetId="0" hidden="1">0</definedName>
    <definedName name="solver_rhs7" localSheetId="1" hidden="1">1</definedName>
    <definedName name="solver_rhs7" localSheetId="0" hidden="1">1</definedName>
    <definedName name="solver_rhs8" localSheetId="1" hidden="1">0</definedName>
    <definedName name="solver_rhs8" localSheetId="0" hidden="1">0</definedName>
    <definedName name="solver_rhs9" localSheetId="1" hidden="1">0</definedName>
    <definedName name="solver_rhs9" localSheetId="0" hidden="1">0</definedName>
    <definedName name="solver_rlx" localSheetId="1" hidden="1">1</definedName>
    <definedName name="solver_rlx" localSheetId="0" hidden="1">1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2</definedName>
    <definedName name="solver_ver" localSheetId="0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43" i="10" l="1"/>
  <c r="BG43" i="10"/>
  <c r="BD134" i="10"/>
  <c r="BD133" i="10"/>
  <c r="BD102" i="10"/>
  <c r="BD101" i="10"/>
  <c r="BD70" i="10"/>
  <c r="BD69" i="10"/>
  <c r="AX175" i="10"/>
  <c r="AV182" i="10"/>
  <c r="AV183" i="10"/>
  <c r="E48" i="10"/>
  <c r="BF72" i="10" s="1"/>
  <c r="BF95" i="10" s="1"/>
  <c r="D48" i="10"/>
  <c r="C48" i="10"/>
  <c r="B48" i="10"/>
  <c r="AV174" i="10"/>
  <c r="AW174" i="10"/>
  <c r="AX174" i="10"/>
  <c r="AU174" i="10"/>
  <c r="AX172" i="10"/>
  <c r="AV171" i="10"/>
  <c r="AV170" i="10"/>
  <c r="AV169" i="10"/>
  <c r="AV168" i="10"/>
  <c r="AV167" i="10"/>
  <c r="AV166" i="10"/>
  <c r="AV165" i="10"/>
  <c r="AV164" i="10"/>
  <c r="BE136" i="10"/>
  <c r="BE159" i="10" s="1"/>
  <c r="BD136" i="10"/>
  <c r="BD159" i="10" s="1"/>
  <c r="BD143" i="10" s="1"/>
  <c r="BC136" i="10"/>
  <c r="BC159" i="10" s="1"/>
  <c r="BC156" i="10" s="1"/>
  <c r="BV135" i="10"/>
  <c r="BU135" i="10"/>
  <c r="BT135" i="10"/>
  <c r="BS135" i="10"/>
  <c r="BR135" i="10"/>
  <c r="BP135" i="10"/>
  <c r="BE104" i="10"/>
  <c r="BE127" i="10" s="1"/>
  <c r="BE113" i="10" s="1"/>
  <c r="BD104" i="10"/>
  <c r="BD127" i="10" s="1"/>
  <c r="BC104" i="10"/>
  <c r="BC127" i="10" s="1"/>
  <c r="BC123" i="10" s="1"/>
  <c r="BC83" i="10"/>
  <c r="BD83" i="10"/>
  <c r="BD90" i="10"/>
  <c r="BC91" i="10"/>
  <c r="BV103" i="10"/>
  <c r="BU103" i="10"/>
  <c r="BT103" i="10"/>
  <c r="BS103" i="10"/>
  <c r="BR103" i="10"/>
  <c r="BP103" i="10"/>
  <c r="BE95" i="10"/>
  <c r="BE81" i="10" s="1"/>
  <c r="BF40" i="1"/>
  <c r="BE40" i="1"/>
  <c r="BD40" i="1"/>
  <c r="BC40" i="1"/>
  <c r="BE72" i="10"/>
  <c r="BD72" i="10"/>
  <c r="BD95" i="10" s="1"/>
  <c r="BD84" i="10" s="1"/>
  <c r="BC72" i="10"/>
  <c r="BC95" i="10" s="1"/>
  <c r="BC89" i="10" s="1"/>
  <c r="BE40" i="10"/>
  <c r="BD40" i="10"/>
  <c r="BD63" i="10" s="1"/>
  <c r="BD57" i="10" s="1"/>
  <c r="BC40" i="10"/>
  <c r="BV71" i="10"/>
  <c r="BU71" i="10"/>
  <c r="BT71" i="10"/>
  <c r="BS71" i="10"/>
  <c r="BR71" i="10"/>
  <c r="BP71" i="10"/>
  <c r="E65" i="10"/>
  <c r="E64" i="10"/>
  <c r="E58" i="10"/>
  <c r="E51" i="10" s="1"/>
  <c r="D58" i="10"/>
  <c r="D54" i="10" s="1"/>
  <c r="C57" i="10"/>
  <c r="B57" i="10"/>
  <c r="C56" i="10"/>
  <c r="B56" i="10"/>
  <c r="D55" i="10"/>
  <c r="C55" i="10"/>
  <c r="B55" i="10"/>
  <c r="C54" i="10"/>
  <c r="B54" i="10"/>
  <c r="BC53" i="10"/>
  <c r="C53" i="10"/>
  <c r="B53" i="10"/>
  <c r="BE52" i="10"/>
  <c r="E52" i="10"/>
  <c r="C52" i="10"/>
  <c r="B52" i="10"/>
  <c r="C51" i="10"/>
  <c r="B51" i="10"/>
  <c r="C50" i="10"/>
  <c r="B50" i="10"/>
  <c r="F48" i="10"/>
  <c r="E41" i="10"/>
  <c r="D41" i="10"/>
  <c r="C41" i="10"/>
  <c r="BE63" i="10"/>
  <c r="BE57" i="10" s="1"/>
  <c r="BC63" i="10"/>
  <c r="BC49" i="10" s="1"/>
  <c r="E40" i="10"/>
  <c r="D40" i="10"/>
  <c r="C40" i="10"/>
  <c r="BV39" i="10"/>
  <c r="BU39" i="10"/>
  <c r="BT39" i="10"/>
  <c r="BS39" i="10"/>
  <c r="BR39" i="10"/>
  <c r="BP39" i="10"/>
  <c r="D39" i="10"/>
  <c r="C39" i="10"/>
  <c r="E39" i="10" s="1"/>
  <c r="E38" i="10"/>
  <c r="D38" i="10"/>
  <c r="C38" i="10"/>
  <c r="D37" i="10"/>
  <c r="C37" i="10"/>
  <c r="E37" i="10" s="1"/>
  <c r="D36" i="10"/>
  <c r="C36" i="10"/>
  <c r="E36" i="10" s="1"/>
  <c r="E35" i="10"/>
  <c r="D35" i="10"/>
  <c r="C35" i="10"/>
  <c r="P34" i="10"/>
  <c r="K34" i="10"/>
  <c r="L34" i="10" s="1"/>
  <c r="M34" i="10" s="1"/>
  <c r="J34" i="10"/>
  <c r="E34" i="10"/>
  <c r="D34" i="10"/>
  <c r="C34" i="10"/>
  <c r="BC33" i="10"/>
  <c r="J33" i="10"/>
  <c r="T32" i="10"/>
  <c r="R32" i="10"/>
  <c r="J32" i="10"/>
  <c r="K32" i="10" s="1"/>
  <c r="L32" i="10" s="1"/>
  <c r="M32" i="10" s="1"/>
  <c r="N31" i="10"/>
  <c r="L31" i="10"/>
  <c r="M31" i="10" s="1"/>
  <c r="K31" i="10"/>
  <c r="J31" i="10"/>
  <c r="T31" i="10" s="1"/>
  <c r="Q30" i="10"/>
  <c r="M30" i="10"/>
  <c r="J30" i="10"/>
  <c r="K30" i="10" s="1"/>
  <c r="L30" i="10" s="1"/>
  <c r="J29" i="10"/>
  <c r="J28" i="10"/>
  <c r="O27" i="10"/>
  <c r="N27" i="10"/>
  <c r="L27" i="10"/>
  <c r="M27" i="10" s="1"/>
  <c r="J27" i="10"/>
  <c r="K27" i="10" s="1"/>
  <c r="T26" i="10"/>
  <c r="R26" i="10"/>
  <c r="Q26" i="10"/>
  <c r="N26" i="10"/>
  <c r="K26" i="10"/>
  <c r="L26" i="10" s="1"/>
  <c r="M26" i="10" s="1"/>
  <c r="J26" i="10"/>
  <c r="J25" i="10"/>
  <c r="K25" i="10" s="1"/>
  <c r="L25" i="10" s="1"/>
  <c r="M25" i="10" s="1"/>
  <c r="BE24" i="10"/>
  <c r="R24" i="10"/>
  <c r="Q24" i="10"/>
  <c r="P24" i="10"/>
  <c r="O24" i="10"/>
  <c r="J24" i="10"/>
  <c r="K24" i="10" s="1"/>
  <c r="L24" i="10" s="1"/>
  <c r="M24" i="10" s="1"/>
  <c r="T23" i="10"/>
  <c r="R23" i="10"/>
  <c r="Q23" i="10"/>
  <c r="O23" i="10"/>
  <c r="N23" i="10"/>
  <c r="K23" i="10"/>
  <c r="L23" i="10" s="1"/>
  <c r="M23" i="10" s="1"/>
  <c r="J23" i="10"/>
  <c r="K22" i="10"/>
  <c r="T22" i="10" s="1"/>
  <c r="J22" i="10"/>
  <c r="D22" i="10"/>
  <c r="J21" i="10"/>
  <c r="BE20" i="10"/>
  <c r="S20" i="10"/>
  <c r="J20" i="10"/>
  <c r="K20" i="10" s="1"/>
  <c r="D20" i="10"/>
  <c r="P31" i="10" s="1"/>
  <c r="O19" i="10"/>
  <c r="N19" i="10"/>
  <c r="L19" i="10"/>
  <c r="M19" i="10" s="1"/>
  <c r="K19" i="10"/>
  <c r="T19" i="10" s="1"/>
  <c r="J19" i="10"/>
  <c r="D19" i="10"/>
  <c r="BE18" i="10"/>
  <c r="J18" i="10"/>
  <c r="G18" i="10"/>
  <c r="D18" i="10"/>
  <c r="J17" i="10"/>
  <c r="D17" i="10"/>
  <c r="T34" i="10" s="1"/>
  <c r="BE16" i="10"/>
  <c r="K16" i="10"/>
  <c r="J16" i="10"/>
  <c r="D16" i="10"/>
  <c r="J15" i="10"/>
  <c r="D15" i="10"/>
  <c r="U14" i="10"/>
  <c r="L14" i="10"/>
  <c r="M14" i="10" s="1"/>
  <c r="K14" i="10"/>
  <c r="J14" i="10"/>
  <c r="D14" i="10"/>
  <c r="BK13" i="10"/>
  <c r="BJ13" i="10"/>
  <c r="BG13" i="10"/>
  <c r="M13" i="10"/>
  <c r="J13" i="10"/>
  <c r="D13" i="10"/>
  <c r="BV7" i="10"/>
  <c r="BU7" i="10"/>
  <c r="BL13" i="10" s="1"/>
  <c r="BT7" i="10"/>
  <c r="BS7" i="10"/>
  <c r="BR7" i="10"/>
  <c r="BP7" i="10"/>
  <c r="BD7" i="10"/>
  <c r="BD6" i="10"/>
  <c r="F48" i="1"/>
  <c r="G51" i="1"/>
  <c r="G52" i="1"/>
  <c r="G53" i="1"/>
  <c r="G54" i="1"/>
  <c r="G55" i="1"/>
  <c r="G56" i="1"/>
  <c r="G57" i="1"/>
  <c r="G50" i="1"/>
  <c r="D14" i="1"/>
  <c r="D15" i="1"/>
  <c r="D16" i="1"/>
  <c r="D17" i="1"/>
  <c r="D18" i="1"/>
  <c r="D19" i="1"/>
  <c r="D20" i="1"/>
  <c r="D13" i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K61" i="5"/>
  <c r="K68" i="5"/>
  <c r="M68" i="5"/>
  <c r="L68" i="5"/>
  <c r="L71" i="5" s="1"/>
  <c r="J68" i="5"/>
  <c r="I68" i="5"/>
  <c r="H68" i="5"/>
  <c r="G68" i="5"/>
  <c r="F68" i="5"/>
  <c r="E68" i="5"/>
  <c r="D68" i="5"/>
  <c r="O63" i="5"/>
  <c r="M69" i="5"/>
  <c r="L69" i="5"/>
  <c r="K69" i="5"/>
  <c r="J69" i="5"/>
  <c r="I69" i="5"/>
  <c r="H69" i="5"/>
  <c r="G69" i="5"/>
  <c r="F69" i="5"/>
  <c r="B53" i="1" s="1"/>
  <c r="E69" i="5"/>
  <c r="D69" i="5"/>
  <c r="D72" i="5" s="1"/>
  <c r="D75" i="5" s="1"/>
  <c r="D78" i="5" s="1"/>
  <c r="O66" i="5"/>
  <c r="BE63" i="1"/>
  <c r="BE62" i="1" s="1"/>
  <c r="BE65" i="1" s="1"/>
  <c r="BC63" i="1"/>
  <c r="BC62" i="1" s="1"/>
  <c r="BC65" i="1" s="1"/>
  <c r="M62" i="5"/>
  <c r="L62" i="5"/>
  <c r="J62" i="5"/>
  <c r="I62" i="5"/>
  <c r="H62" i="5"/>
  <c r="G62" i="5"/>
  <c r="F62" i="5"/>
  <c r="E62" i="5"/>
  <c r="D62" i="5"/>
  <c r="D61" i="5"/>
  <c r="M65" i="5"/>
  <c r="L65" i="5"/>
  <c r="K65" i="5"/>
  <c r="J65" i="5"/>
  <c r="I65" i="5"/>
  <c r="H65" i="5"/>
  <c r="G65" i="5"/>
  <c r="F65" i="5"/>
  <c r="E65" i="5"/>
  <c r="D65" i="5"/>
  <c r="O65" i="5" s="1"/>
  <c r="E61" i="5"/>
  <c r="O61" i="5" s="1"/>
  <c r="F61" i="5"/>
  <c r="G61" i="5"/>
  <c r="H61" i="5"/>
  <c r="I61" i="5"/>
  <c r="J61" i="5"/>
  <c r="L61" i="5"/>
  <c r="M61" i="5"/>
  <c r="E64" i="5"/>
  <c r="O64" i="5" s="1"/>
  <c r="F64" i="5"/>
  <c r="G64" i="5"/>
  <c r="H64" i="5"/>
  <c r="I64" i="5"/>
  <c r="J64" i="5"/>
  <c r="K64" i="5"/>
  <c r="L64" i="5"/>
  <c r="M64" i="5"/>
  <c r="D64" i="5"/>
  <c r="D58" i="1"/>
  <c r="D54" i="1" s="1"/>
  <c r="BV39" i="1"/>
  <c r="BU39" i="1"/>
  <c r="BT39" i="1"/>
  <c r="BS39" i="1"/>
  <c r="BR39" i="1"/>
  <c r="BP39" i="1"/>
  <c r="E65" i="1"/>
  <c r="E64" i="1"/>
  <c r="E48" i="1"/>
  <c r="BC139" i="10" l="1"/>
  <c r="BC154" i="10"/>
  <c r="BD86" i="10"/>
  <c r="BD85" i="10"/>
  <c r="BC150" i="10"/>
  <c r="BC148" i="10"/>
  <c r="BC144" i="10"/>
  <c r="BE117" i="10"/>
  <c r="BE110" i="10"/>
  <c r="BC152" i="10"/>
  <c r="BC158" i="10"/>
  <c r="BC143" i="10"/>
  <c r="BL143" i="10" s="1"/>
  <c r="BE109" i="10"/>
  <c r="BE126" i="10"/>
  <c r="BE129" i="10" s="1"/>
  <c r="BE125" i="10"/>
  <c r="BD157" i="10"/>
  <c r="BE118" i="10"/>
  <c r="BE83" i="10"/>
  <c r="BE88" i="10"/>
  <c r="BD79" i="10"/>
  <c r="BD94" i="10"/>
  <c r="BD87" i="10"/>
  <c r="BE78" i="10"/>
  <c r="BD93" i="10"/>
  <c r="BE92" i="10"/>
  <c r="BD92" i="10"/>
  <c r="BE84" i="10"/>
  <c r="BE144" i="10"/>
  <c r="BE150" i="10"/>
  <c r="BE141" i="10"/>
  <c r="BE157" i="10"/>
  <c r="BE148" i="10"/>
  <c r="BE145" i="10"/>
  <c r="BE151" i="10"/>
  <c r="BE156" i="10"/>
  <c r="BE147" i="10"/>
  <c r="BE153" i="10"/>
  <c r="BE158" i="10"/>
  <c r="BE161" i="10" s="1"/>
  <c r="BE140" i="10"/>
  <c r="BE146" i="10"/>
  <c r="BE152" i="10"/>
  <c r="BE142" i="10"/>
  <c r="BE143" i="10"/>
  <c r="BE149" i="10"/>
  <c r="BE154" i="10"/>
  <c r="BE139" i="10"/>
  <c r="BE155" i="10"/>
  <c r="BE44" i="10"/>
  <c r="BE85" i="10"/>
  <c r="BE80" i="10"/>
  <c r="BE120" i="10"/>
  <c r="BE112" i="10"/>
  <c r="BE93" i="10"/>
  <c r="BE89" i="10"/>
  <c r="BE79" i="10"/>
  <c r="BE107" i="10"/>
  <c r="BE119" i="10"/>
  <c r="BE111" i="10"/>
  <c r="BE77" i="10"/>
  <c r="BE108" i="10"/>
  <c r="BE91" i="10"/>
  <c r="BE76" i="10"/>
  <c r="BE123" i="10"/>
  <c r="BE115" i="10"/>
  <c r="BE87" i="10"/>
  <c r="BE124" i="10"/>
  <c r="BE75" i="10"/>
  <c r="BE86" i="10"/>
  <c r="BE82" i="10"/>
  <c r="BE122" i="10"/>
  <c r="BE114" i="10"/>
  <c r="BE116" i="10"/>
  <c r="BE94" i="10"/>
  <c r="BE90" i="10"/>
  <c r="BE121" i="10"/>
  <c r="BD108" i="10"/>
  <c r="BD113" i="10"/>
  <c r="BD117" i="10"/>
  <c r="BD121" i="10"/>
  <c r="BD109" i="10"/>
  <c r="BD125" i="10"/>
  <c r="BD115" i="10"/>
  <c r="BD123" i="10"/>
  <c r="BD111" i="10"/>
  <c r="BD119" i="10"/>
  <c r="BD155" i="10"/>
  <c r="BD80" i="10"/>
  <c r="BD76" i="10"/>
  <c r="BD146" i="10"/>
  <c r="BD149" i="10"/>
  <c r="BD142" i="10"/>
  <c r="BD148" i="10"/>
  <c r="J51" i="10"/>
  <c r="BD89" i="10"/>
  <c r="BL89" i="10" s="1"/>
  <c r="BD82" i="10"/>
  <c r="BD78" i="10"/>
  <c r="BF104" i="10"/>
  <c r="BF127" i="10" s="1"/>
  <c r="BF113" i="10" s="1"/>
  <c r="BD154" i="10"/>
  <c r="BD151" i="10"/>
  <c r="BD144" i="10"/>
  <c r="BL144" i="10" s="1"/>
  <c r="BD141" i="10"/>
  <c r="BD158" i="10"/>
  <c r="BD161" i="10" s="1"/>
  <c r="H54" i="10"/>
  <c r="BU69" i="10" s="1"/>
  <c r="BD75" i="10"/>
  <c r="BD81" i="10"/>
  <c r="BD77" i="10"/>
  <c r="BD150" i="10"/>
  <c r="BD147" i="10"/>
  <c r="BD140" i="10"/>
  <c r="BD152" i="10"/>
  <c r="BD145" i="10"/>
  <c r="BD91" i="10"/>
  <c r="BD88" i="10"/>
  <c r="BD139" i="10"/>
  <c r="BD156" i="10"/>
  <c r="BL156" i="10" s="1"/>
  <c r="BD153" i="10"/>
  <c r="BF78" i="10"/>
  <c r="BF87" i="10"/>
  <c r="BF76" i="10"/>
  <c r="BI76" i="10" s="1"/>
  <c r="BF85" i="10"/>
  <c r="BF92" i="10"/>
  <c r="BF94" i="10"/>
  <c r="BF83" i="10"/>
  <c r="BK83" i="10" s="1"/>
  <c r="BF90" i="10"/>
  <c r="BF75" i="10"/>
  <c r="BF82" i="10"/>
  <c r="BF91" i="10"/>
  <c r="BF77" i="10"/>
  <c r="BF80" i="10"/>
  <c r="BF86" i="10"/>
  <c r="BF81" i="10"/>
  <c r="BF84" i="10"/>
  <c r="BF89" i="10"/>
  <c r="BF93" i="10"/>
  <c r="BF79" i="10"/>
  <c r="BG79" i="10" s="1"/>
  <c r="BF88" i="10"/>
  <c r="BL83" i="10"/>
  <c r="BC113" i="10"/>
  <c r="BC122" i="10"/>
  <c r="BC112" i="10"/>
  <c r="BC117" i="10"/>
  <c r="BC115" i="10"/>
  <c r="BC110" i="10"/>
  <c r="BC120" i="10"/>
  <c r="BC125" i="10"/>
  <c r="BC107" i="10"/>
  <c r="BC109" i="10"/>
  <c r="BC114" i="10"/>
  <c r="BC126" i="10"/>
  <c r="BC129" i="10" s="1"/>
  <c r="BC121" i="10"/>
  <c r="BC161" i="10"/>
  <c r="BC119" i="10"/>
  <c r="BC108" i="10"/>
  <c r="BC76" i="10"/>
  <c r="BC78" i="10"/>
  <c r="BC80" i="10"/>
  <c r="BC82" i="10"/>
  <c r="BC84" i="10"/>
  <c r="BI84" i="10" s="1"/>
  <c r="BC86" i="10"/>
  <c r="BC88" i="10"/>
  <c r="BC90" i="10"/>
  <c r="BM90" i="10" s="1"/>
  <c r="BC92" i="10"/>
  <c r="BC81" i="10"/>
  <c r="BC79" i="10"/>
  <c r="BC77" i="10"/>
  <c r="BC93" i="10"/>
  <c r="BL93" i="10" s="1"/>
  <c r="BC85" i="10"/>
  <c r="BC94" i="10"/>
  <c r="BC75" i="10"/>
  <c r="BC87" i="10"/>
  <c r="BC124" i="10"/>
  <c r="BC111" i="10"/>
  <c r="BC116" i="10"/>
  <c r="BC118" i="10"/>
  <c r="BC141" i="10"/>
  <c r="BC140" i="10"/>
  <c r="BC142" i="10"/>
  <c r="BC149" i="10"/>
  <c r="BC151" i="10"/>
  <c r="BC153" i="10"/>
  <c r="BC155" i="10"/>
  <c r="BC157" i="10"/>
  <c r="BC147" i="10"/>
  <c r="BC145" i="10"/>
  <c r="BC146" i="10"/>
  <c r="BF40" i="10"/>
  <c r="BF63" i="10" s="1"/>
  <c r="BC43" i="10"/>
  <c r="H51" i="10"/>
  <c r="K51" i="10" s="1"/>
  <c r="BF136" i="10"/>
  <c r="BF159" i="10" s="1"/>
  <c r="BD107" i="10"/>
  <c r="BD126" i="10"/>
  <c r="BD124" i="10"/>
  <c r="BD122" i="10"/>
  <c r="BD120" i="10"/>
  <c r="BD118" i="10"/>
  <c r="BD116" i="10"/>
  <c r="BD114" i="10"/>
  <c r="BD112" i="10"/>
  <c r="BD110" i="10"/>
  <c r="BG84" i="10"/>
  <c r="BI89" i="10"/>
  <c r="BJ84" i="10"/>
  <c r="BE59" i="10"/>
  <c r="BE61" i="10"/>
  <c r="BD44" i="10"/>
  <c r="BD49" i="10"/>
  <c r="BD61" i="10"/>
  <c r="BC62" i="10"/>
  <c r="BC65" i="10" s="1"/>
  <c r="L16" i="10"/>
  <c r="M16" i="10" s="1"/>
  <c r="O16" i="10"/>
  <c r="Q16" i="10"/>
  <c r="AA23" i="10"/>
  <c r="S25" i="10"/>
  <c r="N18" i="10"/>
  <c r="Y24" i="10"/>
  <c r="T25" i="10"/>
  <c r="BL33" i="10"/>
  <c r="BJ33" i="10"/>
  <c r="BF33" i="10"/>
  <c r="BK33" i="10"/>
  <c r="BG33" i="10"/>
  <c r="BM33" i="10"/>
  <c r="BC14" i="10"/>
  <c r="BD33" i="10"/>
  <c r="Z31" i="10"/>
  <c r="L20" i="10"/>
  <c r="M20" i="10" s="1"/>
  <c r="Q20" i="10"/>
  <c r="T20" i="10"/>
  <c r="S14" i="10"/>
  <c r="AC14" i="10" s="1"/>
  <c r="Q14" i="10"/>
  <c r="AA14" i="10" s="1"/>
  <c r="P14" i="10"/>
  <c r="Z14" i="10" s="1"/>
  <c r="T14" i="10"/>
  <c r="AD14" i="10" s="1"/>
  <c r="N14" i="10"/>
  <c r="X14" i="10" s="1"/>
  <c r="AE14" i="10" s="1"/>
  <c r="R20" i="10"/>
  <c r="U32" i="10"/>
  <c r="AD32" i="10" s="1"/>
  <c r="G55" i="10"/>
  <c r="U31" i="10"/>
  <c r="X31" i="10" s="1"/>
  <c r="U34" i="10"/>
  <c r="U18" i="10"/>
  <c r="U26" i="10"/>
  <c r="AD26" i="10" s="1"/>
  <c r="U30" i="10"/>
  <c r="AA30" i="10" s="1"/>
  <c r="D29" i="10"/>
  <c r="U23" i="10"/>
  <c r="Y23" i="10" s="1"/>
  <c r="D28" i="10"/>
  <c r="U27" i="10"/>
  <c r="X27" i="10" s="1"/>
  <c r="AE27" i="10" s="1"/>
  <c r="U24" i="10"/>
  <c r="Z24" i="10" s="1"/>
  <c r="U20" i="10"/>
  <c r="AC20" i="10" s="1"/>
  <c r="H50" i="10"/>
  <c r="J50" i="10"/>
  <c r="BE30" i="10"/>
  <c r="BE32" i="10"/>
  <c r="BE28" i="10"/>
  <c r="BE33" i="10"/>
  <c r="BE31" i="10"/>
  <c r="BE27" i="10"/>
  <c r="BE17" i="10"/>
  <c r="BE15" i="10"/>
  <c r="BE29" i="10"/>
  <c r="BE21" i="10"/>
  <c r="BE23" i="10"/>
  <c r="BE26" i="10"/>
  <c r="BE25" i="10"/>
  <c r="BE19" i="10"/>
  <c r="G31" i="10"/>
  <c r="G30" i="10"/>
  <c r="G27" i="10"/>
  <c r="G28" i="10"/>
  <c r="G26" i="10"/>
  <c r="G24" i="10"/>
  <c r="L22" i="10"/>
  <c r="M22" i="10" s="1"/>
  <c r="BE13" i="10"/>
  <c r="T16" i="10"/>
  <c r="K17" i="10"/>
  <c r="S17" i="10" s="1"/>
  <c r="Q18" i="10"/>
  <c r="AA18" i="10" s="1"/>
  <c r="U19" i="10"/>
  <c r="U22" i="10"/>
  <c r="AD22" i="10" s="1"/>
  <c r="P26" i="10"/>
  <c r="Z26" i="10" s="1"/>
  <c r="Y27" i="10"/>
  <c r="AF27" i="10" s="1"/>
  <c r="K33" i="10"/>
  <c r="L33" i="10" s="1"/>
  <c r="M33" i="10" s="1"/>
  <c r="T33" i="10"/>
  <c r="R16" i="10"/>
  <c r="G57" i="10"/>
  <c r="P33" i="10"/>
  <c r="P29" i="10"/>
  <c r="P25" i="10"/>
  <c r="Z25" i="10" s="1"/>
  <c r="AG25" i="10" s="1"/>
  <c r="P23" i="10"/>
  <c r="Z23" i="10" s="1"/>
  <c r="D31" i="10"/>
  <c r="P27" i="10"/>
  <c r="P32" i="10"/>
  <c r="P16" i="10"/>
  <c r="P19" i="10"/>
  <c r="Z19" i="10" s="1"/>
  <c r="AG19" i="10" s="1"/>
  <c r="P30" i="10"/>
  <c r="P22" i="10"/>
  <c r="P20" i="10"/>
  <c r="P18" i="10"/>
  <c r="Q22" i="10"/>
  <c r="AA22" i="10" s="1"/>
  <c r="G25" i="10"/>
  <c r="D30" i="10"/>
  <c r="AD23" i="10"/>
  <c r="U25" i="10"/>
  <c r="Z34" i="10"/>
  <c r="AG34" i="10" s="1"/>
  <c r="BM13" i="10"/>
  <c r="R34" i="10"/>
  <c r="AB34" i="10" s="1"/>
  <c r="AI34" i="10" s="1"/>
  <c r="G52" i="10"/>
  <c r="R33" i="10"/>
  <c r="R22" i="10"/>
  <c r="R19" i="10"/>
  <c r="AB19" i="10" s="1"/>
  <c r="AI19" i="10" s="1"/>
  <c r="R14" i="10"/>
  <c r="AB14" i="10" s="1"/>
  <c r="AI14" i="10" s="1"/>
  <c r="R31" i="10"/>
  <c r="AB31" i="10" s="1"/>
  <c r="AI31" i="10" s="1"/>
  <c r="R30" i="10"/>
  <c r="R27" i="10"/>
  <c r="AB27" i="10" s="1"/>
  <c r="AI27" i="10" s="1"/>
  <c r="D26" i="10"/>
  <c r="R25" i="10"/>
  <c r="AB25" i="10" s="1"/>
  <c r="AI25" i="10" s="1"/>
  <c r="K15" i="10"/>
  <c r="J52" i="10"/>
  <c r="H52" i="10"/>
  <c r="AD19" i="10"/>
  <c r="AK19" i="10" s="1"/>
  <c r="K13" i="10"/>
  <c r="BE14" i="10"/>
  <c r="U15" i="10"/>
  <c r="S16" i="10"/>
  <c r="K18" i="10"/>
  <c r="S22" i="10"/>
  <c r="AC22" i="10" s="1"/>
  <c r="G29" i="10"/>
  <c r="Q33" i="10"/>
  <c r="Q27" i="10"/>
  <c r="AA27" i="10" s="1"/>
  <c r="D25" i="10"/>
  <c r="Q17" i="10"/>
  <c r="Q34" i="10"/>
  <c r="AA34" i="10" s="1"/>
  <c r="AH34" i="10" s="1"/>
  <c r="Q31" i="10"/>
  <c r="AA31" i="10" s="1"/>
  <c r="AH31" i="10" s="1"/>
  <c r="G51" i="10"/>
  <c r="Q25" i="10"/>
  <c r="Q19" i="10"/>
  <c r="AA19" i="10" s="1"/>
  <c r="AH19" i="10" s="1"/>
  <c r="Q32" i="10"/>
  <c r="G53" i="10"/>
  <c r="S33" i="10"/>
  <c r="S34" i="10"/>
  <c r="AC34" i="10" s="1"/>
  <c r="AJ34" i="10" s="1"/>
  <c r="S32" i="10"/>
  <c r="S27" i="10"/>
  <c r="S31" i="10"/>
  <c r="AC31" i="10" s="1"/>
  <c r="AJ31" i="10" s="1"/>
  <c r="D27" i="10"/>
  <c r="S30" i="10"/>
  <c r="S24" i="10"/>
  <c r="AC24" i="10" s="1"/>
  <c r="S28" i="10"/>
  <c r="S19" i="10"/>
  <c r="AC19" i="10" s="1"/>
  <c r="AJ19" i="10" s="1"/>
  <c r="S26" i="10"/>
  <c r="AC26" i="10" s="1"/>
  <c r="S23" i="10"/>
  <c r="AC23" i="10" s="1"/>
  <c r="U16" i="10"/>
  <c r="BE22" i="10"/>
  <c r="X23" i="10"/>
  <c r="D24" i="10"/>
  <c r="K29" i="10"/>
  <c r="L29" i="10" s="1"/>
  <c r="M29" i="10" s="1"/>
  <c r="T29" i="10"/>
  <c r="U33" i="10"/>
  <c r="N24" i="10"/>
  <c r="N34" i="10"/>
  <c r="X34" i="10" s="1"/>
  <c r="N16" i="10"/>
  <c r="T27" i="10"/>
  <c r="G56" i="10"/>
  <c r="N32" i="10"/>
  <c r="N33" i="10"/>
  <c r="N29" i="10"/>
  <c r="AD31" i="10"/>
  <c r="N22" i="10"/>
  <c r="N25" i="10"/>
  <c r="BD13" i="10"/>
  <c r="G50" i="10"/>
  <c r="O34" i="10"/>
  <c r="Y34" i="10" s="1"/>
  <c r="O31" i="10"/>
  <c r="Y31" i="10" s="1"/>
  <c r="AF31" i="10" s="1"/>
  <c r="O30" i="10"/>
  <c r="O28" i="10"/>
  <c r="O26" i="10"/>
  <c r="O32" i="10"/>
  <c r="O20" i="10"/>
  <c r="O15" i="10"/>
  <c r="O33" i="10"/>
  <c r="O29" i="10"/>
  <c r="O25" i="10"/>
  <c r="Y25" i="10" s="1"/>
  <c r="BF13" i="10"/>
  <c r="O14" i="10"/>
  <c r="Y14" i="10" s="1"/>
  <c r="AF14" i="10" s="1"/>
  <c r="O18" i="10"/>
  <c r="Y18" i="10" s="1"/>
  <c r="N20" i="10"/>
  <c r="K21" i="10"/>
  <c r="O22" i="10"/>
  <c r="Y22" i="10" s="1"/>
  <c r="N30" i="10"/>
  <c r="BC54" i="10"/>
  <c r="BC58" i="10"/>
  <c r="BC51" i="10"/>
  <c r="BC48" i="10"/>
  <c r="BC46" i="10"/>
  <c r="BC60" i="10"/>
  <c r="BC56" i="10"/>
  <c r="BC61" i="10"/>
  <c r="BC57" i="10"/>
  <c r="BC44" i="10"/>
  <c r="BC59" i="10"/>
  <c r="BC47" i="10"/>
  <c r="BC50" i="10"/>
  <c r="J54" i="10"/>
  <c r="BC55" i="10"/>
  <c r="K28" i="10"/>
  <c r="T28" i="10" s="1"/>
  <c r="BD58" i="10"/>
  <c r="BD51" i="10"/>
  <c r="BD48" i="10"/>
  <c r="BD46" i="10"/>
  <c r="BD60" i="10"/>
  <c r="BD56" i="10"/>
  <c r="BD43" i="10"/>
  <c r="BD53" i="10"/>
  <c r="BD54" i="10"/>
  <c r="BD45" i="10"/>
  <c r="BD62" i="10"/>
  <c r="BD65" i="10" s="1"/>
  <c r="BD59" i="10"/>
  <c r="BC45" i="10"/>
  <c r="BD47" i="10"/>
  <c r="BD50" i="10"/>
  <c r="BC52" i="10"/>
  <c r="BD55" i="10"/>
  <c r="AD34" i="10"/>
  <c r="T24" i="10"/>
  <c r="AD24" i="10" s="1"/>
  <c r="T30" i="10"/>
  <c r="BE60" i="10"/>
  <c r="BE56" i="10"/>
  <c r="BE43" i="10"/>
  <c r="BE53" i="10"/>
  <c r="BE62" i="10"/>
  <c r="BE65" i="10" s="1"/>
  <c r="BE50" i="10"/>
  <c r="BE45" i="10"/>
  <c r="BE58" i="10"/>
  <c r="BE51" i="10"/>
  <c r="BE48" i="10"/>
  <c r="BE46" i="10"/>
  <c r="BE54" i="10"/>
  <c r="BE49" i="10"/>
  <c r="BE47" i="10"/>
  <c r="BD52" i="10"/>
  <c r="G54" i="10"/>
  <c r="BE55" i="10"/>
  <c r="H55" i="10"/>
  <c r="J55" i="10"/>
  <c r="E53" i="10"/>
  <c r="J53" i="10" s="1"/>
  <c r="E57" i="10"/>
  <c r="H57" i="10" s="1"/>
  <c r="E56" i="10"/>
  <c r="M71" i="5"/>
  <c r="B56" i="1"/>
  <c r="B57" i="1"/>
  <c r="C54" i="1"/>
  <c r="F71" i="5"/>
  <c r="C52" i="1"/>
  <c r="D71" i="5"/>
  <c r="D74" i="5" s="1"/>
  <c r="O62" i="5"/>
  <c r="G72" i="5"/>
  <c r="G75" i="5" s="1"/>
  <c r="G78" i="5" s="1"/>
  <c r="E72" i="5"/>
  <c r="E75" i="5" s="1"/>
  <c r="E78" i="5" s="1"/>
  <c r="G71" i="5"/>
  <c r="BF63" i="1"/>
  <c r="C55" i="1"/>
  <c r="I71" i="5"/>
  <c r="K72" i="5"/>
  <c r="K75" i="5" s="1"/>
  <c r="K78" i="5" s="1"/>
  <c r="B51" i="1"/>
  <c r="B50" i="1"/>
  <c r="I72" i="5"/>
  <c r="I75" i="5" s="1"/>
  <c r="I78" i="5" s="1"/>
  <c r="B54" i="1"/>
  <c r="C53" i="1"/>
  <c r="B55" i="1"/>
  <c r="H71" i="5"/>
  <c r="C51" i="1"/>
  <c r="K71" i="5"/>
  <c r="C50" i="1"/>
  <c r="J71" i="5"/>
  <c r="F72" i="5"/>
  <c r="F75" i="5" s="1"/>
  <c r="F78" i="5" s="1"/>
  <c r="L72" i="5"/>
  <c r="L75" i="5" s="1"/>
  <c r="L78" i="5" s="1"/>
  <c r="C57" i="1"/>
  <c r="E71" i="5"/>
  <c r="C56" i="1"/>
  <c r="M72" i="5"/>
  <c r="M75" i="5" s="1"/>
  <c r="M78" i="5" s="1"/>
  <c r="B52" i="1"/>
  <c r="J72" i="5"/>
  <c r="J75" i="5" s="1"/>
  <c r="J78" i="5" s="1"/>
  <c r="H72" i="5"/>
  <c r="H75" i="5" s="1"/>
  <c r="H78" i="5" s="1"/>
  <c r="D55" i="1"/>
  <c r="BD63" i="1"/>
  <c r="BD62" i="1" s="1"/>
  <c r="BD65" i="1" s="1"/>
  <c r="BE48" i="1"/>
  <c r="BE56" i="1"/>
  <c r="BE43" i="1"/>
  <c r="BE51" i="1"/>
  <c r="BE59" i="1"/>
  <c r="BE46" i="1"/>
  <c r="BE54" i="1"/>
  <c r="BE49" i="1"/>
  <c r="BE57" i="1"/>
  <c r="BE44" i="1"/>
  <c r="BE52" i="1"/>
  <c r="BE60" i="1"/>
  <c r="BE47" i="1"/>
  <c r="BE55" i="1"/>
  <c r="BE50" i="1"/>
  <c r="BE58" i="1"/>
  <c r="BE45" i="1"/>
  <c r="BE53" i="1"/>
  <c r="BE61" i="1"/>
  <c r="BC50" i="1"/>
  <c r="BC43" i="1"/>
  <c r="BC47" i="1"/>
  <c r="E58" i="1"/>
  <c r="E57" i="1" s="1"/>
  <c r="BC57" i="1"/>
  <c r="BC46" i="1"/>
  <c r="BC60" i="1"/>
  <c r="BC58" i="1"/>
  <c r="BC48" i="1"/>
  <c r="BC54" i="1"/>
  <c r="BC56" i="1"/>
  <c r="BC55" i="1"/>
  <c r="BC53" i="1"/>
  <c r="BC44" i="1"/>
  <c r="BC61" i="1"/>
  <c r="BC52" i="1"/>
  <c r="BC59" i="1"/>
  <c r="BC51" i="1"/>
  <c r="BC49" i="1"/>
  <c r="BC45" i="1"/>
  <c r="BD6" i="1"/>
  <c r="BD7" i="1"/>
  <c r="D41" i="1"/>
  <c r="D40" i="1"/>
  <c r="D39" i="1"/>
  <c r="D38" i="1"/>
  <c r="D37" i="1"/>
  <c r="D36" i="1"/>
  <c r="D35" i="1"/>
  <c r="D34" i="1"/>
  <c r="BL150" i="10" l="1"/>
  <c r="BL139" i="10"/>
  <c r="BL154" i="10"/>
  <c r="BI77" i="10"/>
  <c r="BM85" i="10"/>
  <c r="BL79" i="10"/>
  <c r="BM87" i="10"/>
  <c r="BK84" i="10"/>
  <c r="BL123" i="10"/>
  <c r="BL152" i="10"/>
  <c r="BL148" i="10"/>
  <c r="BM89" i="10"/>
  <c r="BM80" i="10"/>
  <c r="BL81" i="10"/>
  <c r="BL87" i="10"/>
  <c r="BL85" i="10"/>
  <c r="BM93" i="10"/>
  <c r="BJ87" i="10"/>
  <c r="BJ89" i="10"/>
  <c r="BG86" i="10"/>
  <c r="BI94" i="10"/>
  <c r="BJ83" i="10"/>
  <c r="BK89" i="10"/>
  <c r="BM79" i="10"/>
  <c r="BI92" i="10"/>
  <c r="BF121" i="10"/>
  <c r="BM121" i="10" s="1"/>
  <c r="BI83" i="10"/>
  <c r="BG94" i="10"/>
  <c r="BL53" i="10"/>
  <c r="BM88" i="10"/>
  <c r="BK91" i="10"/>
  <c r="BM82" i="10"/>
  <c r="BR37" i="10"/>
  <c r="BI86" i="10"/>
  <c r="BK90" i="10"/>
  <c r="BF108" i="10"/>
  <c r="BI108" i="10" s="1"/>
  <c r="BF125" i="10"/>
  <c r="BM125" i="10" s="1"/>
  <c r="BF117" i="10"/>
  <c r="BK117" i="10" s="1"/>
  <c r="BF115" i="10"/>
  <c r="BK115" i="10" s="1"/>
  <c r="BF111" i="10"/>
  <c r="BM111" i="10" s="1"/>
  <c r="BF116" i="10"/>
  <c r="BG116" i="10" s="1"/>
  <c r="BF120" i="10"/>
  <c r="BM120" i="10" s="1"/>
  <c r="BF118" i="10"/>
  <c r="BG118" i="10" s="1"/>
  <c r="BG81" i="10"/>
  <c r="I54" i="10"/>
  <c r="BK79" i="10"/>
  <c r="BG89" i="10"/>
  <c r="BI85" i="10"/>
  <c r="BF107" i="10"/>
  <c r="BM107" i="10" s="1"/>
  <c r="BL91" i="10"/>
  <c r="BF123" i="10"/>
  <c r="BI123" i="10" s="1"/>
  <c r="BU101" i="10"/>
  <c r="BU133" i="10"/>
  <c r="K54" i="10"/>
  <c r="BF122" i="10"/>
  <c r="BM122" i="10" s="1"/>
  <c r="BJ91" i="10"/>
  <c r="BG85" i="10"/>
  <c r="BI91" i="10"/>
  <c r="BF112" i="10"/>
  <c r="BK112" i="10" s="1"/>
  <c r="BF110" i="10"/>
  <c r="BI110" i="10" s="1"/>
  <c r="BI87" i="10"/>
  <c r="BF114" i="10"/>
  <c r="BJ114" i="10" s="1"/>
  <c r="BI79" i="10"/>
  <c r="BG77" i="10"/>
  <c r="BJ78" i="10"/>
  <c r="BF124" i="10"/>
  <c r="BM124" i="10" s="1"/>
  <c r="BM91" i="10"/>
  <c r="BL158" i="10"/>
  <c r="BF126" i="10"/>
  <c r="BF129" i="10" s="1"/>
  <c r="BF119" i="10"/>
  <c r="BG119" i="10" s="1"/>
  <c r="BU37" i="10"/>
  <c r="I51" i="10"/>
  <c r="BF109" i="10"/>
  <c r="BJ109" i="10" s="1"/>
  <c r="BG91" i="10"/>
  <c r="BF46" i="10"/>
  <c r="BI46" i="10" s="1"/>
  <c r="BF44" i="10"/>
  <c r="BM44" i="10" s="1"/>
  <c r="BF51" i="10"/>
  <c r="BG51" i="10" s="1"/>
  <c r="BF48" i="10"/>
  <c r="BI48" i="10" s="1"/>
  <c r="BF49" i="10"/>
  <c r="BF54" i="10"/>
  <c r="BK54" i="10" s="1"/>
  <c r="BF53" i="10"/>
  <c r="BK53" i="10" s="1"/>
  <c r="BF43" i="10"/>
  <c r="BM43" i="10" s="1"/>
  <c r="BF62" i="10"/>
  <c r="BF65" i="10" s="1"/>
  <c r="BF58" i="10"/>
  <c r="BM58" i="10" s="1"/>
  <c r="BF47" i="10"/>
  <c r="BK47" i="10" s="1"/>
  <c r="BF52" i="10"/>
  <c r="BJ52" i="10" s="1"/>
  <c r="BF61" i="10"/>
  <c r="BI61" i="10" s="1"/>
  <c r="BF45" i="10"/>
  <c r="BK45" i="10" s="1"/>
  <c r="BF50" i="10"/>
  <c r="BM50" i="10" s="1"/>
  <c r="BF55" i="10"/>
  <c r="BM55" i="10" s="1"/>
  <c r="BF60" i="10"/>
  <c r="BK60" i="10" s="1"/>
  <c r="BF56" i="10"/>
  <c r="BK56" i="10" s="1"/>
  <c r="BF59" i="10"/>
  <c r="BJ59" i="10" s="1"/>
  <c r="BF57" i="10"/>
  <c r="BM57" i="10" s="1"/>
  <c r="BG83" i="10"/>
  <c r="BL157" i="10"/>
  <c r="BL118" i="10"/>
  <c r="BJ77" i="10"/>
  <c r="BK77" i="10"/>
  <c r="BL82" i="10"/>
  <c r="BG82" i="10"/>
  <c r="BI82" i="10"/>
  <c r="BJ82" i="10"/>
  <c r="BL114" i="10"/>
  <c r="BL112" i="10"/>
  <c r="BM83" i="10"/>
  <c r="K55" i="10"/>
  <c r="BV69" i="10"/>
  <c r="BV133" i="10"/>
  <c r="BV101" i="10"/>
  <c r="BI81" i="10"/>
  <c r="BG93" i="10"/>
  <c r="BJ86" i="10"/>
  <c r="BM81" i="10"/>
  <c r="BG92" i="10"/>
  <c r="BL155" i="10"/>
  <c r="BI93" i="10"/>
  <c r="BL111" i="10"/>
  <c r="BI80" i="10"/>
  <c r="BG80" i="10"/>
  <c r="BJ80" i="10"/>
  <c r="BK80" i="10"/>
  <c r="BL80" i="10"/>
  <c r="BL109" i="10"/>
  <c r="BK109" i="10"/>
  <c r="BL122" i="10"/>
  <c r="BL124" i="10"/>
  <c r="BL107" i="10"/>
  <c r="BI107" i="10"/>
  <c r="BM113" i="10"/>
  <c r="BG113" i="10"/>
  <c r="BI113" i="10"/>
  <c r="BK113" i="10"/>
  <c r="BL113" i="10"/>
  <c r="BJ113" i="10"/>
  <c r="BI78" i="10"/>
  <c r="BJ94" i="10"/>
  <c r="BJ79" i="10"/>
  <c r="BR101" i="10"/>
  <c r="BR69" i="10"/>
  <c r="BR133" i="10"/>
  <c r="BL146" i="10"/>
  <c r="BL142" i="10"/>
  <c r="BK94" i="10"/>
  <c r="BL94" i="10"/>
  <c r="BM94" i="10"/>
  <c r="BG88" i="10"/>
  <c r="BL88" i="10"/>
  <c r="BJ88" i="10"/>
  <c r="BK88" i="10"/>
  <c r="BI88" i="10"/>
  <c r="BL119" i="10"/>
  <c r="BL110" i="10"/>
  <c r="BL153" i="10"/>
  <c r="BL116" i="10"/>
  <c r="BI121" i="10"/>
  <c r="BL121" i="10"/>
  <c r="BM92" i="10"/>
  <c r="BL92" i="10"/>
  <c r="BL76" i="10"/>
  <c r="BM76" i="10"/>
  <c r="BG76" i="10"/>
  <c r="BK87" i="10"/>
  <c r="BK76" i="10"/>
  <c r="BL77" i="10"/>
  <c r="BQ133" i="10"/>
  <c r="BQ69" i="10"/>
  <c r="BQ101" i="10"/>
  <c r="I50" i="10"/>
  <c r="BJ76" i="10"/>
  <c r="BJ92" i="10"/>
  <c r="BK92" i="10"/>
  <c r="BL145" i="10"/>
  <c r="BL140" i="10"/>
  <c r="BK85" i="10"/>
  <c r="BJ85" i="10"/>
  <c r="BL86" i="10"/>
  <c r="BM86" i="10"/>
  <c r="BK86" i="10"/>
  <c r="BL115" i="10"/>
  <c r="BM78" i="10"/>
  <c r="BK78" i="10"/>
  <c r="BL78" i="10"/>
  <c r="BG78" i="10"/>
  <c r="BF140" i="10"/>
  <c r="BI140" i="10" s="1"/>
  <c r="BF142" i="10"/>
  <c r="BG142" i="10" s="1"/>
  <c r="BF144" i="10"/>
  <c r="BF146" i="10"/>
  <c r="BI146" i="10" s="1"/>
  <c r="BF148" i="10"/>
  <c r="BF139" i="10"/>
  <c r="BF143" i="10"/>
  <c r="BF141" i="10"/>
  <c r="BK141" i="10" s="1"/>
  <c r="BF147" i="10"/>
  <c r="BJ147" i="10" s="1"/>
  <c r="BF154" i="10"/>
  <c r="BF145" i="10"/>
  <c r="BK145" i="10" s="1"/>
  <c r="BF155" i="10"/>
  <c r="BJ155" i="10" s="1"/>
  <c r="BF151" i="10"/>
  <c r="BM151" i="10" s="1"/>
  <c r="BF152" i="10"/>
  <c r="BF153" i="10"/>
  <c r="BF150" i="10"/>
  <c r="BF157" i="10"/>
  <c r="BG157" i="10" s="1"/>
  <c r="BF149" i="10"/>
  <c r="BF158" i="10"/>
  <c r="BF156" i="10"/>
  <c r="BL151" i="10"/>
  <c r="BL125" i="10"/>
  <c r="BP101" i="10"/>
  <c r="BP69" i="10"/>
  <c r="BP133" i="10"/>
  <c r="BL149" i="10"/>
  <c r="BJ90" i="10"/>
  <c r="BL90" i="10"/>
  <c r="BG90" i="10"/>
  <c r="BI90" i="10"/>
  <c r="BL108" i="10"/>
  <c r="BL120" i="10"/>
  <c r="BG120" i="10"/>
  <c r="BI120" i="10"/>
  <c r="BS133" i="10"/>
  <c r="BS69" i="10"/>
  <c r="BS101" i="10"/>
  <c r="BM77" i="10"/>
  <c r="BJ81" i="10"/>
  <c r="BK81" i="10"/>
  <c r="BK82" i="10"/>
  <c r="BG87" i="10"/>
  <c r="BL147" i="10"/>
  <c r="BL141" i="10"/>
  <c r="BJ93" i="10"/>
  <c r="BK93" i="10"/>
  <c r="BL84" i="10"/>
  <c r="BM84" i="10"/>
  <c r="BL126" i="10"/>
  <c r="BL117" i="10"/>
  <c r="BD129" i="10"/>
  <c r="BI53" i="10"/>
  <c r="BL62" i="10"/>
  <c r="BG45" i="10"/>
  <c r="BL45" i="10"/>
  <c r="BG50" i="10"/>
  <c r="BL50" i="10"/>
  <c r="BL60" i="10"/>
  <c r="AB33" i="10"/>
  <c r="AI33" i="10" s="1"/>
  <c r="BK14" i="10"/>
  <c r="BL14" i="10"/>
  <c r="BF14" i="10"/>
  <c r="BD14" i="10"/>
  <c r="BG14" i="10"/>
  <c r="BM14" i="10"/>
  <c r="BJ14" i="10"/>
  <c r="BC15" i="10"/>
  <c r="BL47" i="10"/>
  <c r="AC33" i="10"/>
  <c r="AJ33" i="10" s="1"/>
  <c r="K52" i="10"/>
  <c r="BS37" i="10"/>
  <c r="BL48" i="10"/>
  <c r="BJ53" i="10"/>
  <c r="L21" i="10"/>
  <c r="M21" i="10" s="1"/>
  <c r="Q21" i="10"/>
  <c r="P21" i="10"/>
  <c r="N21" i="10"/>
  <c r="O21" i="10"/>
  <c r="BL56" i="10"/>
  <c r="Y26" i="10"/>
  <c r="AF26" i="10" s="1"/>
  <c r="J57" i="10"/>
  <c r="X24" i="10"/>
  <c r="AC32" i="10"/>
  <c r="AJ32" i="10" s="1"/>
  <c r="AC16" i="10"/>
  <c r="AB22" i="10"/>
  <c r="AI22" i="10" s="1"/>
  <c r="Z30" i="10"/>
  <c r="AG30" i="10" s="1"/>
  <c r="BN33" i="10"/>
  <c r="I55" i="10"/>
  <c r="AJ14" i="10"/>
  <c r="R28" i="10"/>
  <c r="I52" i="10"/>
  <c r="AK26" i="10"/>
  <c r="AA20" i="10"/>
  <c r="AH20" i="10" s="1"/>
  <c r="X18" i="10"/>
  <c r="AA16" i="10"/>
  <c r="H56" i="10"/>
  <c r="I56" i="10" s="1"/>
  <c r="J56" i="10"/>
  <c r="AB20" i="10"/>
  <c r="AI20" i="10" s="1"/>
  <c r="AB26" i="10"/>
  <c r="AI26" i="10" s="1"/>
  <c r="Y16" i="10"/>
  <c r="Z16" i="10"/>
  <c r="AA24" i="10"/>
  <c r="X29" i="10"/>
  <c r="BN13" i="10"/>
  <c r="AD20" i="10"/>
  <c r="AK20" i="10" s="1"/>
  <c r="AD30" i="10"/>
  <c r="AK30" i="10" s="1"/>
  <c r="BL46" i="10"/>
  <c r="AF25" i="10"/>
  <c r="X32" i="10"/>
  <c r="Z33" i="10"/>
  <c r="AG33" i="10" s="1"/>
  <c r="AK34" i="10"/>
  <c r="AB30" i="10"/>
  <c r="AI30" i="10" s="1"/>
  <c r="I57" i="10"/>
  <c r="U21" i="10"/>
  <c r="X25" i="10"/>
  <c r="AE25" i="10" s="1"/>
  <c r="AE34" i="10"/>
  <c r="X26" i="10"/>
  <c r="AE26" i="10" s="1"/>
  <c r="S21" i="10"/>
  <c r="AA25" i="10"/>
  <c r="AH25" i="10" s="1"/>
  <c r="AA33" i="10"/>
  <c r="AH33" i="10" s="1"/>
  <c r="U13" i="10"/>
  <c r="Q13" i="10"/>
  <c r="AA13" i="10" s="1"/>
  <c r="R13" i="10"/>
  <c r="R21" i="10"/>
  <c r="AB32" i="10"/>
  <c r="AI32" i="10" s="1"/>
  <c r="Z18" i="10"/>
  <c r="Z32" i="10"/>
  <c r="AG32" i="10" s="1"/>
  <c r="AB16" i="10"/>
  <c r="AI16" i="10" s="1"/>
  <c r="T21" i="10"/>
  <c r="BP37" i="10"/>
  <c r="K50" i="10"/>
  <c r="U28" i="10"/>
  <c r="AD28" i="10" s="1"/>
  <c r="AK14" i="10"/>
  <c r="AB24" i="10"/>
  <c r="AI24" i="10" s="1"/>
  <c r="AA26" i="10"/>
  <c r="AH26" i="10" s="1"/>
  <c r="AC25" i="10"/>
  <c r="AJ25" i="10" s="1"/>
  <c r="AG26" i="10"/>
  <c r="AH30" i="10"/>
  <c r="K57" i="10"/>
  <c r="BQ37" i="10"/>
  <c r="BL59" i="10"/>
  <c r="AJ26" i="10"/>
  <c r="O17" i="10"/>
  <c r="Y17" i="10" s="1"/>
  <c r="N17" i="10"/>
  <c r="X17" i="10" s="1"/>
  <c r="P17" i="10"/>
  <c r="Z17" i="10" s="1"/>
  <c r="L17" i="10"/>
  <c r="M17" i="10" s="1"/>
  <c r="AF34" i="10"/>
  <c r="BN14" i="10"/>
  <c r="BO14" i="10" s="1"/>
  <c r="T17" i="10"/>
  <c r="AD17" i="10" s="1"/>
  <c r="BJ61" i="10"/>
  <c r="BL61" i="10"/>
  <c r="BL54" i="10"/>
  <c r="BM54" i="10"/>
  <c r="BG54" i="10"/>
  <c r="BI54" i="10"/>
  <c r="BG53" i="10"/>
  <c r="X20" i="10"/>
  <c r="Y20" i="10"/>
  <c r="AF20" i="10" s="1"/>
  <c r="X22" i="10"/>
  <c r="AD27" i="10"/>
  <c r="AK27" i="10" s="1"/>
  <c r="AC27" i="10"/>
  <c r="AJ27" i="10" s="1"/>
  <c r="AA32" i="10"/>
  <c r="Q29" i="10"/>
  <c r="N13" i="10"/>
  <c r="T13" i="10"/>
  <c r="L15" i="10"/>
  <c r="M15" i="10" s="1"/>
  <c r="S15" i="10"/>
  <c r="AC15" i="10" s="1"/>
  <c r="R15" i="10"/>
  <c r="AB15" i="10" s="1"/>
  <c r="AI15" i="10" s="1"/>
  <c r="Q15" i="10"/>
  <c r="AA15" i="10" s="1"/>
  <c r="P15" i="10"/>
  <c r="Z15" i="10" s="1"/>
  <c r="N15" i="10"/>
  <c r="X15" i="10" s="1"/>
  <c r="Z20" i="10"/>
  <c r="AG20" i="10" s="1"/>
  <c r="Z27" i="10"/>
  <c r="AG27" i="10" s="1"/>
  <c r="AD33" i="10"/>
  <c r="AK33" i="10" s="1"/>
  <c r="AD16" i="10"/>
  <c r="AK16" i="10" s="1"/>
  <c r="BV37" i="10"/>
  <c r="AG14" i="10"/>
  <c r="AG31" i="10"/>
  <c r="AD25" i="10"/>
  <c r="AK25" i="10" s="1"/>
  <c r="AB23" i="10"/>
  <c r="AI23" i="10" s="1"/>
  <c r="P13" i="10"/>
  <c r="Z13" i="10" s="1"/>
  <c r="X30" i="10"/>
  <c r="AE30" i="10" s="1"/>
  <c r="Y30" i="10"/>
  <c r="AF30" i="10" s="1"/>
  <c r="X33" i="10"/>
  <c r="AE33" i="10" s="1"/>
  <c r="Z29" i="10"/>
  <c r="Y29" i="10"/>
  <c r="AC30" i="10"/>
  <c r="AJ30" i="10" s="1"/>
  <c r="BJ44" i="10"/>
  <c r="BL44" i="10"/>
  <c r="BL51" i="10"/>
  <c r="Y33" i="10"/>
  <c r="AF33" i="10" s="1"/>
  <c r="AH27" i="10"/>
  <c r="R17" i="10"/>
  <c r="BL49" i="10"/>
  <c r="BL57" i="10"/>
  <c r="BL58" i="10"/>
  <c r="Y15" i="10"/>
  <c r="BL52" i="10"/>
  <c r="BM52" i="10"/>
  <c r="L28" i="10"/>
  <c r="M28" i="10" s="1"/>
  <c r="P28" i="10"/>
  <c r="Z28" i="10" s="1"/>
  <c r="Q28" i="10"/>
  <c r="AA28" i="10" s="1"/>
  <c r="N28" i="10"/>
  <c r="X28" i="10" s="1"/>
  <c r="BG55" i="10"/>
  <c r="BJ55" i="10"/>
  <c r="BL55" i="10"/>
  <c r="BL43" i="10"/>
  <c r="BI43" i="10"/>
  <c r="H53" i="10"/>
  <c r="Y32" i="10"/>
  <c r="AF32" i="10" s="1"/>
  <c r="AK31" i="10"/>
  <c r="X16" i="10"/>
  <c r="AE16" i="10" s="1"/>
  <c r="U17" i="10"/>
  <c r="AA17" i="10" s="1"/>
  <c r="S13" i="10"/>
  <c r="S29" i="10"/>
  <c r="O13" i="10"/>
  <c r="L18" i="10"/>
  <c r="M18" i="10" s="1"/>
  <c r="T18" i="10"/>
  <c r="AD18" i="10" s="1"/>
  <c r="S18" i="10"/>
  <c r="AC18" i="10" s="1"/>
  <c r="R18" i="10"/>
  <c r="AB18" i="10" s="1"/>
  <c r="AI18" i="10" s="1"/>
  <c r="T15" i="10"/>
  <c r="AD15" i="10" s="1"/>
  <c r="R29" i="10"/>
  <c r="Z22" i="10"/>
  <c r="X19" i="10"/>
  <c r="AE19" i="10" s="1"/>
  <c r="Y19" i="10"/>
  <c r="AF19" i="10" s="1"/>
  <c r="BT14" i="10"/>
  <c r="U29" i="10"/>
  <c r="AD29" i="10" s="1"/>
  <c r="AE31" i="10"/>
  <c r="AH14" i="10"/>
  <c r="J54" i="1"/>
  <c r="G74" i="5"/>
  <c r="E74" i="5"/>
  <c r="H74" i="5"/>
  <c r="I74" i="5"/>
  <c r="BF62" i="1"/>
  <c r="BF65" i="1" s="1"/>
  <c r="BF59" i="1"/>
  <c r="BF47" i="1"/>
  <c r="BF52" i="1"/>
  <c r="BF45" i="1"/>
  <c r="BF46" i="1"/>
  <c r="BF55" i="1"/>
  <c r="BF53" i="1"/>
  <c r="BF50" i="1"/>
  <c r="BF61" i="1"/>
  <c r="BF58" i="1"/>
  <c r="BF57" i="1"/>
  <c r="BF54" i="1"/>
  <c r="BF49" i="1"/>
  <c r="BF48" i="1"/>
  <c r="BF44" i="1"/>
  <c r="BF56" i="1"/>
  <c r="BF51" i="1"/>
  <c r="BF60" i="1"/>
  <c r="BF43" i="1"/>
  <c r="H50" i="1"/>
  <c r="I50" i="1" s="1"/>
  <c r="L74" i="5"/>
  <c r="K74" i="5"/>
  <c r="H54" i="1"/>
  <c r="K54" i="1" s="1"/>
  <c r="F74" i="5"/>
  <c r="J74" i="5"/>
  <c r="M74" i="5"/>
  <c r="J50" i="1"/>
  <c r="BD48" i="1"/>
  <c r="BD51" i="1"/>
  <c r="BL51" i="1" s="1"/>
  <c r="BD56" i="1"/>
  <c r="BL56" i="1" s="1"/>
  <c r="BD44" i="1"/>
  <c r="BD53" i="1"/>
  <c r="BD45" i="1"/>
  <c r="BD46" i="1"/>
  <c r="BL62" i="1"/>
  <c r="BD47" i="1"/>
  <c r="BL47" i="1" s="1"/>
  <c r="BD60" i="1"/>
  <c r="BL60" i="1" s="1"/>
  <c r="BD57" i="1"/>
  <c r="BL57" i="1" s="1"/>
  <c r="BD49" i="1"/>
  <c r="BL49" i="1" s="1"/>
  <c r="BD58" i="1"/>
  <c r="BD54" i="1"/>
  <c r="BL54" i="1" s="1"/>
  <c r="BD50" i="1"/>
  <c r="BL50" i="1" s="1"/>
  <c r="BD55" i="1"/>
  <c r="BD59" i="1"/>
  <c r="BL59" i="1" s="1"/>
  <c r="J55" i="1"/>
  <c r="H55" i="1"/>
  <c r="I55" i="1" s="1"/>
  <c r="H57" i="1"/>
  <c r="J57" i="1"/>
  <c r="E56" i="1"/>
  <c r="J56" i="1" s="1"/>
  <c r="E51" i="1"/>
  <c r="BD61" i="1"/>
  <c r="BD52" i="1"/>
  <c r="BD43" i="1"/>
  <c r="E52" i="1"/>
  <c r="E53" i="1"/>
  <c r="AF35" i="6"/>
  <c r="AG35" i="6"/>
  <c r="AH35" i="6"/>
  <c r="AI35" i="6"/>
  <c r="AJ35" i="6"/>
  <c r="AK35" i="6"/>
  <c r="AL35" i="6"/>
  <c r="AM35" i="6"/>
  <c r="AN35" i="6"/>
  <c r="AO35" i="6"/>
  <c r="AF36" i="6"/>
  <c r="AG36" i="6"/>
  <c r="AH36" i="6"/>
  <c r="AI36" i="6"/>
  <c r="AJ36" i="6"/>
  <c r="AK36" i="6"/>
  <c r="AL36" i="6"/>
  <c r="AM36" i="6"/>
  <c r="AN36" i="6"/>
  <c r="AO36" i="6"/>
  <c r="AF37" i="6"/>
  <c r="AG37" i="6"/>
  <c r="AH37" i="6"/>
  <c r="AI37" i="6"/>
  <c r="AJ37" i="6"/>
  <c r="AK37" i="6"/>
  <c r="AL37" i="6"/>
  <c r="AM37" i="6"/>
  <c r="AN37" i="6"/>
  <c r="AO37" i="6"/>
  <c r="AF38" i="6"/>
  <c r="AG38" i="6"/>
  <c r="AH38" i="6"/>
  <c r="AI38" i="6"/>
  <c r="AJ38" i="6"/>
  <c r="AK38" i="6"/>
  <c r="AL38" i="6"/>
  <c r="AM38" i="6"/>
  <c r="AN38" i="6"/>
  <c r="AO38" i="6"/>
  <c r="AF39" i="6"/>
  <c r="AG39" i="6"/>
  <c r="AH39" i="6"/>
  <c r="AI39" i="6"/>
  <c r="AJ39" i="6"/>
  <c r="AK39" i="6"/>
  <c r="AL39" i="6"/>
  <c r="AM39" i="6"/>
  <c r="AN39" i="6"/>
  <c r="AO39" i="6"/>
  <c r="AF40" i="6"/>
  <c r="AG40" i="6"/>
  <c r="AH40" i="6"/>
  <c r="AI40" i="6"/>
  <c r="AJ40" i="6"/>
  <c r="AK40" i="6"/>
  <c r="AL40" i="6"/>
  <c r="AM40" i="6"/>
  <c r="AN40" i="6"/>
  <c r="AO40" i="6"/>
  <c r="AF41" i="6"/>
  <c r="AG41" i="6"/>
  <c r="AH41" i="6"/>
  <c r="AI41" i="6"/>
  <c r="AJ41" i="6"/>
  <c r="AK41" i="6"/>
  <c r="AL41" i="6"/>
  <c r="AM41" i="6"/>
  <c r="AN41" i="6"/>
  <c r="AO41" i="6"/>
  <c r="AF42" i="6"/>
  <c r="AG42" i="6"/>
  <c r="AH42" i="6"/>
  <c r="AI42" i="6"/>
  <c r="AJ42" i="6"/>
  <c r="AK42" i="6"/>
  <c r="AL42" i="6"/>
  <c r="AM42" i="6"/>
  <c r="AN42" i="6"/>
  <c r="AO42" i="6"/>
  <c r="AF43" i="6"/>
  <c r="AG43" i="6"/>
  <c r="AH43" i="6"/>
  <c r="AI43" i="6"/>
  <c r="AJ43" i="6"/>
  <c r="AK43" i="6"/>
  <c r="AL43" i="6"/>
  <c r="AM43" i="6"/>
  <c r="AN43" i="6"/>
  <c r="AO43" i="6"/>
  <c r="AF44" i="6"/>
  <c r="AG44" i="6"/>
  <c r="AH44" i="6"/>
  <c r="AI44" i="6"/>
  <c r="AJ44" i="6"/>
  <c r="AK44" i="6"/>
  <c r="AL44" i="6"/>
  <c r="AM44" i="6"/>
  <c r="AN44" i="6"/>
  <c r="AO44" i="6"/>
  <c r="AF45" i="6"/>
  <c r="AG45" i="6"/>
  <c r="AH45" i="6"/>
  <c r="AI45" i="6"/>
  <c r="AJ45" i="6"/>
  <c r="AK45" i="6"/>
  <c r="AL45" i="6"/>
  <c r="AM45" i="6"/>
  <c r="AN45" i="6"/>
  <c r="AO45" i="6"/>
  <c r="AF46" i="6"/>
  <c r="AG46" i="6"/>
  <c r="AH46" i="6"/>
  <c r="AI46" i="6"/>
  <c r="AJ46" i="6"/>
  <c r="AK46" i="6"/>
  <c r="AL46" i="6"/>
  <c r="AM46" i="6"/>
  <c r="AN46" i="6"/>
  <c r="AO46" i="6"/>
  <c r="AF47" i="6"/>
  <c r="AG47" i="6"/>
  <c r="AH47" i="6"/>
  <c r="AI47" i="6"/>
  <c r="AJ47" i="6"/>
  <c r="AK47" i="6"/>
  <c r="AL47" i="6"/>
  <c r="AM47" i="6"/>
  <c r="AN47" i="6"/>
  <c r="AO47" i="6"/>
  <c r="AF48" i="6"/>
  <c r="AG48" i="6"/>
  <c r="AH48" i="6"/>
  <c r="AI48" i="6"/>
  <c r="AJ48" i="6"/>
  <c r="AK48" i="6"/>
  <c r="AL48" i="6"/>
  <c r="AM48" i="6"/>
  <c r="AN48" i="6"/>
  <c r="AO48" i="6"/>
  <c r="AF49" i="6"/>
  <c r="AG49" i="6"/>
  <c r="AH49" i="6"/>
  <c r="AI49" i="6"/>
  <c r="AJ49" i="6"/>
  <c r="AK49" i="6"/>
  <c r="AL49" i="6"/>
  <c r="AM49" i="6"/>
  <c r="AN49" i="6"/>
  <c r="AO49" i="6"/>
  <c r="AF50" i="6"/>
  <c r="AG50" i="6"/>
  <c r="AH50" i="6"/>
  <c r="AI50" i="6"/>
  <c r="AJ50" i="6"/>
  <c r="AK50" i="6"/>
  <c r="AL50" i="6"/>
  <c r="AM50" i="6"/>
  <c r="AN50" i="6"/>
  <c r="AO50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35" i="6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38" i="7"/>
  <c r="BI112" i="10" l="1"/>
  <c r="BG112" i="10"/>
  <c r="BJ118" i="10"/>
  <c r="BK123" i="10"/>
  <c r="BI111" i="10"/>
  <c r="BI60" i="10"/>
  <c r="BG124" i="10"/>
  <c r="BJ43" i="10"/>
  <c r="BK55" i="10"/>
  <c r="BG60" i="10"/>
  <c r="BK116" i="10"/>
  <c r="BG121" i="10"/>
  <c r="BJ120" i="10"/>
  <c r="BJ121" i="10"/>
  <c r="BM123" i="10"/>
  <c r="BM109" i="10"/>
  <c r="BI55" i="10"/>
  <c r="BK62" i="10"/>
  <c r="BK120" i="10"/>
  <c r="BK121" i="10"/>
  <c r="BJ124" i="10"/>
  <c r="BM53" i="10"/>
  <c r="BJ60" i="10"/>
  <c r="BI124" i="10"/>
  <c r="BK57" i="10"/>
  <c r="BJ62" i="10"/>
  <c r="BM47" i="10"/>
  <c r="BJ48" i="10"/>
  <c r="BG58" i="10"/>
  <c r="BI114" i="10"/>
  <c r="BK58" i="10"/>
  <c r="BI51" i="10"/>
  <c r="BG46" i="10"/>
  <c r="BK108" i="10"/>
  <c r="BJ123" i="10"/>
  <c r="BK51" i="10"/>
  <c r="BJ126" i="10"/>
  <c r="BK118" i="10"/>
  <c r="BG59" i="10"/>
  <c r="BM46" i="10"/>
  <c r="BG126" i="10"/>
  <c r="BJ125" i="10"/>
  <c r="BI57" i="10"/>
  <c r="BJ117" i="10"/>
  <c r="BG147" i="10"/>
  <c r="BI119" i="10"/>
  <c r="BJ157" i="10"/>
  <c r="BI58" i="10"/>
  <c r="BJ57" i="10"/>
  <c r="BJ51" i="10"/>
  <c r="BK44" i="10"/>
  <c r="BI59" i="10"/>
  <c r="BJ56" i="10"/>
  <c r="BG48" i="10"/>
  <c r="BM117" i="10"/>
  <c r="BK125" i="10"/>
  <c r="BJ110" i="10"/>
  <c r="BJ111" i="10"/>
  <c r="BI117" i="10"/>
  <c r="BG52" i="10"/>
  <c r="BG57" i="10"/>
  <c r="BG44" i="10"/>
  <c r="BJ54" i="10"/>
  <c r="BI47" i="10"/>
  <c r="BG117" i="10"/>
  <c r="BM126" i="10"/>
  <c r="BM147" i="10"/>
  <c r="BG125" i="10"/>
  <c r="BM114" i="10"/>
  <c r="BM51" i="10"/>
  <c r="BK48" i="10"/>
  <c r="BI125" i="10"/>
  <c r="I59" i="10"/>
  <c r="BM119" i="10"/>
  <c r="BG114" i="10"/>
  <c r="BI52" i="10"/>
  <c r="BM59" i="10"/>
  <c r="BM48" i="10"/>
  <c r="BJ47" i="10"/>
  <c r="BI147" i="10"/>
  <c r="BM108" i="10"/>
  <c r="BJ119" i="10"/>
  <c r="BK119" i="10"/>
  <c r="BK52" i="10"/>
  <c r="BK59" i="10"/>
  <c r="BG47" i="10"/>
  <c r="BI126" i="10"/>
  <c r="BI44" i="10"/>
  <c r="BJ45" i="10"/>
  <c r="BK126" i="10"/>
  <c r="BJ107" i="10"/>
  <c r="BK124" i="10"/>
  <c r="BG115" i="10"/>
  <c r="BK107" i="10"/>
  <c r="BK50" i="10"/>
  <c r="BI145" i="10"/>
  <c r="BJ116" i="10"/>
  <c r="BG122" i="10"/>
  <c r="BK114" i="10"/>
  <c r="BI50" i="10"/>
  <c r="BM115" i="10"/>
  <c r="BG145" i="10"/>
  <c r="BM116" i="10"/>
  <c r="BI109" i="10"/>
  <c r="BJ58" i="10"/>
  <c r="BK147" i="10"/>
  <c r="BM56" i="10"/>
  <c r="BK110" i="10"/>
  <c r="BG108" i="10"/>
  <c r="BM110" i="10"/>
  <c r="BG56" i="10"/>
  <c r="BG110" i="10"/>
  <c r="BI56" i="10"/>
  <c r="BJ108" i="10"/>
  <c r="BN113" i="10"/>
  <c r="BS113" i="10" s="1"/>
  <c r="BJ122" i="10"/>
  <c r="BK151" i="10"/>
  <c r="BK146" i="10"/>
  <c r="BK46" i="10"/>
  <c r="BJ50" i="10"/>
  <c r="BI45" i="10"/>
  <c r="BI115" i="10"/>
  <c r="BM145" i="10"/>
  <c r="BG123" i="10"/>
  <c r="BG107" i="10"/>
  <c r="BI122" i="10"/>
  <c r="BK111" i="10"/>
  <c r="BM118" i="10"/>
  <c r="BG151" i="10"/>
  <c r="BG62" i="10"/>
  <c r="BM45" i="10"/>
  <c r="BM62" i="10"/>
  <c r="BJ151" i="10"/>
  <c r="BK122" i="10"/>
  <c r="BG109" i="10"/>
  <c r="BI155" i="10"/>
  <c r="BJ112" i="10"/>
  <c r="BJ46" i="10"/>
  <c r="BM60" i="10"/>
  <c r="BN60" i="10" s="1"/>
  <c r="BO60" i="10" s="1"/>
  <c r="BI151" i="10"/>
  <c r="BJ115" i="10"/>
  <c r="BI116" i="10"/>
  <c r="BG111" i="10"/>
  <c r="BM112" i="10"/>
  <c r="BI118" i="10"/>
  <c r="BG61" i="10"/>
  <c r="BI62" i="10"/>
  <c r="BG146" i="10"/>
  <c r="BG155" i="10"/>
  <c r="BM154" i="10"/>
  <c r="BG154" i="10"/>
  <c r="BJ154" i="10"/>
  <c r="BK154" i="10"/>
  <c r="BI154" i="10"/>
  <c r="BJ142" i="10"/>
  <c r="BJ49" i="10"/>
  <c r="BG49" i="10"/>
  <c r="BK49" i="10"/>
  <c r="BI49" i="10"/>
  <c r="BT69" i="10"/>
  <c r="BT133" i="10"/>
  <c r="BT101" i="10"/>
  <c r="BK61" i="10"/>
  <c r="BJ141" i="10"/>
  <c r="BI149" i="10"/>
  <c r="BG140" i="10"/>
  <c r="BM142" i="10"/>
  <c r="BK157" i="10"/>
  <c r="BM149" i="10"/>
  <c r="BG150" i="10"/>
  <c r="BM150" i="10"/>
  <c r="BK150" i="10"/>
  <c r="BI150" i="10"/>
  <c r="BJ150" i="10"/>
  <c r="BM153" i="10"/>
  <c r="BK143" i="10"/>
  <c r="BJ143" i="10"/>
  <c r="BI143" i="10"/>
  <c r="BG143" i="10"/>
  <c r="BM143" i="10"/>
  <c r="BI153" i="10"/>
  <c r="BG149" i="10"/>
  <c r="BI141" i="10"/>
  <c r="BK139" i="10"/>
  <c r="BM139" i="10"/>
  <c r="BG139" i="10"/>
  <c r="BI139" i="10"/>
  <c r="BJ139" i="10"/>
  <c r="BM61" i="10"/>
  <c r="BM141" i="10"/>
  <c r="BK149" i="10"/>
  <c r="BK148" i="10"/>
  <c r="BJ148" i="10"/>
  <c r="BM148" i="10"/>
  <c r="BG148" i="10"/>
  <c r="BI148" i="10"/>
  <c r="BK140" i="10"/>
  <c r="BK142" i="10"/>
  <c r="BM155" i="10"/>
  <c r="BI157" i="10"/>
  <c r="BG152" i="10"/>
  <c r="BK152" i="10"/>
  <c r="BI152" i="10"/>
  <c r="BJ152" i="10"/>
  <c r="BM152" i="10"/>
  <c r="BM49" i="10"/>
  <c r="BG141" i="10"/>
  <c r="BJ149" i="10"/>
  <c r="BJ156" i="10"/>
  <c r="BG156" i="10"/>
  <c r="BM156" i="10"/>
  <c r="BI156" i="10"/>
  <c r="BK156" i="10"/>
  <c r="BM140" i="10"/>
  <c r="BK153" i="10"/>
  <c r="BI142" i="10"/>
  <c r="BJ146" i="10"/>
  <c r="BK155" i="10"/>
  <c r="BM157" i="10"/>
  <c r="BG153" i="10"/>
  <c r="BO133" i="10"/>
  <c r="BO101" i="10"/>
  <c r="BO69" i="10"/>
  <c r="BF161" i="10"/>
  <c r="BK158" i="10"/>
  <c r="BG158" i="10"/>
  <c r="BI158" i="10"/>
  <c r="BM158" i="10"/>
  <c r="BJ158" i="10"/>
  <c r="BJ144" i="10"/>
  <c r="BK144" i="10"/>
  <c r="BM144" i="10"/>
  <c r="BG144" i="10"/>
  <c r="BI144" i="10"/>
  <c r="BJ140" i="10"/>
  <c r="BJ145" i="10"/>
  <c r="BJ153" i="10"/>
  <c r="BM146" i="10"/>
  <c r="BG43" i="1"/>
  <c r="AH18" i="10"/>
  <c r="AG17" i="10"/>
  <c r="AG13" i="10"/>
  <c r="AF15" i="10"/>
  <c r="BN59" i="10"/>
  <c r="BN57" i="10"/>
  <c r="BT57" i="10" s="1"/>
  <c r="AG18" i="10"/>
  <c r="AK15" i="10"/>
  <c r="BQ14" i="10"/>
  <c r="AH15" i="10"/>
  <c r="BN53" i="10"/>
  <c r="BO53" i="10" s="1"/>
  <c r="AD21" i="10"/>
  <c r="AB13" i="10"/>
  <c r="AI13" i="10" s="1"/>
  <c r="AJ22" i="10"/>
  <c r="AE32" i="10"/>
  <c r="AC28" i="10"/>
  <c r="AE18" i="10"/>
  <c r="AB28" i="10"/>
  <c r="AI28" i="10" s="1"/>
  <c r="BS14" i="10"/>
  <c r="AK23" i="10"/>
  <c r="AK32" i="10"/>
  <c r="AH13" i="10"/>
  <c r="AG24" i="10"/>
  <c r="AK24" i="10"/>
  <c r="Y28" i="10"/>
  <c r="BP14" i="10"/>
  <c r="Y21" i="10"/>
  <c r="BV14" i="10"/>
  <c r="BY14" i="10" s="1"/>
  <c r="AK18" i="10"/>
  <c r="AH24" i="10"/>
  <c r="BT33" i="10"/>
  <c r="BU33" i="10"/>
  <c r="BO33" i="10"/>
  <c r="BP33" i="10"/>
  <c r="BR33" i="10"/>
  <c r="BQ33" i="10"/>
  <c r="BV33" i="10"/>
  <c r="BS33" i="10"/>
  <c r="CC33" i="10" s="1"/>
  <c r="DA33" i="10" s="1"/>
  <c r="AJ16" i="10"/>
  <c r="X21" i="10"/>
  <c r="Z21" i="10"/>
  <c r="K53" i="10"/>
  <c r="BT37" i="10"/>
  <c r="AJ18" i="10"/>
  <c r="AJ15" i="10"/>
  <c r="AG28" i="10"/>
  <c r="AJ24" i="10"/>
  <c r="BR14" i="10"/>
  <c r="AG16" i="10"/>
  <c r="Y13" i="10"/>
  <c r="AF13" i="10" s="1"/>
  <c r="AK22" i="10"/>
  <c r="X13" i="10"/>
  <c r="AE13" i="10" s="1"/>
  <c r="AH22" i="10"/>
  <c r="AJ23" i="10"/>
  <c r="AC21" i="10"/>
  <c r="I53" i="10"/>
  <c r="I58" i="10" s="1"/>
  <c r="AF24" i="10"/>
  <c r="AE24" i="10"/>
  <c r="AA21" i="10"/>
  <c r="BN50" i="10"/>
  <c r="BT50" i="10" s="1"/>
  <c r="AC17" i="10"/>
  <c r="AJ20" i="10"/>
  <c r="AK17" i="10"/>
  <c r="BN54" i="10"/>
  <c r="BO54" i="10" s="1"/>
  <c r="AE22" i="10"/>
  <c r="AG22" i="10"/>
  <c r="AB17" i="10"/>
  <c r="AI17" i="10" s="1"/>
  <c r="AE15" i="10"/>
  <c r="AA29" i="10"/>
  <c r="BU14" i="10"/>
  <c r="CE14" i="10" s="1"/>
  <c r="AF18" i="10"/>
  <c r="AF16" i="10"/>
  <c r="BO37" i="10"/>
  <c r="K56" i="10"/>
  <c r="AE17" i="10"/>
  <c r="BN43" i="10"/>
  <c r="AE23" i="10"/>
  <c r="AD13" i="10"/>
  <c r="AK13" i="10" s="1"/>
  <c r="AC29" i="10"/>
  <c r="BN55" i="10"/>
  <c r="AB29" i="10"/>
  <c r="AI29" i="10" s="1"/>
  <c r="AC13" i="10"/>
  <c r="AJ13" i="10" s="1"/>
  <c r="AF23" i="10"/>
  <c r="AG15" i="10"/>
  <c r="AH32" i="10"/>
  <c r="AE20" i="10"/>
  <c r="AB21" i="10"/>
  <c r="AI21" i="10" s="1"/>
  <c r="BU13" i="10"/>
  <c r="CE13" i="10" s="1"/>
  <c r="BT13" i="10"/>
  <c r="CD13" i="10" s="1"/>
  <c r="BS13" i="10"/>
  <c r="BV13" i="10"/>
  <c r="BP13" i="10"/>
  <c r="BZ13" i="10" s="1"/>
  <c r="BO13" i="10"/>
  <c r="BY13" i="10" s="1"/>
  <c r="BR13" i="10"/>
  <c r="CB13" i="10" s="1"/>
  <c r="BQ13" i="10"/>
  <c r="CA13" i="10" s="1"/>
  <c r="AH16" i="10"/>
  <c r="AH23" i="10"/>
  <c r="AG23" i="10"/>
  <c r="AF22" i="10"/>
  <c r="BF15" i="10"/>
  <c r="BL15" i="10"/>
  <c r="BK15" i="10"/>
  <c r="BG15" i="10"/>
  <c r="BJ15" i="10"/>
  <c r="BD15" i="10"/>
  <c r="BM15" i="10"/>
  <c r="BC16" i="10"/>
  <c r="BM52" i="1"/>
  <c r="BG58" i="1"/>
  <c r="BM62" i="1"/>
  <c r="BG62" i="1"/>
  <c r="BG61" i="1"/>
  <c r="G77" i="5"/>
  <c r="E77" i="5"/>
  <c r="H77" i="5"/>
  <c r="M77" i="5"/>
  <c r="F77" i="5"/>
  <c r="D77" i="5"/>
  <c r="BM48" i="1"/>
  <c r="BG55" i="1"/>
  <c r="L77" i="5"/>
  <c r="BP37" i="1"/>
  <c r="BG45" i="1"/>
  <c r="BG53" i="1"/>
  <c r="K50" i="1"/>
  <c r="BM46" i="1"/>
  <c r="BM43" i="1"/>
  <c r="BM44" i="1"/>
  <c r="BU37" i="1"/>
  <c r="I54" i="1"/>
  <c r="I59" i="1" s="1"/>
  <c r="J77" i="5"/>
  <c r="I77" i="5"/>
  <c r="K77" i="5"/>
  <c r="BL48" i="1"/>
  <c r="BG48" i="1"/>
  <c r="BM51" i="1"/>
  <c r="BM57" i="1"/>
  <c r="BL46" i="1"/>
  <c r="BM54" i="1"/>
  <c r="BG49" i="1"/>
  <c r="BM59" i="1"/>
  <c r="BG57" i="1"/>
  <c r="BM55" i="1"/>
  <c r="BM50" i="1"/>
  <c r="BM53" i="1"/>
  <c r="BG51" i="1"/>
  <c r="BG59" i="1"/>
  <c r="BL53" i="1"/>
  <c r="BL55" i="1"/>
  <c r="BG44" i="1"/>
  <c r="BL44" i="1"/>
  <c r="BM49" i="1"/>
  <c r="BG52" i="1"/>
  <c r="BG47" i="1"/>
  <c r="BM47" i="1"/>
  <c r="BL58" i="1"/>
  <c r="BG50" i="1"/>
  <c r="BM56" i="1"/>
  <c r="BM58" i="1"/>
  <c r="BL43" i="1"/>
  <c r="BG46" i="1"/>
  <c r="BG54" i="1"/>
  <c r="BL61" i="1"/>
  <c r="BL45" i="1"/>
  <c r="BG60" i="1"/>
  <c r="BL52" i="1"/>
  <c r="BM60" i="1"/>
  <c r="BM45" i="1"/>
  <c r="BM61" i="1"/>
  <c r="BG56" i="1"/>
  <c r="K55" i="1"/>
  <c r="H56" i="1"/>
  <c r="I56" i="1" s="1"/>
  <c r="H52" i="1"/>
  <c r="BJ47" i="1"/>
  <c r="BJ55" i="1"/>
  <c r="BJ51" i="1"/>
  <c r="BJ44" i="1"/>
  <c r="BJ48" i="1"/>
  <c r="BJ56" i="1"/>
  <c r="BJ58" i="1"/>
  <c r="BJ59" i="1"/>
  <c r="BJ60" i="1"/>
  <c r="BJ49" i="1"/>
  <c r="BJ57" i="1"/>
  <c r="BJ50" i="1"/>
  <c r="J52" i="1"/>
  <c r="BJ45" i="1"/>
  <c r="BJ53" i="1"/>
  <c r="BJ61" i="1"/>
  <c r="BJ46" i="1"/>
  <c r="BJ54" i="1"/>
  <c r="BJ43" i="1"/>
  <c r="BJ52" i="1"/>
  <c r="BJ62" i="1"/>
  <c r="H51" i="1"/>
  <c r="BI44" i="1"/>
  <c r="BI52" i="1"/>
  <c r="BI60" i="1"/>
  <c r="BI55" i="1"/>
  <c r="BI56" i="1"/>
  <c r="BI45" i="1"/>
  <c r="BI53" i="1"/>
  <c r="BI61" i="1"/>
  <c r="BI43" i="1"/>
  <c r="BI46" i="1"/>
  <c r="BI54" i="1"/>
  <c r="BI62" i="1"/>
  <c r="BI47" i="1"/>
  <c r="BI48" i="1"/>
  <c r="BI57" i="1"/>
  <c r="BI49" i="1"/>
  <c r="J51" i="1"/>
  <c r="BI50" i="1"/>
  <c r="BI58" i="1"/>
  <c r="BI51" i="1"/>
  <c r="BI59" i="1"/>
  <c r="H53" i="1"/>
  <c r="BK44" i="1"/>
  <c r="BK52" i="1"/>
  <c r="BK60" i="1"/>
  <c r="BK43" i="1"/>
  <c r="BK45" i="1"/>
  <c r="BK53" i="1"/>
  <c r="BK61" i="1"/>
  <c r="BK55" i="1"/>
  <c r="BK48" i="1"/>
  <c r="BK46" i="1"/>
  <c r="BK54" i="1"/>
  <c r="BK62" i="1"/>
  <c r="BK47" i="1"/>
  <c r="J53" i="1"/>
  <c r="BK56" i="1"/>
  <c r="BK50" i="1"/>
  <c r="BK58" i="1"/>
  <c r="BK51" i="1"/>
  <c r="BK59" i="1"/>
  <c r="BK49" i="1"/>
  <c r="BK57" i="1"/>
  <c r="I57" i="1"/>
  <c r="K57" i="1"/>
  <c r="BQ37" i="1"/>
  <c r="S54" i="7"/>
  <c r="T54" i="7"/>
  <c r="U54" i="7"/>
  <c r="V54" i="7"/>
  <c r="X54" i="7"/>
  <c r="Y54" i="7"/>
  <c r="Z54" i="7"/>
  <c r="AB54" i="7"/>
  <c r="AD54" i="7"/>
  <c r="AF54" i="7"/>
  <c r="R54" i="7"/>
  <c r="AE37" i="7"/>
  <c r="AA37" i="7"/>
  <c r="Y37" i="7"/>
  <c r="X37" i="7"/>
  <c r="W37" i="7"/>
  <c r="T37" i="7"/>
  <c r="R37" i="7"/>
  <c r="BT43" i="10" l="1"/>
  <c r="BO43" i="10"/>
  <c r="BN121" i="10"/>
  <c r="BV121" i="10" s="1"/>
  <c r="BN117" i="10"/>
  <c r="BR117" i="10" s="1"/>
  <c r="BN120" i="10"/>
  <c r="BU120" i="10" s="1"/>
  <c r="BQ120" i="10"/>
  <c r="BN123" i="10"/>
  <c r="BO123" i="10" s="1"/>
  <c r="BN124" i="10"/>
  <c r="BV124" i="10" s="1"/>
  <c r="BN52" i="10"/>
  <c r="BT52" i="10" s="1"/>
  <c r="BQ117" i="10"/>
  <c r="BU113" i="10"/>
  <c r="BN48" i="10"/>
  <c r="BT48" i="10" s="1"/>
  <c r="BN114" i="10"/>
  <c r="BP114" i="10" s="1"/>
  <c r="BN108" i="10"/>
  <c r="BS108" i="10" s="1"/>
  <c r="BN126" i="10"/>
  <c r="BR126" i="10" s="1"/>
  <c r="BP126" i="10"/>
  <c r="BO126" i="10"/>
  <c r="BN44" i="10"/>
  <c r="BO44" i="10" s="1"/>
  <c r="BN47" i="10"/>
  <c r="BS47" i="10" s="1"/>
  <c r="BN58" i="10"/>
  <c r="BO58" i="10" s="1"/>
  <c r="BQ113" i="10"/>
  <c r="BV117" i="10"/>
  <c r="BP117" i="10"/>
  <c r="BT117" i="10"/>
  <c r="BN147" i="10"/>
  <c r="BU147" i="10" s="1"/>
  <c r="BN119" i="10"/>
  <c r="BV119" i="10" s="1"/>
  <c r="BN51" i="10"/>
  <c r="BS51" i="10" s="1"/>
  <c r="BO117" i="10"/>
  <c r="BR113" i="10"/>
  <c r="BV113" i="10"/>
  <c r="BN110" i="10"/>
  <c r="BV110" i="10" s="1"/>
  <c r="BO120" i="10"/>
  <c r="BT126" i="10"/>
  <c r="BV120" i="10"/>
  <c r="BR120" i="10"/>
  <c r="BN125" i="10"/>
  <c r="BQ121" i="10"/>
  <c r="BU117" i="10"/>
  <c r="BN62" i="10"/>
  <c r="BT62" i="10" s="1"/>
  <c r="G37" i="10" s="1"/>
  <c r="H37" i="10" s="1"/>
  <c r="BN111" i="10"/>
  <c r="BQ111" i="10" s="1"/>
  <c r="BU114" i="10"/>
  <c r="BO48" i="10"/>
  <c r="BN112" i="10"/>
  <c r="BO112" i="10" s="1"/>
  <c r="BQ48" i="10"/>
  <c r="BP120" i="10"/>
  <c r="BN116" i="10"/>
  <c r="BQ116" i="10" s="1"/>
  <c r="BN109" i="10"/>
  <c r="BP109" i="10" s="1"/>
  <c r="BS120" i="10"/>
  <c r="BS117" i="10"/>
  <c r="BN115" i="10"/>
  <c r="BV115" i="10" s="1"/>
  <c r="BN45" i="10"/>
  <c r="BO45" i="10" s="1"/>
  <c r="BN56" i="10"/>
  <c r="BT56" i="10" s="1"/>
  <c r="BT120" i="10"/>
  <c r="BO121" i="10"/>
  <c r="BT113" i="10"/>
  <c r="BS114" i="10"/>
  <c r="BO51" i="10"/>
  <c r="BN145" i="10"/>
  <c r="BR145" i="10" s="1"/>
  <c r="BR147" i="10"/>
  <c r="BT119" i="10"/>
  <c r="BP121" i="10"/>
  <c r="BN122" i="10"/>
  <c r="BT122" i="10" s="1"/>
  <c r="BP113" i="10"/>
  <c r="BN49" i="10"/>
  <c r="BQ49" i="10" s="1"/>
  <c r="BO114" i="10"/>
  <c r="BN142" i="10"/>
  <c r="BU142" i="10" s="1"/>
  <c r="BN61" i="10"/>
  <c r="BO61" i="10" s="1"/>
  <c r="BS121" i="10"/>
  <c r="BO113" i="10"/>
  <c r="BU121" i="10"/>
  <c r="BN118" i="10"/>
  <c r="BQ118" i="10" s="1"/>
  <c r="BN46" i="10"/>
  <c r="BO46" i="10" s="1"/>
  <c r="BU112" i="10"/>
  <c r="BS112" i="10"/>
  <c r="BV116" i="10"/>
  <c r="BO115" i="10"/>
  <c r="BP123" i="10"/>
  <c r="BU123" i="10"/>
  <c r="BN143" i="10"/>
  <c r="BU143" i="10" s="1"/>
  <c r="BR121" i="10"/>
  <c r="BQ114" i="10"/>
  <c r="BN157" i="10"/>
  <c r="BQ157" i="10" s="1"/>
  <c r="BR114" i="10"/>
  <c r="BN155" i="10"/>
  <c r="BR155" i="10" s="1"/>
  <c r="BT121" i="10"/>
  <c r="BV114" i="10"/>
  <c r="BN151" i="10"/>
  <c r="BN153" i="10"/>
  <c r="BS153" i="10" s="1"/>
  <c r="BN146" i="10"/>
  <c r="BS146" i="10" s="1"/>
  <c r="BN154" i="10"/>
  <c r="BN144" i="10"/>
  <c r="BN139" i="10"/>
  <c r="BV143" i="10"/>
  <c r="BN140" i="10"/>
  <c r="BO52" i="10"/>
  <c r="BN141" i="10"/>
  <c r="BN148" i="10"/>
  <c r="BN149" i="10"/>
  <c r="BN158" i="10"/>
  <c r="BN156" i="10"/>
  <c r="BN152" i="10"/>
  <c r="BN150" i="10"/>
  <c r="BT60" i="10"/>
  <c r="BO56" i="10"/>
  <c r="BO57" i="10"/>
  <c r="BO50" i="10"/>
  <c r="BT54" i="10"/>
  <c r="BU48" i="10"/>
  <c r="BR48" i="10"/>
  <c r="BV48" i="10"/>
  <c r="BP48" i="10"/>
  <c r="CA33" i="10"/>
  <c r="CY33" i="10" s="1"/>
  <c r="BP56" i="10"/>
  <c r="BR56" i="10"/>
  <c r="BS56" i="10"/>
  <c r="BQ56" i="10"/>
  <c r="BV56" i="10"/>
  <c r="BU56" i="10"/>
  <c r="AH21" i="10"/>
  <c r="BV44" i="10"/>
  <c r="BP44" i="10"/>
  <c r="BS44" i="10"/>
  <c r="CD33" i="10"/>
  <c r="DB33" i="10" s="1"/>
  <c r="CC14" i="10"/>
  <c r="DA14" i="10" s="1"/>
  <c r="AK21" i="10"/>
  <c r="BV57" i="10"/>
  <c r="BQ57" i="10"/>
  <c r="BS57" i="10"/>
  <c r="BR57" i="10"/>
  <c r="BP57" i="10"/>
  <c r="BU57" i="10"/>
  <c r="BS59" i="10"/>
  <c r="BU59" i="10"/>
  <c r="BV59" i="10"/>
  <c r="BP59" i="10"/>
  <c r="BR59" i="10"/>
  <c r="BQ59" i="10"/>
  <c r="AH28" i="10"/>
  <c r="AJ29" i="10"/>
  <c r="BO59" i="10"/>
  <c r="BU47" i="10"/>
  <c r="BQ47" i="10"/>
  <c r="BR47" i="10"/>
  <c r="AJ28" i="10"/>
  <c r="AJ21" i="10"/>
  <c r="CB33" i="10"/>
  <c r="CZ33" i="10" s="1"/>
  <c r="CX13" i="10"/>
  <c r="CB14" i="10"/>
  <c r="CD14" i="10"/>
  <c r="BZ33" i="10"/>
  <c r="CX33" i="10" s="1"/>
  <c r="BR52" i="10"/>
  <c r="BV52" i="10"/>
  <c r="BP52" i="10"/>
  <c r="BS52" i="10"/>
  <c r="BQ52" i="10"/>
  <c r="BU52" i="10"/>
  <c r="AK29" i="10"/>
  <c r="BV55" i="10"/>
  <c r="BR55" i="10"/>
  <c r="BU55" i="10"/>
  <c r="BP55" i="10"/>
  <c r="BS55" i="10"/>
  <c r="BQ55" i="10"/>
  <c r="BO55" i="10"/>
  <c r="BV54" i="10"/>
  <c r="BR54" i="10"/>
  <c r="BP54" i="10"/>
  <c r="BS54" i="10"/>
  <c r="BU54" i="10"/>
  <c r="BQ54" i="10"/>
  <c r="BU53" i="10"/>
  <c r="BQ53" i="10"/>
  <c r="BR53" i="10"/>
  <c r="BV53" i="10"/>
  <c r="BS53" i="10"/>
  <c r="BP53" i="10"/>
  <c r="CA14" i="10"/>
  <c r="CY14" i="10" s="1"/>
  <c r="BU43" i="10"/>
  <c r="BV43" i="10"/>
  <c r="BP43" i="10"/>
  <c r="BR43" i="10"/>
  <c r="BS43" i="10"/>
  <c r="BQ43" i="10"/>
  <c r="AJ17" i="10"/>
  <c r="BT47" i="10"/>
  <c r="BT59" i="10"/>
  <c r="BR60" i="10"/>
  <c r="BP60" i="10"/>
  <c r="BQ60" i="10"/>
  <c r="BU60" i="10"/>
  <c r="BV60" i="10"/>
  <c r="BS60" i="10"/>
  <c r="BY33" i="10"/>
  <c r="CW33" i="10" s="1"/>
  <c r="BZ14" i="10"/>
  <c r="CX14" i="10" s="1"/>
  <c r="AK28" i="10"/>
  <c r="BM16" i="10"/>
  <c r="BL16" i="10"/>
  <c r="BJ16" i="10"/>
  <c r="BF16" i="10"/>
  <c r="BK16" i="10"/>
  <c r="BG16" i="10"/>
  <c r="BD16" i="10"/>
  <c r="BC17" i="10"/>
  <c r="BU61" i="10"/>
  <c r="BS61" i="10"/>
  <c r="BP45" i="10"/>
  <c r="BV45" i="10"/>
  <c r="AE28" i="10"/>
  <c r="DC14" i="10"/>
  <c r="AF29" i="10"/>
  <c r="BP62" i="10"/>
  <c r="G34" i="10" s="1"/>
  <c r="H34" i="10" s="1"/>
  <c r="BR62" i="10"/>
  <c r="G35" i="10" s="1"/>
  <c r="H35" i="10" s="1"/>
  <c r="BQ62" i="10"/>
  <c r="G41" i="10" s="1"/>
  <c r="H41" i="10" s="1"/>
  <c r="BU62" i="10"/>
  <c r="G38" i="10" s="1"/>
  <c r="H38" i="10" s="1"/>
  <c r="BS62" i="10"/>
  <c r="G36" i="10" s="1"/>
  <c r="H36" i="10" s="1"/>
  <c r="AH29" i="10"/>
  <c r="BT53" i="10"/>
  <c r="AG21" i="10"/>
  <c r="AF21" i="10"/>
  <c r="AE29" i="10"/>
  <c r="BN15" i="10"/>
  <c r="CC13" i="10"/>
  <c r="DA13" i="10" s="1"/>
  <c r="BR58" i="10"/>
  <c r="BQ58" i="10"/>
  <c r="AG29" i="10"/>
  <c r="BO62" i="10"/>
  <c r="G40" i="10" s="1"/>
  <c r="H40" i="10" s="1"/>
  <c r="BR50" i="10"/>
  <c r="BS50" i="10"/>
  <c r="BQ50" i="10"/>
  <c r="BU50" i="10"/>
  <c r="BP50" i="10"/>
  <c r="BV50" i="10"/>
  <c r="AF17" i="10"/>
  <c r="BT55" i="10"/>
  <c r="BT44" i="10"/>
  <c r="AE21" i="10"/>
  <c r="CE33" i="10"/>
  <c r="DC33" i="10" s="1"/>
  <c r="AF28" i="10"/>
  <c r="AH17" i="10"/>
  <c r="K56" i="1"/>
  <c r="BO37" i="1"/>
  <c r="BN59" i="1"/>
  <c r="BO59" i="1" s="1"/>
  <c r="BN45" i="1"/>
  <c r="BP45" i="1" s="1"/>
  <c r="BN47" i="1"/>
  <c r="BO47" i="1" s="1"/>
  <c r="BN49" i="1"/>
  <c r="BO49" i="1" s="1"/>
  <c r="BN55" i="1"/>
  <c r="BS55" i="1" s="1"/>
  <c r="BN46" i="1"/>
  <c r="BT46" i="1" s="1"/>
  <c r="BN62" i="1"/>
  <c r="BO62" i="1" s="1"/>
  <c r="G40" i="1" s="1"/>
  <c r="H40" i="1" s="1"/>
  <c r="BN61" i="1"/>
  <c r="I51" i="1"/>
  <c r="BR37" i="1"/>
  <c r="K51" i="1"/>
  <c r="I53" i="1"/>
  <c r="BT37" i="1"/>
  <c r="K53" i="1"/>
  <c r="BN57" i="1"/>
  <c r="BS57" i="1" s="1"/>
  <c r="BN53" i="1"/>
  <c r="BS53" i="1" s="1"/>
  <c r="BN56" i="1"/>
  <c r="BT56" i="1" s="1"/>
  <c r="BN48" i="1"/>
  <c r="BR48" i="1" s="1"/>
  <c r="BN58" i="1"/>
  <c r="BR58" i="1" s="1"/>
  <c r="BN54" i="1"/>
  <c r="BT54" i="1" s="1"/>
  <c r="BN60" i="1"/>
  <c r="BS60" i="1" s="1"/>
  <c r="BN50" i="1"/>
  <c r="BS50" i="1" s="1"/>
  <c r="BN52" i="1"/>
  <c r="BR52" i="1" s="1"/>
  <c r="I52" i="1"/>
  <c r="BS37" i="1"/>
  <c r="K52" i="1"/>
  <c r="BN51" i="1"/>
  <c r="BT51" i="1" s="1"/>
  <c r="BN43" i="1"/>
  <c r="BN44" i="1"/>
  <c r="BR44" i="1" s="1"/>
  <c r="AF37" i="7"/>
  <c r="AD37" i="7"/>
  <c r="AC37" i="7"/>
  <c r="AB37" i="7"/>
  <c r="Z37" i="7"/>
  <c r="V37" i="7"/>
  <c r="U37" i="7"/>
  <c r="S37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38" i="7"/>
  <c r="D31" i="7"/>
  <c r="BU111" i="10" l="1"/>
  <c r="BS123" i="10"/>
  <c r="BV111" i="10"/>
  <c r="BQ126" i="10"/>
  <c r="BO147" i="10"/>
  <c r="BV123" i="10"/>
  <c r="BR111" i="10"/>
  <c r="BR108" i="10"/>
  <c r="BQ142" i="10"/>
  <c r="BT123" i="10"/>
  <c r="BT111" i="10"/>
  <c r="BV108" i="10"/>
  <c r="BQ123" i="10"/>
  <c r="BR123" i="10"/>
  <c r="BS111" i="10"/>
  <c r="BS126" i="10"/>
  <c r="BU126" i="10"/>
  <c r="BS147" i="10"/>
  <c r="BP108" i="10"/>
  <c r="BQ110" i="10"/>
  <c r="BR116" i="10"/>
  <c r="BP116" i="10"/>
  <c r="BU110" i="10"/>
  <c r="BT147" i="10"/>
  <c r="BU116" i="10"/>
  <c r="BR110" i="10"/>
  <c r="BO108" i="10"/>
  <c r="BT114" i="10"/>
  <c r="BS116" i="10"/>
  <c r="BT110" i="10"/>
  <c r="BQ108" i="10"/>
  <c r="BP124" i="10"/>
  <c r="BO143" i="10"/>
  <c r="BO111" i="10"/>
  <c r="BV147" i="10"/>
  <c r="BT108" i="10"/>
  <c r="BQ147" i="10"/>
  <c r="BR124" i="10"/>
  <c r="BT143" i="10"/>
  <c r="BO122" i="10"/>
  <c r="BR143" i="10"/>
  <c r="BP111" i="10"/>
  <c r="BV126" i="10"/>
  <c r="BU108" i="10"/>
  <c r="BQ143" i="10"/>
  <c r="BS143" i="10"/>
  <c r="BQ112" i="10"/>
  <c r="BT145" i="10"/>
  <c r="BO116" i="10"/>
  <c r="BP147" i="10"/>
  <c r="BO124" i="10"/>
  <c r="BV51" i="10"/>
  <c r="BQ119" i="10"/>
  <c r="BS110" i="10"/>
  <c r="BQ124" i="10"/>
  <c r="BT142" i="10"/>
  <c r="BU119" i="10"/>
  <c r="BO110" i="10"/>
  <c r="BS48" i="10"/>
  <c r="BT124" i="10"/>
  <c r="BV142" i="10"/>
  <c r="BS115" i="10"/>
  <c r="BP110" i="10"/>
  <c r="BU124" i="10"/>
  <c r="BS124" i="10"/>
  <c r="BR142" i="10"/>
  <c r="BP115" i="10"/>
  <c r="BP51" i="10"/>
  <c r="BO153" i="10"/>
  <c r="BU58" i="10"/>
  <c r="BO47" i="10"/>
  <c r="BV47" i="10"/>
  <c r="BQ44" i="10"/>
  <c r="BO145" i="10"/>
  <c r="BT51" i="10"/>
  <c r="BR115" i="10"/>
  <c r="BV112" i="10"/>
  <c r="BP119" i="10"/>
  <c r="BU51" i="10"/>
  <c r="BU145" i="10"/>
  <c r="BP145" i="10"/>
  <c r="BT115" i="10"/>
  <c r="BP112" i="10"/>
  <c r="BQ51" i="10"/>
  <c r="BS58" i="10"/>
  <c r="BQ61" i="10"/>
  <c r="BV145" i="10"/>
  <c r="BQ115" i="10"/>
  <c r="BT112" i="10"/>
  <c r="BR119" i="10"/>
  <c r="BO119" i="10"/>
  <c r="BU153" i="10"/>
  <c r="BP153" i="10"/>
  <c r="BP61" i="10"/>
  <c r="BT58" i="10"/>
  <c r="BP58" i="10"/>
  <c r="BV61" i="10"/>
  <c r="BP47" i="10"/>
  <c r="BU44" i="10"/>
  <c r="BS145" i="10"/>
  <c r="BV118" i="10"/>
  <c r="BU115" i="10"/>
  <c r="BR112" i="10"/>
  <c r="BS119" i="10"/>
  <c r="BT61" i="10"/>
  <c r="BP49" i="10"/>
  <c r="BV58" i="10"/>
  <c r="BR61" i="10"/>
  <c r="BR44" i="10"/>
  <c r="BR51" i="10"/>
  <c r="BT118" i="10"/>
  <c r="BR153" i="10"/>
  <c r="BO142" i="10"/>
  <c r="BQ145" i="10"/>
  <c r="BP46" i="10"/>
  <c r="BS46" i="10"/>
  <c r="BT45" i="10"/>
  <c r="BQ125" i="10"/>
  <c r="BS125" i="10"/>
  <c r="BO125" i="10"/>
  <c r="BV125" i="10"/>
  <c r="BR125" i="10"/>
  <c r="BU125" i="10"/>
  <c r="BT125" i="10"/>
  <c r="BP125" i="10"/>
  <c r="BR46" i="10"/>
  <c r="BR45" i="10"/>
  <c r="BV46" i="10"/>
  <c r="BP142" i="10"/>
  <c r="BV157" i="10"/>
  <c r="BU45" i="10"/>
  <c r="BS45" i="10"/>
  <c r="BT46" i="10"/>
  <c r="BU46" i="10"/>
  <c r="BT153" i="10"/>
  <c r="BS142" i="10"/>
  <c r="BT157" i="10"/>
  <c r="BV62" i="10"/>
  <c r="G39" i="10" s="1"/>
  <c r="H39" i="10" s="1"/>
  <c r="H42" i="10" s="1"/>
  <c r="BQ45" i="10"/>
  <c r="BQ46" i="10"/>
  <c r="BO157" i="10"/>
  <c r="BQ146" i="10"/>
  <c r="BU118" i="10"/>
  <c r="BQ109" i="10"/>
  <c r="BR109" i="10"/>
  <c r="BT109" i="10"/>
  <c r="BS109" i="10"/>
  <c r="BU109" i="10"/>
  <c r="BO109" i="10"/>
  <c r="BO155" i="10"/>
  <c r="BO118" i="10"/>
  <c r="BV109" i="10"/>
  <c r="BP143" i="10"/>
  <c r="BV155" i="10"/>
  <c r="BT116" i="10"/>
  <c r="BQ122" i="10"/>
  <c r="BP157" i="10"/>
  <c r="BV122" i="10"/>
  <c r="BU49" i="10"/>
  <c r="BU155" i="10"/>
  <c r="BP118" i="10"/>
  <c r="BU122" i="10"/>
  <c r="BS49" i="10"/>
  <c r="BT49" i="10"/>
  <c r="BV49" i="10"/>
  <c r="BQ155" i="10"/>
  <c r="BR122" i="10"/>
  <c r="BR49" i="10"/>
  <c r="BO146" i="10"/>
  <c r="BT155" i="10"/>
  <c r="BR118" i="10"/>
  <c r="BS122" i="10"/>
  <c r="BO49" i="10"/>
  <c r="BU146" i="10"/>
  <c r="BS155" i="10"/>
  <c r="BS118" i="10"/>
  <c r="BP122" i="10"/>
  <c r="BT146" i="10"/>
  <c r="BR146" i="10"/>
  <c r="BS157" i="10"/>
  <c r="BP146" i="10"/>
  <c r="BR157" i="10"/>
  <c r="BO151" i="10"/>
  <c r="BP151" i="10"/>
  <c r="BS151" i="10"/>
  <c r="BR151" i="10"/>
  <c r="BQ151" i="10"/>
  <c r="BT151" i="10"/>
  <c r="BU151" i="10"/>
  <c r="BV151" i="10"/>
  <c r="BV153" i="10"/>
  <c r="BQ153" i="10"/>
  <c r="BV146" i="10"/>
  <c r="BP155" i="10"/>
  <c r="BU157" i="10"/>
  <c r="BP152" i="10"/>
  <c r="BR152" i="10"/>
  <c r="BU152" i="10"/>
  <c r="BO152" i="10"/>
  <c r="BV152" i="10"/>
  <c r="BT152" i="10"/>
  <c r="BQ152" i="10"/>
  <c r="BS152" i="10"/>
  <c r="BP158" i="10"/>
  <c r="BQ158" i="10"/>
  <c r="BS158" i="10"/>
  <c r="BU158" i="10"/>
  <c r="BR158" i="10"/>
  <c r="BO158" i="10"/>
  <c r="BV158" i="10"/>
  <c r="BT158" i="10"/>
  <c r="BR150" i="10"/>
  <c r="BO150" i="10"/>
  <c r="BS150" i="10"/>
  <c r="BT150" i="10"/>
  <c r="BU150" i="10"/>
  <c r="BQ150" i="10"/>
  <c r="BP150" i="10"/>
  <c r="BV150" i="10"/>
  <c r="BS140" i="10"/>
  <c r="BV140" i="10"/>
  <c r="BQ140" i="10"/>
  <c r="BO140" i="10"/>
  <c r="BU140" i="10"/>
  <c r="BR140" i="10"/>
  <c r="BP140" i="10"/>
  <c r="BT140" i="10"/>
  <c r="BQ149" i="10"/>
  <c r="BO149" i="10"/>
  <c r="BT149" i="10"/>
  <c r="BR149" i="10"/>
  <c r="BV149" i="10"/>
  <c r="BU149" i="10"/>
  <c r="BS149" i="10"/>
  <c r="BP149" i="10"/>
  <c r="BV139" i="10"/>
  <c r="BR139" i="10"/>
  <c r="BP139" i="10"/>
  <c r="BU139" i="10"/>
  <c r="BQ139" i="10"/>
  <c r="BS139" i="10"/>
  <c r="BO139" i="10"/>
  <c r="BT139" i="10"/>
  <c r="BS148" i="10"/>
  <c r="BR148" i="10"/>
  <c r="BO148" i="10"/>
  <c r="BT148" i="10"/>
  <c r="BU148" i="10"/>
  <c r="BP148" i="10"/>
  <c r="BQ148" i="10"/>
  <c r="BV148" i="10"/>
  <c r="BP144" i="10"/>
  <c r="BV144" i="10"/>
  <c r="BQ144" i="10"/>
  <c r="BS144" i="10"/>
  <c r="BT144" i="10"/>
  <c r="BU144" i="10"/>
  <c r="BR144" i="10"/>
  <c r="BO144" i="10"/>
  <c r="BU141" i="10"/>
  <c r="BS141" i="10"/>
  <c r="BO141" i="10"/>
  <c r="BQ141" i="10"/>
  <c r="BV141" i="10"/>
  <c r="BR141" i="10"/>
  <c r="BT141" i="10"/>
  <c r="BP141" i="10"/>
  <c r="BS156" i="10"/>
  <c r="BO156" i="10"/>
  <c r="BP156" i="10"/>
  <c r="BR156" i="10"/>
  <c r="BQ156" i="10"/>
  <c r="BV156" i="10"/>
  <c r="BU156" i="10"/>
  <c r="BT156" i="10"/>
  <c r="BP154" i="10"/>
  <c r="BR154" i="10"/>
  <c r="BV154" i="10"/>
  <c r="BO154" i="10"/>
  <c r="BQ154" i="10"/>
  <c r="BT154" i="10"/>
  <c r="BS154" i="10"/>
  <c r="BU154" i="10"/>
  <c r="CW13" i="10"/>
  <c r="BT15" i="10"/>
  <c r="BV15" i="10"/>
  <c r="BR15" i="10"/>
  <c r="CB15" i="10" s="1"/>
  <c r="BO15" i="10"/>
  <c r="BY15" i="10" s="1"/>
  <c r="BU15" i="10"/>
  <c r="CE15" i="10" s="1"/>
  <c r="BP15" i="10"/>
  <c r="BZ15" i="10" s="1"/>
  <c r="BS15" i="10"/>
  <c r="CC15" i="10" s="1"/>
  <c r="DA15" i="10" s="1"/>
  <c r="BQ15" i="10"/>
  <c r="DB14" i="10"/>
  <c r="DC13" i="10"/>
  <c r="DB13" i="10"/>
  <c r="BN16" i="10"/>
  <c r="CY13" i="10"/>
  <c r="BJ17" i="10"/>
  <c r="BM17" i="10"/>
  <c r="BL17" i="10"/>
  <c r="BK17" i="10"/>
  <c r="BG17" i="10"/>
  <c r="BF17" i="10"/>
  <c r="BD17" i="10"/>
  <c r="BC18" i="10"/>
  <c r="CZ13" i="10"/>
  <c r="CZ14" i="10"/>
  <c r="CW14" i="10"/>
  <c r="BP43" i="1"/>
  <c r="BQ59" i="1"/>
  <c r="BR59" i="1"/>
  <c r="BS58" i="1"/>
  <c r="BT59" i="1"/>
  <c r="BR45" i="1"/>
  <c r="BS59" i="1"/>
  <c r="BT45" i="1"/>
  <c r="BU59" i="1"/>
  <c r="BS45" i="1"/>
  <c r="BO45" i="1"/>
  <c r="BU45" i="1"/>
  <c r="BP59" i="1"/>
  <c r="BQ49" i="1"/>
  <c r="BR49" i="1"/>
  <c r="BT49" i="1"/>
  <c r="BQ47" i="1"/>
  <c r="BS47" i="1"/>
  <c r="BT47" i="1"/>
  <c r="BQ45" i="1"/>
  <c r="BU47" i="1"/>
  <c r="BS49" i="1"/>
  <c r="BU55" i="1"/>
  <c r="BP55" i="1"/>
  <c r="BQ55" i="1"/>
  <c r="BR55" i="1"/>
  <c r="BP47" i="1"/>
  <c r="BR47" i="1"/>
  <c r="BR62" i="1"/>
  <c r="G35" i="1" s="1"/>
  <c r="H35" i="1" s="1"/>
  <c r="BU46" i="1"/>
  <c r="BT55" i="1"/>
  <c r="BO46" i="1"/>
  <c r="BO55" i="1"/>
  <c r="BU49" i="1"/>
  <c r="BR46" i="1"/>
  <c r="BP49" i="1"/>
  <c r="BQ46" i="1"/>
  <c r="BS46" i="1"/>
  <c r="BP46" i="1"/>
  <c r="BQ62" i="1"/>
  <c r="G41" i="1" s="1"/>
  <c r="H41" i="1" s="1"/>
  <c r="BR60" i="1"/>
  <c r="BS62" i="1"/>
  <c r="G36" i="1" s="1"/>
  <c r="H36" i="1" s="1"/>
  <c r="BT57" i="1"/>
  <c r="BR56" i="1"/>
  <c r="BT62" i="1"/>
  <c r="G37" i="1" s="1"/>
  <c r="H37" i="1" s="1"/>
  <c r="BU62" i="1"/>
  <c r="G38" i="1" s="1"/>
  <c r="H38" i="1" s="1"/>
  <c r="BS56" i="1"/>
  <c r="BP62" i="1"/>
  <c r="G34" i="1" s="1"/>
  <c r="H34" i="1" s="1"/>
  <c r="BR57" i="1"/>
  <c r="BS51" i="1"/>
  <c r="BT60" i="1"/>
  <c r="BR51" i="1"/>
  <c r="BS52" i="1"/>
  <c r="BS54" i="1"/>
  <c r="BQ61" i="1"/>
  <c r="BU61" i="1"/>
  <c r="BP61" i="1"/>
  <c r="BO61" i="1"/>
  <c r="BU44" i="1"/>
  <c r="BP44" i="1"/>
  <c r="BQ44" i="1"/>
  <c r="BO44" i="1"/>
  <c r="BT61" i="1"/>
  <c r="I58" i="1"/>
  <c r="BT52" i="1"/>
  <c r="BS61" i="1"/>
  <c r="BS44" i="1"/>
  <c r="BQ60" i="1"/>
  <c r="BO60" i="1"/>
  <c r="BU60" i="1"/>
  <c r="BP60" i="1"/>
  <c r="BP57" i="1"/>
  <c r="BQ57" i="1"/>
  <c r="BU57" i="1"/>
  <c r="BO57" i="1"/>
  <c r="BT58" i="1"/>
  <c r="BT43" i="1"/>
  <c r="BU43" i="1"/>
  <c r="BO43" i="1"/>
  <c r="BQ43" i="1"/>
  <c r="BP48" i="1"/>
  <c r="BO48" i="1"/>
  <c r="BU48" i="1"/>
  <c r="BQ48" i="1"/>
  <c r="BS48" i="1"/>
  <c r="BP50" i="1"/>
  <c r="BQ50" i="1"/>
  <c r="BO50" i="1"/>
  <c r="BU50" i="1"/>
  <c r="BP53" i="1"/>
  <c r="BQ53" i="1"/>
  <c r="BU53" i="1"/>
  <c r="BO53" i="1"/>
  <c r="BR61" i="1"/>
  <c r="BP54" i="1"/>
  <c r="BU54" i="1"/>
  <c r="BQ54" i="1"/>
  <c r="BO54" i="1"/>
  <c r="BT53" i="1"/>
  <c r="BR50" i="1"/>
  <c r="BR53" i="1"/>
  <c r="BO52" i="1"/>
  <c r="BU52" i="1"/>
  <c r="BP52" i="1"/>
  <c r="BQ52" i="1"/>
  <c r="BT50" i="1"/>
  <c r="BP51" i="1"/>
  <c r="BQ51" i="1"/>
  <c r="BU51" i="1"/>
  <c r="BO51" i="1"/>
  <c r="BS43" i="1"/>
  <c r="BU58" i="1"/>
  <c r="BO58" i="1"/>
  <c r="BQ58" i="1"/>
  <c r="BP58" i="1"/>
  <c r="BQ56" i="1"/>
  <c r="BU56" i="1"/>
  <c r="BO56" i="1"/>
  <c r="BP56" i="1"/>
  <c r="BT48" i="1"/>
  <c r="BT44" i="1"/>
  <c r="BR54" i="1"/>
  <c r="BR43" i="1"/>
  <c r="AY20" i="7"/>
  <c r="D46" i="7" s="1"/>
  <c r="G46" i="7" s="1"/>
  <c r="AY12" i="7"/>
  <c r="D38" i="7" s="1"/>
  <c r="G38" i="7" s="1"/>
  <c r="AY6" i="7"/>
  <c r="D32" i="7" s="1"/>
  <c r="H32" i="7" s="1"/>
  <c r="AY7" i="7"/>
  <c r="D33" i="7" s="1"/>
  <c r="J33" i="7" s="1"/>
  <c r="AY8" i="7"/>
  <c r="D34" i="7" s="1"/>
  <c r="L34" i="7" s="1"/>
  <c r="AY9" i="7"/>
  <c r="D35" i="7" s="1"/>
  <c r="M35" i="7" s="1"/>
  <c r="AY10" i="7"/>
  <c r="D36" i="7" s="1"/>
  <c r="G36" i="7" s="1"/>
  <c r="AY11" i="7"/>
  <c r="D37" i="7" s="1"/>
  <c r="G37" i="7" s="1"/>
  <c r="AY13" i="7"/>
  <c r="D39" i="7" s="1"/>
  <c r="G39" i="7" s="1"/>
  <c r="AY14" i="7"/>
  <c r="D40" i="7" s="1"/>
  <c r="H40" i="7" s="1"/>
  <c r="AY15" i="7"/>
  <c r="D41" i="7" s="1"/>
  <c r="J41" i="7" s="1"/>
  <c r="AY16" i="7"/>
  <c r="D42" i="7" s="1"/>
  <c r="L42" i="7" s="1"/>
  <c r="AY17" i="7"/>
  <c r="D43" i="7" s="1"/>
  <c r="M43" i="7" s="1"/>
  <c r="AY18" i="7"/>
  <c r="D44" i="7" s="1"/>
  <c r="G44" i="7" s="1"/>
  <c r="AY19" i="7"/>
  <c r="D45" i="7" s="1"/>
  <c r="G45" i="7" s="1"/>
  <c r="AY5" i="7"/>
  <c r="M31" i="7" s="1"/>
  <c r="AX6" i="7"/>
  <c r="AX7" i="7"/>
  <c r="AX8" i="7"/>
  <c r="AX9" i="7"/>
  <c r="AX10" i="7"/>
  <c r="AX11" i="7"/>
  <c r="AX13" i="7"/>
  <c r="AX14" i="7"/>
  <c r="AX15" i="7"/>
  <c r="AX16" i="7"/>
  <c r="AX17" i="7"/>
  <c r="AX18" i="7"/>
  <c r="AX19" i="7"/>
  <c r="AX5" i="7"/>
  <c r="N14" i="5"/>
  <c r="N13" i="5"/>
  <c r="N12" i="5"/>
  <c r="N11" i="5"/>
  <c r="N10" i="5"/>
  <c r="N9" i="5"/>
  <c r="N8" i="5"/>
  <c r="N7" i="5"/>
  <c r="N6" i="5"/>
  <c r="D31" i="1"/>
  <c r="D30" i="1"/>
  <c r="D29" i="1"/>
  <c r="D28" i="1"/>
  <c r="D27" i="1"/>
  <c r="D26" i="1"/>
  <c r="D25" i="1"/>
  <c r="D24" i="1"/>
  <c r="H35" i="6"/>
  <c r="V35" i="6"/>
  <c r="H25" i="5"/>
  <c r="H24" i="5"/>
  <c r="H23" i="5"/>
  <c r="F35" i="5"/>
  <c r="F32" i="5" s="1"/>
  <c r="H22" i="5" s="1"/>
  <c r="F31" i="5"/>
  <c r="H21" i="5"/>
  <c r="H20" i="5"/>
  <c r="H19" i="5"/>
  <c r="H18" i="5"/>
  <c r="G25" i="5"/>
  <c r="G24" i="5"/>
  <c r="G23" i="5"/>
  <c r="G21" i="5"/>
  <c r="G22" i="5"/>
  <c r="G20" i="5"/>
  <c r="G19" i="5"/>
  <c r="G18" i="5"/>
  <c r="CX15" i="10" l="1"/>
  <c r="BQ16" i="10"/>
  <c r="BO16" i="10"/>
  <c r="BU16" i="10"/>
  <c r="BR16" i="10"/>
  <c r="BV16" i="10"/>
  <c r="BT16" i="10"/>
  <c r="CD16" i="10" s="1"/>
  <c r="BP16" i="10"/>
  <c r="BS16" i="10"/>
  <c r="DC15" i="10"/>
  <c r="CW15" i="10"/>
  <c r="BK18" i="10"/>
  <c r="BJ18" i="10"/>
  <c r="BG18" i="10"/>
  <c r="BL18" i="10"/>
  <c r="BF18" i="10"/>
  <c r="BM18" i="10"/>
  <c r="BC19" i="10"/>
  <c r="BD18" i="10"/>
  <c r="CD15" i="10"/>
  <c r="DB15" i="10" s="1"/>
  <c r="CZ15" i="10"/>
  <c r="BN17" i="10"/>
  <c r="CA15" i="10"/>
  <c r="CY15" i="10" s="1"/>
  <c r="E46" i="7"/>
  <c r="G42" i="7"/>
  <c r="H33" i="7"/>
  <c r="H43" i="7"/>
  <c r="J39" i="7"/>
  <c r="J46" i="7"/>
  <c r="L46" i="7"/>
  <c r="E39" i="7"/>
  <c r="M40" i="7"/>
  <c r="G40" i="7"/>
  <c r="G41" i="7"/>
  <c r="H46" i="7"/>
  <c r="L35" i="7"/>
  <c r="M32" i="7"/>
  <c r="J34" i="7"/>
  <c r="L36" i="7"/>
  <c r="M36" i="7"/>
  <c r="J35" i="7"/>
  <c r="L38" i="7"/>
  <c r="M38" i="7"/>
  <c r="E40" i="7"/>
  <c r="H34" i="7"/>
  <c r="J38" i="7"/>
  <c r="L39" i="7"/>
  <c r="M39" i="7"/>
  <c r="E38" i="7"/>
  <c r="L40" i="7"/>
  <c r="G32" i="7"/>
  <c r="H41" i="7"/>
  <c r="J42" i="7"/>
  <c r="L43" i="7"/>
  <c r="M44" i="7"/>
  <c r="H38" i="7"/>
  <c r="G33" i="7"/>
  <c r="H42" i="7"/>
  <c r="J43" i="7"/>
  <c r="L44" i="7"/>
  <c r="M46" i="7"/>
  <c r="L37" i="7"/>
  <c r="E36" i="7"/>
  <c r="G43" i="7"/>
  <c r="H36" i="7"/>
  <c r="H44" i="7"/>
  <c r="G31" i="7"/>
  <c r="M37" i="7"/>
  <c r="H31" i="7"/>
  <c r="E31" i="7"/>
  <c r="J36" i="7"/>
  <c r="L45" i="7"/>
  <c r="E45" i="7"/>
  <c r="J45" i="7"/>
  <c r="E44" i="7"/>
  <c r="H37" i="7"/>
  <c r="E34" i="7"/>
  <c r="L32" i="7"/>
  <c r="J31" i="7"/>
  <c r="E42" i="7"/>
  <c r="E33" i="7"/>
  <c r="H39" i="7"/>
  <c r="J32" i="7"/>
  <c r="J40" i="7"/>
  <c r="L33" i="7"/>
  <c r="L41" i="7"/>
  <c r="M34" i="7"/>
  <c r="M42" i="7"/>
  <c r="L31" i="7"/>
  <c r="M45" i="7"/>
  <c r="E37" i="7"/>
  <c r="G34" i="7"/>
  <c r="H35" i="7"/>
  <c r="J44" i="7"/>
  <c r="G35" i="7"/>
  <c r="J37" i="7"/>
  <c r="E35" i="7"/>
  <c r="H45" i="7"/>
  <c r="E43" i="7"/>
  <c r="M33" i="7"/>
  <c r="M41" i="7"/>
  <c r="E41" i="7"/>
  <c r="E32" i="7"/>
  <c r="E26" i="7"/>
  <c r="G26" i="7"/>
  <c r="H26" i="7"/>
  <c r="J26" i="7"/>
  <c r="K26" i="7"/>
  <c r="L26" i="7"/>
  <c r="M26" i="7"/>
  <c r="D25" i="5"/>
  <c r="D24" i="5"/>
  <c r="D23" i="5"/>
  <c r="D22" i="5"/>
  <c r="D21" i="5"/>
  <c r="D20" i="5"/>
  <c r="D19" i="5"/>
  <c r="D27" i="5" s="1"/>
  <c r="D18" i="5"/>
  <c r="BZ16" i="10" l="1"/>
  <c r="BK19" i="10"/>
  <c r="BM19" i="10"/>
  <c r="BL19" i="10"/>
  <c r="BF19" i="10"/>
  <c r="BJ19" i="10"/>
  <c r="BC20" i="10"/>
  <c r="BG19" i="10"/>
  <c r="BD19" i="10"/>
  <c r="BQ17" i="10"/>
  <c r="BO17" i="10"/>
  <c r="BS17" i="10"/>
  <c r="BR17" i="10"/>
  <c r="BU17" i="10"/>
  <c r="BV17" i="10"/>
  <c r="BT17" i="10"/>
  <c r="BP17" i="10"/>
  <c r="CB16" i="10"/>
  <c r="CE16" i="10"/>
  <c r="CA16" i="10"/>
  <c r="BN18" i="10"/>
  <c r="BY16" i="10"/>
  <c r="CW16" i="10" s="1"/>
  <c r="CC16" i="10"/>
  <c r="DA16" i="10" s="1"/>
  <c r="H15" i="5"/>
  <c r="T35" i="6"/>
  <c r="U35" i="6"/>
  <c r="W35" i="6"/>
  <c r="X35" i="6"/>
  <c r="Y35" i="6"/>
  <c r="Z35" i="6"/>
  <c r="AA35" i="6"/>
  <c r="AB35" i="6"/>
  <c r="T36" i="6"/>
  <c r="U36" i="6"/>
  <c r="V36" i="6"/>
  <c r="W36" i="6"/>
  <c r="X36" i="6"/>
  <c r="Y36" i="6"/>
  <c r="Z36" i="6"/>
  <c r="AA36" i="6"/>
  <c r="AB36" i="6"/>
  <c r="T37" i="6"/>
  <c r="U37" i="6"/>
  <c r="V37" i="6"/>
  <c r="W37" i="6"/>
  <c r="X37" i="6"/>
  <c r="Y37" i="6"/>
  <c r="Z37" i="6"/>
  <c r="AA37" i="6"/>
  <c r="AB37" i="6"/>
  <c r="T38" i="6"/>
  <c r="U38" i="6"/>
  <c r="V38" i="6"/>
  <c r="W38" i="6"/>
  <c r="X38" i="6"/>
  <c r="Y38" i="6"/>
  <c r="Z38" i="6"/>
  <c r="AA38" i="6"/>
  <c r="AB38" i="6"/>
  <c r="T39" i="6"/>
  <c r="U39" i="6"/>
  <c r="V39" i="6"/>
  <c r="W39" i="6"/>
  <c r="X39" i="6"/>
  <c r="Y39" i="6"/>
  <c r="Z39" i="6"/>
  <c r="AA39" i="6"/>
  <c r="AB39" i="6"/>
  <c r="T40" i="6"/>
  <c r="U40" i="6"/>
  <c r="V40" i="6"/>
  <c r="W40" i="6"/>
  <c r="X40" i="6"/>
  <c r="Y40" i="6"/>
  <c r="Z40" i="6"/>
  <c r="AA40" i="6"/>
  <c r="AB40" i="6"/>
  <c r="T41" i="6"/>
  <c r="U41" i="6"/>
  <c r="V41" i="6"/>
  <c r="W41" i="6"/>
  <c r="X41" i="6"/>
  <c r="Y41" i="6"/>
  <c r="Z41" i="6"/>
  <c r="AA41" i="6"/>
  <c r="AB41" i="6"/>
  <c r="T42" i="6"/>
  <c r="U42" i="6"/>
  <c r="V42" i="6"/>
  <c r="W42" i="6"/>
  <c r="X42" i="6"/>
  <c r="Y42" i="6"/>
  <c r="Z42" i="6"/>
  <c r="AA42" i="6"/>
  <c r="AB42" i="6"/>
  <c r="T43" i="6"/>
  <c r="U43" i="6"/>
  <c r="V43" i="6"/>
  <c r="W43" i="6"/>
  <c r="X43" i="6"/>
  <c r="Y43" i="6"/>
  <c r="Z43" i="6"/>
  <c r="AA43" i="6"/>
  <c r="AB43" i="6"/>
  <c r="T44" i="6"/>
  <c r="U44" i="6"/>
  <c r="V44" i="6"/>
  <c r="W44" i="6"/>
  <c r="X44" i="6"/>
  <c r="Y44" i="6"/>
  <c r="Z44" i="6"/>
  <c r="AA44" i="6"/>
  <c r="AB44" i="6"/>
  <c r="T45" i="6"/>
  <c r="U45" i="6"/>
  <c r="V45" i="6"/>
  <c r="W45" i="6"/>
  <c r="X45" i="6"/>
  <c r="Y45" i="6"/>
  <c r="Z45" i="6"/>
  <c r="AA45" i="6"/>
  <c r="AB45" i="6"/>
  <c r="T46" i="6"/>
  <c r="U46" i="6"/>
  <c r="V46" i="6"/>
  <c r="W46" i="6"/>
  <c r="X46" i="6"/>
  <c r="Y46" i="6"/>
  <c r="Z46" i="6"/>
  <c r="AA46" i="6"/>
  <c r="AB46" i="6"/>
  <c r="T47" i="6"/>
  <c r="U47" i="6"/>
  <c r="V47" i="6"/>
  <c r="W47" i="6"/>
  <c r="X47" i="6"/>
  <c r="Y47" i="6"/>
  <c r="Z47" i="6"/>
  <c r="AA47" i="6"/>
  <c r="AB47" i="6"/>
  <c r="T48" i="6"/>
  <c r="U48" i="6"/>
  <c r="V48" i="6"/>
  <c r="W48" i="6"/>
  <c r="X48" i="6"/>
  <c r="Y48" i="6"/>
  <c r="Z48" i="6"/>
  <c r="AA48" i="6"/>
  <c r="AB48" i="6"/>
  <c r="T49" i="6"/>
  <c r="U49" i="6"/>
  <c r="V49" i="6"/>
  <c r="W49" i="6"/>
  <c r="X49" i="6"/>
  <c r="Y49" i="6"/>
  <c r="Z49" i="6"/>
  <c r="AA49" i="6"/>
  <c r="AB49" i="6"/>
  <c r="T50" i="6"/>
  <c r="U50" i="6"/>
  <c r="V50" i="6"/>
  <c r="W50" i="6"/>
  <c r="X50" i="6"/>
  <c r="Y50" i="6"/>
  <c r="Z50" i="6"/>
  <c r="AA50" i="6"/>
  <c r="AB50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35" i="6"/>
  <c r="BC33" i="1"/>
  <c r="BD13" i="1"/>
  <c r="D22" i="1"/>
  <c r="CD17" i="10" l="1"/>
  <c r="CE17" i="10"/>
  <c r="DB16" i="10"/>
  <c r="DC16" i="10"/>
  <c r="BV18" i="10"/>
  <c r="BS18" i="10"/>
  <c r="CC18" i="10" s="1"/>
  <c r="DA18" i="10" s="1"/>
  <c r="BU18" i="10"/>
  <c r="CE18" i="10" s="1"/>
  <c r="DC18" i="10" s="1"/>
  <c r="BR18" i="10"/>
  <c r="BQ18" i="10"/>
  <c r="BT18" i="10"/>
  <c r="BP18" i="10"/>
  <c r="BO18" i="10"/>
  <c r="CC17" i="10"/>
  <c r="DA17" i="10" s="1"/>
  <c r="BY17" i="10"/>
  <c r="CW17" i="10" s="1"/>
  <c r="CZ16" i="10"/>
  <c r="CA17" i="10"/>
  <c r="BF20" i="10"/>
  <c r="BK20" i="10"/>
  <c r="BJ20" i="10"/>
  <c r="BG20" i="10"/>
  <c r="BL20" i="10"/>
  <c r="BM20" i="10"/>
  <c r="BD20" i="10"/>
  <c r="BN20" i="10" s="1"/>
  <c r="BT20" i="10" s="1"/>
  <c r="BC21" i="10"/>
  <c r="CB17" i="10"/>
  <c r="CY16" i="10"/>
  <c r="BZ17" i="10"/>
  <c r="BN19" i="10"/>
  <c r="CX16" i="10"/>
  <c r="BC14" i="1"/>
  <c r="BP7" i="1"/>
  <c r="BF13" i="1" s="1"/>
  <c r="BT7" i="1"/>
  <c r="BK33" i="1" s="1"/>
  <c r="BU7" i="1"/>
  <c r="BL13" i="1" s="1"/>
  <c r="O35" i="6"/>
  <c r="E35" i="6"/>
  <c r="F35" i="6"/>
  <c r="G35" i="6"/>
  <c r="I35" i="6"/>
  <c r="J35" i="6"/>
  <c r="K35" i="6"/>
  <c r="L35" i="6"/>
  <c r="M35" i="6"/>
  <c r="N35" i="6"/>
  <c r="E36" i="6"/>
  <c r="F36" i="6"/>
  <c r="G36" i="6"/>
  <c r="H36" i="6"/>
  <c r="I36" i="6"/>
  <c r="J36" i="6"/>
  <c r="K36" i="6"/>
  <c r="L36" i="6"/>
  <c r="M36" i="6"/>
  <c r="N36" i="6"/>
  <c r="O36" i="6"/>
  <c r="E37" i="6"/>
  <c r="F37" i="6"/>
  <c r="G37" i="6"/>
  <c r="H37" i="6"/>
  <c r="I37" i="6"/>
  <c r="J37" i="6"/>
  <c r="K37" i="6"/>
  <c r="L37" i="6"/>
  <c r="M37" i="6"/>
  <c r="N37" i="6"/>
  <c r="O37" i="6"/>
  <c r="E38" i="6"/>
  <c r="F38" i="6"/>
  <c r="G38" i="6"/>
  <c r="H38" i="6"/>
  <c r="I38" i="6"/>
  <c r="J38" i="6"/>
  <c r="K38" i="6"/>
  <c r="L38" i="6"/>
  <c r="M38" i="6"/>
  <c r="N38" i="6"/>
  <c r="O38" i="6"/>
  <c r="E39" i="6"/>
  <c r="F39" i="6"/>
  <c r="G39" i="6"/>
  <c r="H39" i="6"/>
  <c r="I39" i="6"/>
  <c r="J39" i="6"/>
  <c r="K39" i="6"/>
  <c r="L39" i="6"/>
  <c r="M39" i="6"/>
  <c r="N39" i="6"/>
  <c r="O39" i="6"/>
  <c r="E40" i="6"/>
  <c r="F40" i="6"/>
  <c r="G40" i="6"/>
  <c r="H40" i="6"/>
  <c r="I40" i="6"/>
  <c r="J40" i="6"/>
  <c r="K40" i="6"/>
  <c r="L40" i="6"/>
  <c r="M40" i="6"/>
  <c r="N40" i="6"/>
  <c r="O40" i="6"/>
  <c r="E41" i="6"/>
  <c r="F41" i="6"/>
  <c r="G41" i="6"/>
  <c r="H41" i="6"/>
  <c r="I41" i="6"/>
  <c r="J41" i="6"/>
  <c r="K41" i="6"/>
  <c r="L41" i="6"/>
  <c r="M41" i="6"/>
  <c r="N41" i="6"/>
  <c r="O41" i="6"/>
  <c r="E42" i="6"/>
  <c r="F42" i="6"/>
  <c r="G42" i="6"/>
  <c r="H42" i="6"/>
  <c r="I42" i="6"/>
  <c r="J42" i="6"/>
  <c r="K42" i="6"/>
  <c r="L42" i="6"/>
  <c r="M42" i="6"/>
  <c r="N42" i="6"/>
  <c r="O42" i="6"/>
  <c r="E43" i="6"/>
  <c r="F43" i="6"/>
  <c r="G43" i="6"/>
  <c r="H43" i="6"/>
  <c r="I43" i="6"/>
  <c r="J43" i="6"/>
  <c r="K43" i="6"/>
  <c r="L43" i="6"/>
  <c r="M43" i="6"/>
  <c r="N43" i="6"/>
  <c r="O43" i="6"/>
  <c r="E44" i="6"/>
  <c r="F44" i="6"/>
  <c r="G44" i="6"/>
  <c r="H44" i="6"/>
  <c r="I44" i="6"/>
  <c r="J44" i="6"/>
  <c r="K44" i="6"/>
  <c r="L44" i="6"/>
  <c r="M44" i="6"/>
  <c r="N44" i="6"/>
  <c r="O44" i="6"/>
  <c r="E45" i="6"/>
  <c r="F45" i="6"/>
  <c r="G45" i="6"/>
  <c r="H45" i="6"/>
  <c r="I45" i="6"/>
  <c r="J45" i="6"/>
  <c r="K45" i="6"/>
  <c r="L45" i="6"/>
  <c r="M45" i="6"/>
  <c r="N45" i="6"/>
  <c r="O45" i="6"/>
  <c r="E46" i="6"/>
  <c r="F46" i="6"/>
  <c r="G46" i="6"/>
  <c r="H46" i="6"/>
  <c r="I46" i="6"/>
  <c r="J46" i="6"/>
  <c r="K46" i="6"/>
  <c r="L46" i="6"/>
  <c r="M46" i="6"/>
  <c r="N46" i="6"/>
  <c r="O46" i="6"/>
  <c r="E47" i="6"/>
  <c r="F47" i="6"/>
  <c r="G47" i="6"/>
  <c r="H47" i="6"/>
  <c r="I47" i="6"/>
  <c r="J47" i="6"/>
  <c r="K47" i="6"/>
  <c r="L47" i="6"/>
  <c r="M47" i="6"/>
  <c r="N47" i="6"/>
  <c r="O47" i="6"/>
  <c r="E48" i="6"/>
  <c r="F48" i="6"/>
  <c r="G48" i="6"/>
  <c r="H48" i="6"/>
  <c r="I48" i="6"/>
  <c r="J48" i="6"/>
  <c r="K48" i="6"/>
  <c r="L48" i="6"/>
  <c r="M48" i="6"/>
  <c r="N48" i="6"/>
  <c r="O48" i="6"/>
  <c r="E49" i="6"/>
  <c r="F49" i="6"/>
  <c r="G49" i="6"/>
  <c r="H49" i="6"/>
  <c r="I49" i="6"/>
  <c r="J49" i="6"/>
  <c r="K49" i="6"/>
  <c r="L49" i="6"/>
  <c r="M49" i="6"/>
  <c r="N49" i="6"/>
  <c r="O49" i="6"/>
  <c r="E50" i="6"/>
  <c r="F50" i="6"/>
  <c r="G50" i="6"/>
  <c r="H50" i="6"/>
  <c r="I50" i="6"/>
  <c r="J50" i="6"/>
  <c r="K50" i="6"/>
  <c r="L50" i="6"/>
  <c r="M50" i="6"/>
  <c r="N50" i="6"/>
  <c r="O50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35" i="6"/>
  <c r="V4" i="4"/>
  <c r="L15" i="5"/>
  <c r="K15" i="5"/>
  <c r="J15" i="5"/>
  <c r="C25" i="5" s="1"/>
  <c r="I15" i="5"/>
  <c r="C24" i="5" s="1"/>
  <c r="G15" i="5"/>
  <c r="E15" i="5"/>
  <c r="C22" i="5" s="1"/>
  <c r="D15" i="5"/>
  <c r="C21" i="5" s="1"/>
  <c r="C15" i="5"/>
  <c r="C23" i="5" s="1"/>
  <c r="B15" i="5"/>
  <c r="C20" i="5" s="1"/>
  <c r="C19" i="5"/>
  <c r="C18" i="5"/>
  <c r="G18" i="1"/>
  <c r="AH32" i="4"/>
  <c r="AH31" i="4"/>
  <c r="AH30" i="4"/>
  <c r="AH29" i="4"/>
  <c r="AH28" i="4"/>
  <c r="AH27" i="4"/>
  <c r="AH25" i="4"/>
  <c r="AH24" i="4"/>
  <c r="AH23" i="4"/>
  <c r="AH22" i="4"/>
  <c r="AH21" i="4"/>
  <c r="AH20" i="4"/>
  <c r="AH17" i="4"/>
  <c r="AH16" i="4"/>
  <c r="AH15" i="4"/>
  <c r="AH14" i="4"/>
  <c r="AH13" i="4"/>
  <c r="AH12" i="4"/>
  <c r="AH9" i="4"/>
  <c r="AH8" i="4"/>
  <c r="AH7" i="4"/>
  <c r="AH6" i="4"/>
  <c r="AH5" i="4"/>
  <c r="AH4" i="4"/>
  <c r="Z4" i="4"/>
  <c r="S32" i="4"/>
  <c r="S31" i="4"/>
  <c r="S30" i="4"/>
  <c r="S29" i="4"/>
  <c r="S28" i="4"/>
  <c r="S27" i="4"/>
  <c r="S25" i="4"/>
  <c r="S24" i="4"/>
  <c r="S23" i="4"/>
  <c r="S22" i="4"/>
  <c r="S21" i="4"/>
  <c r="S20" i="4"/>
  <c r="S17" i="4"/>
  <c r="S16" i="4"/>
  <c r="S15" i="4"/>
  <c r="S14" i="4"/>
  <c r="S13" i="4"/>
  <c r="S12" i="4"/>
  <c r="S9" i="4"/>
  <c r="S8" i="4"/>
  <c r="S7" i="4"/>
  <c r="S6" i="4"/>
  <c r="S5" i="4"/>
  <c r="S4" i="4"/>
  <c r="BR7" i="1"/>
  <c r="BG13" i="1" s="1"/>
  <c r="BS7" i="1"/>
  <c r="BJ13" i="1" s="1"/>
  <c r="BV7" i="1"/>
  <c r="BM13" i="1" s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13" i="1"/>
  <c r="BD33" i="1"/>
  <c r="J14" i="1"/>
  <c r="K14" i="1" s="1"/>
  <c r="J15" i="1"/>
  <c r="J16" i="1"/>
  <c r="J17" i="1"/>
  <c r="J18" i="1"/>
  <c r="J19" i="1"/>
  <c r="K19" i="1" s="1"/>
  <c r="L19" i="1" s="1"/>
  <c r="M19" i="1" s="1"/>
  <c r="J20" i="1"/>
  <c r="K20" i="1" s="1"/>
  <c r="L20" i="1" s="1"/>
  <c r="M20" i="1" s="1"/>
  <c r="J21" i="1"/>
  <c r="K21" i="1" s="1"/>
  <c r="J22" i="1"/>
  <c r="J23" i="1"/>
  <c r="K23" i="1" s="1"/>
  <c r="L23" i="1" s="1"/>
  <c r="M23" i="1" s="1"/>
  <c r="J24" i="1"/>
  <c r="J25" i="1"/>
  <c r="J26" i="1"/>
  <c r="K26" i="1" s="1"/>
  <c r="L26" i="1" s="1"/>
  <c r="M26" i="1" s="1"/>
  <c r="J27" i="1"/>
  <c r="K27" i="1" s="1"/>
  <c r="L27" i="1" s="1"/>
  <c r="M27" i="1" s="1"/>
  <c r="J28" i="1"/>
  <c r="J29" i="1"/>
  <c r="J30" i="1"/>
  <c r="J31" i="1"/>
  <c r="J32" i="1"/>
  <c r="J33" i="1"/>
  <c r="K33" i="1" s="1"/>
  <c r="L33" i="1" s="1"/>
  <c r="M33" i="1" s="1"/>
  <c r="J34" i="1"/>
  <c r="J13" i="1"/>
  <c r="N4" i="4"/>
  <c r="AD5" i="4"/>
  <c r="AD6" i="4"/>
  <c r="AD7" i="4"/>
  <c r="AD8" i="4"/>
  <c r="AD9" i="4"/>
  <c r="AD12" i="4"/>
  <c r="AD13" i="4"/>
  <c r="AD14" i="4"/>
  <c r="AD15" i="4"/>
  <c r="AD16" i="4"/>
  <c r="AD17" i="4"/>
  <c r="AD20" i="4"/>
  <c r="AD21" i="4"/>
  <c r="AD22" i="4"/>
  <c r="AD23" i="4"/>
  <c r="AD24" i="4"/>
  <c r="AD25" i="4"/>
  <c r="AD27" i="4"/>
  <c r="AD28" i="4"/>
  <c r="AD29" i="4"/>
  <c r="AD30" i="4"/>
  <c r="AD31" i="4"/>
  <c r="AD32" i="4"/>
  <c r="Z5" i="4"/>
  <c r="Z6" i="4"/>
  <c r="Z7" i="4"/>
  <c r="Z8" i="4"/>
  <c r="Z9" i="4"/>
  <c r="Z12" i="4"/>
  <c r="Z13" i="4"/>
  <c r="Z14" i="4"/>
  <c r="Z15" i="4"/>
  <c r="Z16" i="4"/>
  <c r="Z17" i="4"/>
  <c r="Z20" i="4"/>
  <c r="Z21" i="4"/>
  <c r="Z22" i="4"/>
  <c r="Z23" i="4"/>
  <c r="Z24" i="4"/>
  <c r="Z25" i="4"/>
  <c r="Z27" i="4"/>
  <c r="Z28" i="4"/>
  <c r="Z29" i="4"/>
  <c r="Z30" i="4"/>
  <c r="Z31" i="4"/>
  <c r="Z32" i="4"/>
  <c r="V5" i="4"/>
  <c r="V6" i="4"/>
  <c r="V7" i="4"/>
  <c r="V8" i="4"/>
  <c r="V9" i="4"/>
  <c r="V12" i="4"/>
  <c r="V13" i="4"/>
  <c r="V14" i="4"/>
  <c r="V15" i="4"/>
  <c r="V16" i="4"/>
  <c r="V17" i="4"/>
  <c r="V20" i="4"/>
  <c r="V21" i="4"/>
  <c r="V22" i="4"/>
  <c r="V23" i="4"/>
  <c r="V24" i="4"/>
  <c r="V25" i="4"/>
  <c r="V27" i="4"/>
  <c r="V28" i="4"/>
  <c r="V29" i="4"/>
  <c r="V30" i="4"/>
  <c r="V31" i="4"/>
  <c r="V32" i="4"/>
  <c r="Q5" i="4"/>
  <c r="Q6" i="4"/>
  <c r="Q7" i="4"/>
  <c r="Q8" i="4"/>
  <c r="Q9" i="4"/>
  <c r="Q12" i="4"/>
  <c r="Q13" i="4"/>
  <c r="Q14" i="4"/>
  <c r="Q15" i="4"/>
  <c r="Q16" i="4"/>
  <c r="Q17" i="4"/>
  <c r="Q20" i="4"/>
  <c r="Q21" i="4"/>
  <c r="Q22" i="4"/>
  <c r="Q23" i="4"/>
  <c r="Q24" i="4"/>
  <c r="Q25" i="4"/>
  <c r="Q27" i="4"/>
  <c r="Q28" i="4"/>
  <c r="Q29" i="4"/>
  <c r="Q30" i="4"/>
  <c r="Q31" i="4"/>
  <c r="Q32" i="4"/>
  <c r="N5" i="4"/>
  <c r="N6" i="4"/>
  <c r="N7" i="4"/>
  <c r="N8" i="4"/>
  <c r="N9" i="4"/>
  <c r="N12" i="4"/>
  <c r="N13" i="4"/>
  <c r="N14" i="4"/>
  <c r="N15" i="4"/>
  <c r="N16" i="4"/>
  <c r="N17" i="4"/>
  <c r="N20" i="4"/>
  <c r="N21" i="4"/>
  <c r="N22" i="4"/>
  <c r="N23" i="4"/>
  <c r="N24" i="4"/>
  <c r="N25" i="4"/>
  <c r="N27" i="4"/>
  <c r="N28" i="4"/>
  <c r="N29" i="4"/>
  <c r="N30" i="4"/>
  <c r="N31" i="4"/>
  <c r="N32" i="4"/>
  <c r="K28" i="4"/>
  <c r="K29" i="4"/>
  <c r="K30" i="4"/>
  <c r="K31" i="4"/>
  <c r="K32" i="4"/>
  <c r="K27" i="4"/>
  <c r="K21" i="4"/>
  <c r="K22" i="4"/>
  <c r="K23" i="4"/>
  <c r="K24" i="4"/>
  <c r="K25" i="4"/>
  <c r="K20" i="4"/>
  <c r="K13" i="4"/>
  <c r="K14" i="4"/>
  <c r="K15" i="4"/>
  <c r="K16" i="4"/>
  <c r="K17" i="4"/>
  <c r="K12" i="4"/>
  <c r="K5" i="4"/>
  <c r="K6" i="4"/>
  <c r="K7" i="4"/>
  <c r="K8" i="4"/>
  <c r="K9" i="4"/>
  <c r="AD4" i="4"/>
  <c r="Q4" i="4"/>
  <c r="K4" i="4"/>
  <c r="BS20" i="10" l="1"/>
  <c r="BF21" i="10"/>
  <c r="BG21" i="10"/>
  <c r="BL21" i="10"/>
  <c r="BK21" i="10"/>
  <c r="BJ21" i="10"/>
  <c r="BM21" i="10"/>
  <c r="BC22" i="10"/>
  <c r="BD21" i="10"/>
  <c r="BQ19" i="10"/>
  <c r="BT19" i="10"/>
  <c r="BV19" i="10"/>
  <c r="BO19" i="10"/>
  <c r="BY19" i="10" s="1"/>
  <c r="BS19" i="10"/>
  <c r="CC19" i="10" s="1"/>
  <c r="DA19" i="10" s="1"/>
  <c r="BP19" i="10"/>
  <c r="BU19" i="10"/>
  <c r="BR19" i="10"/>
  <c r="BR20" i="10"/>
  <c r="BP20" i="10"/>
  <c r="CY17" i="10"/>
  <c r="CB18" i="10"/>
  <c r="CZ18" i="10" s="1"/>
  <c r="BU20" i="10"/>
  <c r="CE20" i="10" s="1"/>
  <c r="CX17" i="10"/>
  <c r="BO20" i="10"/>
  <c r="BZ18" i="10"/>
  <c r="CX18" i="10" s="1"/>
  <c r="BQ20" i="10"/>
  <c r="BV20" i="10"/>
  <c r="CD20" i="10" s="1"/>
  <c r="CD18" i="10"/>
  <c r="DB18" i="10" s="1"/>
  <c r="DC17" i="10"/>
  <c r="BY18" i="10"/>
  <c r="CW18" i="10" s="1"/>
  <c r="CZ17" i="10"/>
  <c r="CA18" i="10"/>
  <c r="CY18" i="10" s="1"/>
  <c r="DB17" i="10"/>
  <c r="K13" i="1"/>
  <c r="S13" i="1" s="1"/>
  <c r="N13" i="1"/>
  <c r="BV37" i="1"/>
  <c r="BV43" i="1"/>
  <c r="BV55" i="1"/>
  <c r="BV61" i="1"/>
  <c r="BV48" i="1"/>
  <c r="BV53" i="1"/>
  <c r="BV54" i="1"/>
  <c r="BV58" i="1"/>
  <c r="BV44" i="1"/>
  <c r="BV60" i="1"/>
  <c r="BV52" i="1"/>
  <c r="BV51" i="1"/>
  <c r="BV47" i="1"/>
  <c r="BV50" i="1"/>
  <c r="BV46" i="1"/>
  <c r="BV57" i="1"/>
  <c r="BV45" i="1"/>
  <c r="BV62" i="1"/>
  <c r="G39" i="1" s="1"/>
  <c r="H39" i="1" s="1"/>
  <c r="H42" i="1" s="1"/>
  <c r="BV59" i="1"/>
  <c r="BV49" i="1"/>
  <c r="BV56" i="1"/>
  <c r="BC15" i="1"/>
  <c r="BC16" i="1" s="1"/>
  <c r="BM14" i="1"/>
  <c r="BJ33" i="1"/>
  <c r="BG33" i="1"/>
  <c r="BK13" i="1"/>
  <c r="BN13" i="1" s="1"/>
  <c r="BO13" i="1" s="1"/>
  <c r="BF33" i="1"/>
  <c r="BL33" i="1"/>
  <c r="BM33" i="1"/>
  <c r="G25" i="1"/>
  <c r="G24" i="1"/>
  <c r="G29" i="1"/>
  <c r="G28" i="1"/>
  <c r="G27" i="1"/>
  <c r="G31" i="1"/>
  <c r="G30" i="1"/>
  <c r="G26" i="1"/>
  <c r="C27" i="5"/>
  <c r="N23" i="1"/>
  <c r="N14" i="1"/>
  <c r="P23" i="1"/>
  <c r="N26" i="1"/>
  <c r="P33" i="1"/>
  <c r="P21" i="1"/>
  <c r="P14" i="1"/>
  <c r="N33" i="1"/>
  <c r="N21" i="1"/>
  <c r="P20" i="1"/>
  <c r="N20" i="1"/>
  <c r="P13" i="1"/>
  <c r="P27" i="1"/>
  <c r="P19" i="1"/>
  <c r="N27" i="1"/>
  <c r="N19" i="1"/>
  <c r="P26" i="1"/>
  <c r="U14" i="1"/>
  <c r="U21" i="1"/>
  <c r="U27" i="1"/>
  <c r="U19" i="1"/>
  <c r="U26" i="1"/>
  <c r="U33" i="1"/>
  <c r="U23" i="1"/>
  <c r="U20" i="1"/>
  <c r="U13" i="1"/>
  <c r="AC13" i="1" s="1"/>
  <c r="R14" i="1"/>
  <c r="O14" i="1"/>
  <c r="L14" i="1"/>
  <c r="Q13" i="1"/>
  <c r="T13" i="1"/>
  <c r="O13" i="1"/>
  <c r="R13" i="1"/>
  <c r="O33" i="1"/>
  <c r="R23" i="1"/>
  <c r="O27" i="1"/>
  <c r="R26" i="1"/>
  <c r="O26" i="1"/>
  <c r="Q23" i="1"/>
  <c r="T27" i="1"/>
  <c r="R27" i="1"/>
  <c r="T26" i="1"/>
  <c r="S26" i="1"/>
  <c r="O23" i="1"/>
  <c r="S27" i="1"/>
  <c r="Q27" i="1"/>
  <c r="Q26" i="1"/>
  <c r="T23" i="1"/>
  <c r="Q20" i="1"/>
  <c r="S21" i="1"/>
  <c r="R21" i="1"/>
  <c r="AB21" i="1" s="1"/>
  <c r="AI21" i="1" s="1"/>
  <c r="T21" i="1"/>
  <c r="Q21" i="1"/>
  <c r="O20" i="1"/>
  <c r="T19" i="1"/>
  <c r="S19" i="1"/>
  <c r="T33" i="1"/>
  <c r="O21" i="1"/>
  <c r="T20" i="1"/>
  <c r="S20" i="1"/>
  <c r="R20" i="1"/>
  <c r="R19" i="1"/>
  <c r="S33" i="1"/>
  <c r="Q19" i="1"/>
  <c r="R33" i="1"/>
  <c r="O19" i="1"/>
  <c r="Q33" i="1"/>
  <c r="S23" i="1"/>
  <c r="K30" i="1"/>
  <c r="K24" i="1"/>
  <c r="K31" i="1"/>
  <c r="K22" i="1"/>
  <c r="K28" i="1"/>
  <c r="N28" i="1" s="1"/>
  <c r="K29" i="1"/>
  <c r="P29" i="1" s="1"/>
  <c r="K32" i="1"/>
  <c r="L21" i="1"/>
  <c r="M21" i="1" s="1"/>
  <c r="K25" i="1"/>
  <c r="BZ19" i="10" l="1"/>
  <c r="CX19" i="10" s="1"/>
  <c r="BN21" i="10"/>
  <c r="CD19" i="10"/>
  <c r="DB19" i="10" s="1"/>
  <c r="CB20" i="10"/>
  <c r="BK22" i="10"/>
  <c r="BL22" i="10"/>
  <c r="BJ22" i="10"/>
  <c r="BG22" i="10"/>
  <c r="BM22" i="10"/>
  <c r="BD22" i="10"/>
  <c r="BF22" i="10"/>
  <c r="BC23" i="10"/>
  <c r="CC20" i="10"/>
  <c r="DA20" i="10" s="1"/>
  <c r="DC20" i="10"/>
  <c r="CW19" i="10"/>
  <c r="BZ20" i="10"/>
  <c r="CA20" i="10"/>
  <c r="CA19" i="10"/>
  <c r="CY19" i="10" s="1"/>
  <c r="CB19" i="10"/>
  <c r="CZ19" i="10" s="1"/>
  <c r="BY20" i="10"/>
  <c r="CE19" i="10"/>
  <c r="DC19" i="10" s="1"/>
  <c r="X23" i="1"/>
  <c r="BD15" i="1"/>
  <c r="BM15" i="1"/>
  <c r="BG15" i="1"/>
  <c r="BL15" i="1"/>
  <c r="BK15" i="1"/>
  <c r="BF15" i="1"/>
  <c r="BJ15" i="1"/>
  <c r="BS13" i="1"/>
  <c r="BQ13" i="1"/>
  <c r="BP13" i="1"/>
  <c r="BR13" i="1"/>
  <c r="BT13" i="1"/>
  <c r="BU13" i="1"/>
  <c r="BV13" i="1"/>
  <c r="BN33" i="1"/>
  <c r="AA20" i="1"/>
  <c r="X14" i="1"/>
  <c r="BC17" i="1"/>
  <c r="BD16" i="1"/>
  <c r="BK16" i="1"/>
  <c r="BG16" i="1"/>
  <c r="BF16" i="1"/>
  <c r="BJ16" i="1"/>
  <c r="BL16" i="1"/>
  <c r="BM16" i="1"/>
  <c r="X26" i="1"/>
  <c r="Z33" i="1"/>
  <c r="X13" i="1"/>
  <c r="X33" i="1"/>
  <c r="Z21" i="1"/>
  <c r="AG21" i="1" s="1"/>
  <c r="X20" i="1"/>
  <c r="N29" i="1"/>
  <c r="Z20" i="1"/>
  <c r="P28" i="1"/>
  <c r="Z23" i="1"/>
  <c r="Z19" i="1"/>
  <c r="U31" i="1"/>
  <c r="P31" i="1"/>
  <c r="N31" i="1"/>
  <c r="AA26" i="1"/>
  <c r="X27" i="1"/>
  <c r="N30" i="1"/>
  <c r="P30" i="1"/>
  <c r="Z13" i="1"/>
  <c r="U25" i="1"/>
  <c r="P25" i="1"/>
  <c r="N25" i="1"/>
  <c r="N32" i="1"/>
  <c r="P32" i="1"/>
  <c r="U24" i="1"/>
  <c r="P24" i="1"/>
  <c r="N24" i="1"/>
  <c r="Z27" i="1"/>
  <c r="Z26" i="1"/>
  <c r="X21" i="1"/>
  <c r="AE21" i="1" s="1"/>
  <c r="N22" i="1"/>
  <c r="P22" i="1"/>
  <c r="X19" i="1"/>
  <c r="Z14" i="1"/>
  <c r="Y27" i="1"/>
  <c r="AC33" i="1"/>
  <c r="AB27" i="1"/>
  <c r="AI27" i="1" s="1"/>
  <c r="AA19" i="1"/>
  <c r="AC19" i="1"/>
  <c r="AD27" i="1"/>
  <c r="AD19" i="1"/>
  <c r="AB19" i="1"/>
  <c r="AI19" i="1" s="1"/>
  <c r="AD21" i="1"/>
  <c r="AK21" i="1" s="1"/>
  <c r="Y14" i="1"/>
  <c r="Y13" i="1"/>
  <c r="AA27" i="1"/>
  <c r="AA21" i="1"/>
  <c r="AH21" i="1" s="1"/>
  <c r="AC27" i="1"/>
  <c r="Y26" i="1"/>
  <c r="AB14" i="1"/>
  <c r="AI14" i="1" s="1"/>
  <c r="Y21" i="1"/>
  <c r="AF21" i="1" s="1"/>
  <c r="AC21" i="1"/>
  <c r="AJ21" i="1" s="1"/>
  <c r="AB33" i="1"/>
  <c r="AI33" i="1" s="1"/>
  <c r="AD33" i="1"/>
  <c r="Y19" i="1"/>
  <c r="AD26" i="1"/>
  <c r="Y33" i="1"/>
  <c r="AA33" i="1"/>
  <c r="AD20" i="1"/>
  <c r="AC26" i="1"/>
  <c r="AB23" i="1"/>
  <c r="AI23" i="1" s="1"/>
  <c r="AD23" i="1"/>
  <c r="AB20" i="1"/>
  <c r="AI20" i="1" s="1"/>
  <c r="AB26" i="1"/>
  <c r="AI26" i="1" s="1"/>
  <c r="AC23" i="1"/>
  <c r="AC20" i="1"/>
  <c r="Y23" i="1"/>
  <c r="T30" i="1"/>
  <c r="U30" i="1"/>
  <c r="Q32" i="1"/>
  <c r="U32" i="1"/>
  <c r="L29" i="1"/>
  <c r="M29" i="1" s="1"/>
  <c r="U29" i="1"/>
  <c r="AB13" i="1"/>
  <c r="AI13" i="1" s="1"/>
  <c r="AA23" i="1"/>
  <c r="AD13" i="1"/>
  <c r="R28" i="1"/>
  <c r="U28" i="1"/>
  <c r="X28" i="1" s="1"/>
  <c r="L22" i="1"/>
  <c r="M22" i="1" s="1"/>
  <c r="U22" i="1"/>
  <c r="Y20" i="1"/>
  <c r="AA13" i="1"/>
  <c r="K34" i="1"/>
  <c r="O32" i="1"/>
  <c r="S29" i="1"/>
  <c r="S28" i="1"/>
  <c r="T28" i="1"/>
  <c r="Q30" i="1"/>
  <c r="Q29" i="1"/>
  <c r="T29" i="1"/>
  <c r="R22" i="1"/>
  <c r="L31" i="1"/>
  <c r="M31" i="1" s="1"/>
  <c r="T31" i="1"/>
  <c r="L24" i="1"/>
  <c r="M24" i="1" s="1"/>
  <c r="Q24" i="1"/>
  <c r="R24" i="1"/>
  <c r="S24" i="1"/>
  <c r="AC24" i="1" s="1"/>
  <c r="T24" i="1"/>
  <c r="R30" i="1"/>
  <c r="T22" i="1"/>
  <c r="O31" i="1"/>
  <c r="Q31" i="1"/>
  <c r="L25" i="1"/>
  <c r="M25" i="1" s="1"/>
  <c r="R25" i="1"/>
  <c r="S25" i="1"/>
  <c r="O25" i="1"/>
  <c r="Q25" i="1"/>
  <c r="T25" i="1"/>
  <c r="S31" i="1"/>
  <c r="Q22" i="1"/>
  <c r="L32" i="1"/>
  <c r="M32" i="1" s="1"/>
  <c r="S32" i="1"/>
  <c r="R32" i="1"/>
  <c r="T32" i="1"/>
  <c r="O22" i="1"/>
  <c r="S30" i="1"/>
  <c r="R31" i="1"/>
  <c r="S22" i="1"/>
  <c r="O30" i="1"/>
  <c r="O29" i="1"/>
  <c r="L30" i="1"/>
  <c r="M30" i="1" s="1"/>
  <c r="R29" i="1"/>
  <c r="L28" i="1"/>
  <c r="M28" i="1" s="1"/>
  <c r="O28" i="1"/>
  <c r="Q28" i="1"/>
  <c r="O24" i="1"/>
  <c r="M13" i="1"/>
  <c r="BG23" i="10" l="1"/>
  <c r="BJ23" i="10"/>
  <c r="BF23" i="10"/>
  <c r="BK23" i="10"/>
  <c r="BL23" i="10"/>
  <c r="BM23" i="10"/>
  <c r="BD23" i="10"/>
  <c r="BN23" i="10" s="1"/>
  <c r="BR23" i="10" s="1"/>
  <c r="BC24" i="10"/>
  <c r="CW20" i="10"/>
  <c r="CZ20" i="10"/>
  <c r="BN22" i="10"/>
  <c r="BO21" i="10"/>
  <c r="BT21" i="10"/>
  <c r="BV21" i="10"/>
  <c r="BQ21" i="10"/>
  <c r="CA21" i="10" s="1"/>
  <c r="BP21" i="10"/>
  <c r="BR21" i="10"/>
  <c r="BS21" i="10"/>
  <c r="BU21" i="10"/>
  <c r="CY20" i="10"/>
  <c r="CX20" i="10"/>
  <c r="DB20" i="10"/>
  <c r="AH13" i="1"/>
  <c r="BN15" i="1"/>
  <c r="BO15" i="1" s="1"/>
  <c r="AG20" i="1"/>
  <c r="AK20" i="1"/>
  <c r="AJ20" i="1"/>
  <c r="AF20" i="1"/>
  <c r="AF26" i="1"/>
  <c r="AG13" i="1"/>
  <c r="AE13" i="1"/>
  <c r="CA13" i="1"/>
  <c r="CC13" i="1"/>
  <c r="DA13" i="1" s="1"/>
  <c r="BQ15" i="1"/>
  <c r="BT15" i="1"/>
  <c r="BR15" i="1"/>
  <c r="BU15" i="1"/>
  <c r="BV15" i="1"/>
  <c r="BO33" i="1"/>
  <c r="BS33" i="1"/>
  <c r="BP33" i="1"/>
  <c r="BT33" i="1"/>
  <c r="BV33" i="1"/>
  <c r="BU33" i="1"/>
  <c r="BQ33" i="1"/>
  <c r="BR33" i="1"/>
  <c r="AF23" i="1"/>
  <c r="AE26" i="1"/>
  <c r="AF27" i="1"/>
  <c r="AH23" i="1"/>
  <c r="AH33" i="1"/>
  <c r="AG19" i="1"/>
  <c r="AG33" i="1"/>
  <c r="AG23" i="1"/>
  <c r="AJ23" i="1"/>
  <c r="AJ27" i="1"/>
  <c r="AE27" i="1"/>
  <c r="AF33" i="1"/>
  <c r="AK27" i="1"/>
  <c r="AK23" i="1"/>
  <c r="AK33" i="1"/>
  <c r="AH27" i="1"/>
  <c r="AG14" i="1"/>
  <c r="AF19" i="1"/>
  <c r="AH20" i="1"/>
  <c r="AH19" i="1"/>
  <c r="AE20" i="1"/>
  <c r="AE19" i="1"/>
  <c r="AF13" i="1"/>
  <c r="AG26" i="1"/>
  <c r="AE23" i="1"/>
  <c r="AE14" i="1"/>
  <c r="AK19" i="1"/>
  <c r="AK26" i="1"/>
  <c r="AJ19" i="1"/>
  <c r="AH26" i="1"/>
  <c r="AK13" i="1"/>
  <c r="AJ26" i="1"/>
  <c r="AF14" i="1"/>
  <c r="AJ33" i="1"/>
  <c r="AG27" i="1"/>
  <c r="AE33" i="1"/>
  <c r="AJ13" i="1"/>
  <c r="CD13" i="1"/>
  <c r="CB13" i="1"/>
  <c r="CE13" i="1"/>
  <c r="BY13" i="1"/>
  <c r="BZ13" i="1"/>
  <c r="BN16" i="1"/>
  <c r="BC18" i="1"/>
  <c r="BL17" i="1"/>
  <c r="BM17" i="1"/>
  <c r="BD17" i="1"/>
  <c r="BF17" i="1"/>
  <c r="BK17" i="1"/>
  <c r="BG17" i="1"/>
  <c r="BJ17" i="1"/>
  <c r="AA25" i="1"/>
  <c r="AD24" i="1"/>
  <c r="Z24" i="1"/>
  <c r="X24" i="1"/>
  <c r="AB24" i="1"/>
  <c r="AI24" i="1" s="1"/>
  <c r="X29" i="1"/>
  <c r="AD25" i="1"/>
  <c r="Z29" i="1"/>
  <c r="Z25" i="1"/>
  <c r="Z31" i="1"/>
  <c r="AA24" i="1"/>
  <c r="AA31" i="1"/>
  <c r="Y24" i="1"/>
  <c r="AF24" i="1" s="1"/>
  <c r="X32" i="1"/>
  <c r="AB31" i="1"/>
  <c r="AI31" i="1" s="1"/>
  <c r="AC31" i="1"/>
  <c r="Y31" i="1"/>
  <c r="AD31" i="1"/>
  <c r="X25" i="1"/>
  <c r="X31" i="1"/>
  <c r="Z28" i="1"/>
  <c r="L34" i="1"/>
  <c r="M34" i="1" s="1"/>
  <c r="P34" i="1"/>
  <c r="N34" i="1"/>
  <c r="Y25" i="1"/>
  <c r="AB25" i="1"/>
  <c r="AI25" i="1" s="1"/>
  <c r="Z22" i="1"/>
  <c r="Z30" i="1"/>
  <c r="AC25" i="1"/>
  <c r="X22" i="1"/>
  <c r="Z32" i="1"/>
  <c r="X30" i="1"/>
  <c r="AC28" i="1"/>
  <c r="AD28" i="1"/>
  <c r="AC32" i="1"/>
  <c r="AA28" i="1"/>
  <c r="Y29" i="1"/>
  <c r="AC22" i="1"/>
  <c r="AA22" i="1"/>
  <c r="Y28" i="1"/>
  <c r="AB30" i="1"/>
  <c r="AI30" i="1" s="1"/>
  <c r="T34" i="1"/>
  <c r="Q34" i="1"/>
  <c r="Y30" i="1"/>
  <c r="AA30" i="1"/>
  <c r="AC30" i="1"/>
  <c r="AA32" i="1"/>
  <c r="AC29" i="1"/>
  <c r="Y22" i="1"/>
  <c r="AB22" i="1"/>
  <c r="AI22" i="1" s="1"/>
  <c r="AB28" i="1"/>
  <c r="AI28" i="1" s="1"/>
  <c r="AB29" i="1"/>
  <c r="AI29" i="1" s="1"/>
  <c r="AD32" i="1"/>
  <c r="AD29" i="1"/>
  <c r="AD30" i="1"/>
  <c r="AD22" i="1"/>
  <c r="Y32" i="1"/>
  <c r="AB32" i="1"/>
  <c r="AI32" i="1" s="1"/>
  <c r="AA29" i="1"/>
  <c r="R34" i="1"/>
  <c r="U34" i="1"/>
  <c r="S34" i="1"/>
  <c r="O34" i="1"/>
  <c r="K16" i="1"/>
  <c r="K15" i="1"/>
  <c r="Q14" i="1"/>
  <c r="AA14" i="1" s="1"/>
  <c r="AH14" i="1" s="1"/>
  <c r="K18" i="1"/>
  <c r="K17" i="1"/>
  <c r="BZ21" i="10" l="1"/>
  <c r="BQ23" i="10"/>
  <c r="BM24" i="10"/>
  <c r="BL24" i="10"/>
  <c r="BK24" i="10"/>
  <c r="BJ24" i="10"/>
  <c r="BG24" i="10"/>
  <c r="BF24" i="10"/>
  <c r="BD24" i="10"/>
  <c r="BC25" i="10"/>
  <c r="BU23" i="10"/>
  <c r="CE23" i="10" s="1"/>
  <c r="CE21" i="10"/>
  <c r="BT23" i="10"/>
  <c r="CD23" i="10" s="1"/>
  <c r="DB23" i="10" s="1"/>
  <c r="CC21" i="10"/>
  <c r="DA21" i="10" s="1"/>
  <c r="BO23" i="10"/>
  <c r="BY23" i="10" s="1"/>
  <c r="CD21" i="10"/>
  <c r="BV23" i="10"/>
  <c r="CB23" i="10" s="1"/>
  <c r="CZ23" i="10" s="1"/>
  <c r="BY21" i="10"/>
  <c r="BS23" i="10"/>
  <c r="CC23" i="10" s="1"/>
  <c r="DA23" i="10" s="1"/>
  <c r="BQ22" i="10"/>
  <c r="CA22" i="10" s="1"/>
  <c r="BT22" i="10"/>
  <c r="CD22" i="10" s="1"/>
  <c r="BR22" i="10"/>
  <c r="BP22" i="10"/>
  <c r="BS22" i="10"/>
  <c r="BU22" i="10"/>
  <c r="BV22" i="10"/>
  <c r="BO22" i="10"/>
  <c r="BY22" i="10" s="1"/>
  <c r="BP23" i="10"/>
  <c r="BZ23" i="10" s="1"/>
  <c r="CX23" i="10" s="1"/>
  <c r="CB21" i="10"/>
  <c r="CZ21" i="10" s="1"/>
  <c r="AJ31" i="1"/>
  <c r="BP15" i="1"/>
  <c r="BS15" i="1"/>
  <c r="AF29" i="1"/>
  <c r="AK31" i="1"/>
  <c r="AG31" i="1"/>
  <c r="AF31" i="1"/>
  <c r="CC33" i="1"/>
  <c r="DA33" i="1" s="1"/>
  <c r="BY33" i="1"/>
  <c r="CE33" i="1"/>
  <c r="CB33" i="1"/>
  <c r="CD33" i="1"/>
  <c r="CA33" i="1"/>
  <c r="BZ33" i="1"/>
  <c r="BR16" i="1"/>
  <c r="BS16" i="1"/>
  <c r="BU16" i="1"/>
  <c r="BT16" i="1"/>
  <c r="BV16" i="1"/>
  <c r="BP16" i="1"/>
  <c r="BO16" i="1"/>
  <c r="BQ16" i="1"/>
  <c r="AG29" i="1"/>
  <c r="AJ29" i="1"/>
  <c r="AK24" i="1"/>
  <c r="AK29" i="1"/>
  <c r="AH29" i="1"/>
  <c r="AJ32" i="1"/>
  <c r="AG22" i="1"/>
  <c r="AE25" i="1"/>
  <c r="AH24" i="1"/>
  <c r="AG24" i="1"/>
  <c r="AF22" i="1"/>
  <c r="AF25" i="1"/>
  <c r="AH25" i="1"/>
  <c r="AK22" i="1"/>
  <c r="AE30" i="1"/>
  <c r="AH32" i="1"/>
  <c r="AJ30" i="1"/>
  <c r="AJ22" i="1"/>
  <c r="AE22" i="1"/>
  <c r="AE32" i="1"/>
  <c r="AE29" i="1"/>
  <c r="AK28" i="1"/>
  <c r="AF32" i="1"/>
  <c r="AJ28" i="1"/>
  <c r="AG25" i="1"/>
  <c r="AF28" i="1"/>
  <c r="AE28" i="1"/>
  <c r="AH22" i="1"/>
  <c r="AK32" i="1"/>
  <c r="AH30" i="1"/>
  <c r="AJ25" i="1"/>
  <c r="AG28" i="1"/>
  <c r="AJ24" i="1"/>
  <c r="AK30" i="1"/>
  <c r="AG32" i="1"/>
  <c r="AK25" i="1"/>
  <c r="AF30" i="1"/>
  <c r="AH28" i="1"/>
  <c r="AG30" i="1"/>
  <c r="AE31" i="1"/>
  <c r="AH31" i="1"/>
  <c r="AE24" i="1"/>
  <c r="CX13" i="1"/>
  <c r="CW13" i="1"/>
  <c r="CZ13" i="1"/>
  <c r="DC13" i="1"/>
  <c r="CY13" i="1"/>
  <c r="DB13" i="1"/>
  <c r="BZ15" i="1"/>
  <c r="CE15" i="1"/>
  <c r="CD15" i="1"/>
  <c r="CA15" i="1"/>
  <c r="CB15" i="1"/>
  <c r="BY15" i="1"/>
  <c r="CC15" i="1"/>
  <c r="DA15" i="1" s="1"/>
  <c r="BN17" i="1"/>
  <c r="BC19" i="1"/>
  <c r="BG18" i="1"/>
  <c r="BJ18" i="1"/>
  <c r="BM18" i="1"/>
  <c r="BL18" i="1"/>
  <c r="BD18" i="1"/>
  <c r="BF18" i="1"/>
  <c r="BK18" i="1"/>
  <c r="X34" i="1"/>
  <c r="Z34" i="1"/>
  <c r="N17" i="1"/>
  <c r="P17" i="1"/>
  <c r="N18" i="1"/>
  <c r="P18" i="1"/>
  <c r="P15" i="1"/>
  <c r="N15" i="1"/>
  <c r="S16" i="1"/>
  <c r="N16" i="1"/>
  <c r="P16" i="1"/>
  <c r="O16" i="1"/>
  <c r="R16" i="1"/>
  <c r="AD34" i="1"/>
  <c r="AC34" i="1"/>
  <c r="T16" i="1"/>
  <c r="L17" i="1"/>
  <c r="M17" i="1" s="1"/>
  <c r="U17" i="1"/>
  <c r="L16" i="1"/>
  <c r="M16" i="1" s="1"/>
  <c r="U16" i="1"/>
  <c r="L15" i="1"/>
  <c r="M15" i="1" s="1"/>
  <c r="T15" i="1"/>
  <c r="U15" i="1"/>
  <c r="L18" i="1"/>
  <c r="M18" i="1" s="1"/>
  <c r="U18" i="1"/>
  <c r="Y34" i="1"/>
  <c r="AB34" i="1"/>
  <c r="AI34" i="1" s="1"/>
  <c r="AA34" i="1"/>
  <c r="Q16" i="1"/>
  <c r="T14" i="1"/>
  <c r="AD14" i="1" s="1"/>
  <c r="AK14" i="1" s="1"/>
  <c r="R17" i="1"/>
  <c r="S17" i="1"/>
  <c r="S18" i="1"/>
  <c r="T18" i="1"/>
  <c r="Q17" i="1"/>
  <c r="T17" i="1"/>
  <c r="O17" i="1"/>
  <c r="Q18" i="1"/>
  <c r="R18" i="1"/>
  <c r="O18" i="1"/>
  <c r="S14" i="1"/>
  <c r="AC14" i="1" s="1"/>
  <c r="AJ14" i="1" s="1"/>
  <c r="Q15" i="1"/>
  <c r="R15" i="1"/>
  <c r="S15" i="1"/>
  <c r="O15" i="1"/>
  <c r="M14" i="1"/>
  <c r="CB22" i="10" l="1"/>
  <c r="CW23" i="10"/>
  <c r="DC21" i="10"/>
  <c r="CE22" i="10"/>
  <c r="DC22" i="10" s="1"/>
  <c r="CA23" i="10"/>
  <c r="CY23" i="10" s="1"/>
  <c r="CW22" i="10"/>
  <c r="CW21" i="10"/>
  <c r="DB21" i="10"/>
  <c r="DC23" i="10"/>
  <c r="BG25" i="10"/>
  <c r="BF25" i="10"/>
  <c r="BM25" i="10"/>
  <c r="BL25" i="10"/>
  <c r="BJ25" i="10"/>
  <c r="BK25" i="10"/>
  <c r="BD25" i="10"/>
  <c r="BC26" i="10"/>
  <c r="CC22" i="10"/>
  <c r="DA22" i="10" s="1"/>
  <c r="BN24" i="10"/>
  <c r="CX21" i="10"/>
  <c r="BZ22" i="10"/>
  <c r="CX22" i="10" s="1"/>
  <c r="CY21" i="10"/>
  <c r="CW33" i="1"/>
  <c r="AH34" i="1"/>
  <c r="DC33" i="1"/>
  <c r="CZ33" i="1"/>
  <c r="DB33" i="1"/>
  <c r="CX33" i="1"/>
  <c r="CY33" i="1"/>
  <c r="BS17" i="1"/>
  <c r="BV17" i="1"/>
  <c r="BT17" i="1"/>
  <c r="BU17" i="1"/>
  <c r="BQ17" i="1"/>
  <c r="BR17" i="1"/>
  <c r="BO17" i="1"/>
  <c r="BP17" i="1"/>
  <c r="CX15" i="1"/>
  <c r="AJ34" i="1"/>
  <c r="AG34" i="1"/>
  <c r="AE34" i="1"/>
  <c r="AK34" i="1"/>
  <c r="AF34" i="1"/>
  <c r="CW15" i="1"/>
  <c r="DC15" i="1"/>
  <c r="CZ15" i="1"/>
  <c r="CY15" i="1"/>
  <c r="DB15" i="1"/>
  <c r="CD16" i="1"/>
  <c r="CB16" i="1"/>
  <c r="AD18" i="1"/>
  <c r="BY16" i="1"/>
  <c r="BZ16" i="1"/>
  <c r="CC16" i="1"/>
  <c r="DA16" i="1" s="1"/>
  <c r="CA16" i="1"/>
  <c r="CE16" i="1"/>
  <c r="BN18" i="1"/>
  <c r="BC20" i="1"/>
  <c r="BF19" i="1"/>
  <c r="BL19" i="1"/>
  <c r="BK19" i="1"/>
  <c r="BJ19" i="1"/>
  <c r="BD19" i="1"/>
  <c r="BG19" i="1"/>
  <c r="BM19" i="1"/>
  <c r="X15" i="1"/>
  <c r="X16" i="1"/>
  <c r="Z15" i="1"/>
  <c r="Z18" i="1"/>
  <c r="Z17" i="1"/>
  <c r="X18" i="1"/>
  <c r="Z16" i="1"/>
  <c r="X17" i="1"/>
  <c r="AC18" i="1"/>
  <c r="AD16" i="1"/>
  <c r="AA17" i="1"/>
  <c r="AB17" i="1"/>
  <c r="AI17" i="1" s="1"/>
  <c r="AD15" i="1"/>
  <c r="AC15" i="1"/>
  <c r="AB15" i="1"/>
  <c r="AI15" i="1" s="1"/>
  <c r="Y15" i="1"/>
  <c r="AA15" i="1"/>
  <c r="Y18" i="1"/>
  <c r="AC17" i="1"/>
  <c r="AA16" i="1"/>
  <c r="AC16" i="1"/>
  <c r="AB18" i="1"/>
  <c r="AI18" i="1" s="1"/>
  <c r="AA18" i="1"/>
  <c r="Y16" i="1"/>
  <c r="Y17" i="1"/>
  <c r="AB16" i="1"/>
  <c r="AI16" i="1" s="1"/>
  <c r="AD17" i="1"/>
  <c r="BV24" i="10" l="1"/>
  <c r="BS24" i="10"/>
  <c r="CC24" i="10" s="1"/>
  <c r="DA24" i="10" s="1"/>
  <c r="BP24" i="10"/>
  <c r="BZ24" i="10" s="1"/>
  <c r="CX24" i="10" s="1"/>
  <c r="BR24" i="10"/>
  <c r="CB24" i="10" s="1"/>
  <c r="CZ24" i="10" s="1"/>
  <c r="BO24" i="10"/>
  <c r="BY24" i="10" s="1"/>
  <c r="CW24" i="10" s="1"/>
  <c r="BU24" i="10"/>
  <c r="CE24" i="10" s="1"/>
  <c r="DC24" i="10" s="1"/>
  <c r="BT24" i="10"/>
  <c r="CD24" i="10" s="1"/>
  <c r="DB24" i="10" s="1"/>
  <c r="BQ24" i="10"/>
  <c r="CA24" i="10" s="1"/>
  <c r="CY24" i="10" s="1"/>
  <c r="CY22" i="10"/>
  <c r="BN25" i="10"/>
  <c r="DB22" i="10"/>
  <c r="BF26" i="10"/>
  <c r="BJ26" i="10"/>
  <c r="BG26" i="10"/>
  <c r="BK26" i="10"/>
  <c r="BL26" i="10"/>
  <c r="BM26" i="10"/>
  <c r="BD26" i="10"/>
  <c r="BC27" i="10"/>
  <c r="CZ22" i="10"/>
  <c r="AH18" i="1"/>
  <c r="AG17" i="1"/>
  <c r="AH15" i="1"/>
  <c r="AJ18" i="1"/>
  <c r="AE15" i="1"/>
  <c r="AF18" i="1"/>
  <c r="AK18" i="1"/>
  <c r="AK15" i="1"/>
  <c r="AG15" i="1"/>
  <c r="BT18" i="1"/>
  <c r="BO18" i="1"/>
  <c r="BU18" i="1"/>
  <c r="BP18" i="1"/>
  <c r="BV18" i="1"/>
  <c r="BQ18" i="1"/>
  <c r="BR18" i="1"/>
  <c r="BS18" i="1"/>
  <c r="DB16" i="1"/>
  <c r="DC16" i="1"/>
  <c r="CZ16" i="1"/>
  <c r="AJ16" i="1"/>
  <c r="AH16" i="1"/>
  <c r="AG18" i="1"/>
  <c r="AH17" i="1"/>
  <c r="AE16" i="1"/>
  <c r="AF17" i="1"/>
  <c r="AF16" i="1"/>
  <c r="AF15" i="1"/>
  <c r="AE17" i="1"/>
  <c r="AJ17" i="1"/>
  <c r="AG16" i="1"/>
  <c r="AK17" i="1"/>
  <c r="AK16" i="1"/>
  <c r="AJ15" i="1"/>
  <c r="AE18" i="1"/>
  <c r="CY16" i="1"/>
  <c r="CX16" i="1"/>
  <c r="CW16" i="1"/>
  <c r="BZ17" i="1"/>
  <c r="CB17" i="1"/>
  <c r="CA17" i="1"/>
  <c r="BY17" i="1"/>
  <c r="CC17" i="1"/>
  <c r="DA17" i="1" s="1"/>
  <c r="CD17" i="1"/>
  <c r="CE17" i="1"/>
  <c r="BN19" i="1"/>
  <c r="BC21" i="1"/>
  <c r="BG20" i="1"/>
  <c r="BD20" i="1"/>
  <c r="BF20" i="1"/>
  <c r="BK20" i="1"/>
  <c r="BJ20" i="1"/>
  <c r="BL20" i="1"/>
  <c r="BM20" i="1"/>
  <c r="BL27" i="10" l="1"/>
  <c r="BM27" i="10"/>
  <c r="BF27" i="10"/>
  <c r="BK27" i="10"/>
  <c r="BG27" i="10"/>
  <c r="BJ27" i="10"/>
  <c r="BC28" i="10"/>
  <c r="BD27" i="10"/>
  <c r="BN26" i="10"/>
  <c r="BT25" i="10"/>
  <c r="BP25" i="10"/>
  <c r="BO25" i="10"/>
  <c r="BS25" i="10"/>
  <c r="BV25" i="10"/>
  <c r="BQ25" i="10"/>
  <c r="CA25" i="10" s="1"/>
  <c r="BR25" i="10"/>
  <c r="BU25" i="10"/>
  <c r="BU19" i="1"/>
  <c r="BR19" i="1"/>
  <c r="BV19" i="1"/>
  <c r="BO19" i="1"/>
  <c r="BP19" i="1"/>
  <c r="BQ19" i="1"/>
  <c r="BS19" i="1"/>
  <c r="BT19" i="1"/>
  <c r="CY17" i="1"/>
  <c r="DB17" i="1"/>
  <c r="CX17" i="1"/>
  <c r="CW17" i="1"/>
  <c r="CZ17" i="1"/>
  <c r="DC17" i="1"/>
  <c r="CE18" i="1"/>
  <c r="CA18" i="1"/>
  <c r="BY18" i="1"/>
  <c r="BZ18" i="1"/>
  <c r="CC18" i="1"/>
  <c r="DA18" i="1" s="1"/>
  <c r="CD18" i="1"/>
  <c r="CB18" i="1"/>
  <c r="CZ18" i="1" s="1"/>
  <c r="BC22" i="1"/>
  <c r="BL21" i="1"/>
  <c r="BF21" i="1"/>
  <c r="BM21" i="1"/>
  <c r="BK21" i="1"/>
  <c r="BD21" i="1"/>
  <c r="BG21" i="1"/>
  <c r="BJ21" i="1"/>
  <c r="BN20" i="1"/>
  <c r="BJ14" i="1"/>
  <c r="BL14" i="1"/>
  <c r="BF14" i="1"/>
  <c r="BK14" i="1"/>
  <c r="BG14" i="1"/>
  <c r="BD14" i="1"/>
  <c r="CB25" i="10" l="1"/>
  <c r="BY25" i="10"/>
  <c r="BF28" i="10"/>
  <c r="BG28" i="10"/>
  <c r="BJ28" i="10"/>
  <c r="BM28" i="10"/>
  <c r="BL28" i="10"/>
  <c r="BK28" i="10"/>
  <c r="BD28" i="10"/>
  <c r="BC29" i="10"/>
  <c r="CC25" i="10"/>
  <c r="DA25" i="10" s="1"/>
  <c r="BZ25" i="10"/>
  <c r="CX25" i="10" s="1"/>
  <c r="CD25" i="10"/>
  <c r="DB25" i="10" s="1"/>
  <c r="CE25" i="10"/>
  <c r="DC25" i="10" s="1"/>
  <c r="BQ26" i="10"/>
  <c r="CA26" i="10" s="1"/>
  <c r="CY26" i="10" s="1"/>
  <c r="BU26" i="10"/>
  <c r="BV26" i="10"/>
  <c r="BS26" i="10"/>
  <c r="CC26" i="10" s="1"/>
  <c r="DA26" i="10" s="1"/>
  <c r="BR26" i="10"/>
  <c r="CB26" i="10" s="1"/>
  <c r="CZ26" i="10" s="1"/>
  <c r="BO26" i="10"/>
  <c r="BY26" i="10" s="1"/>
  <c r="CW26" i="10" s="1"/>
  <c r="BP26" i="10"/>
  <c r="BZ26" i="10" s="1"/>
  <c r="CX26" i="10" s="1"/>
  <c r="BT26" i="10"/>
  <c r="CD26" i="10" s="1"/>
  <c r="DB26" i="10" s="1"/>
  <c r="BN27" i="10"/>
  <c r="DC18" i="1"/>
  <c r="BV20" i="1"/>
  <c r="BR20" i="1"/>
  <c r="BQ20" i="1"/>
  <c r="BS20" i="1"/>
  <c r="BP20" i="1"/>
  <c r="BO20" i="1"/>
  <c r="BT20" i="1"/>
  <c r="BU20" i="1"/>
  <c r="DB18" i="1"/>
  <c r="CY18" i="1"/>
  <c r="CX18" i="1"/>
  <c r="CW18" i="1"/>
  <c r="CE19" i="1"/>
  <c r="CC19" i="1"/>
  <c r="DA19" i="1" s="1"/>
  <c r="BZ19" i="1"/>
  <c r="CD19" i="1"/>
  <c r="CA19" i="1"/>
  <c r="BY19" i="1"/>
  <c r="CB19" i="1"/>
  <c r="BN21" i="1"/>
  <c r="BC23" i="1"/>
  <c r="BG22" i="1"/>
  <c r="BM22" i="1"/>
  <c r="BJ22" i="1"/>
  <c r="BL22" i="1"/>
  <c r="BF22" i="1"/>
  <c r="BD22" i="1"/>
  <c r="BK22" i="1"/>
  <c r="BN14" i="1"/>
  <c r="BL29" i="10" l="1"/>
  <c r="BM29" i="10"/>
  <c r="BK29" i="10"/>
  <c r="BJ29" i="10"/>
  <c r="BF29" i="10"/>
  <c r="BD29" i="10"/>
  <c r="BG29" i="10"/>
  <c r="BC30" i="10"/>
  <c r="BQ27" i="10"/>
  <c r="BR27" i="10"/>
  <c r="BP27" i="10"/>
  <c r="BO27" i="10"/>
  <c r="BT27" i="10"/>
  <c r="BU27" i="10"/>
  <c r="BV27" i="10"/>
  <c r="BS27" i="10"/>
  <c r="BN28" i="10"/>
  <c r="CW25" i="10"/>
  <c r="CY25" i="10"/>
  <c r="CE26" i="10"/>
  <c r="DC26" i="10" s="1"/>
  <c r="CZ25" i="10"/>
  <c r="BP14" i="1"/>
  <c r="BU14" i="1"/>
  <c r="BQ14" i="1"/>
  <c r="BS14" i="1"/>
  <c r="BO14" i="1"/>
  <c r="BR14" i="1"/>
  <c r="BT14" i="1"/>
  <c r="BV14" i="1"/>
  <c r="BR21" i="1"/>
  <c r="BO21" i="1"/>
  <c r="BP21" i="1"/>
  <c r="BS21" i="1"/>
  <c r="BQ21" i="1"/>
  <c r="BU21" i="1"/>
  <c r="BV21" i="1"/>
  <c r="BT21" i="1"/>
  <c r="CX19" i="1"/>
  <c r="DB19" i="1"/>
  <c r="CW19" i="1"/>
  <c r="CY19" i="1"/>
  <c r="DC19" i="1"/>
  <c r="CZ19" i="1"/>
  <c r="CD20" i="1"/>
  <c r="CC20" i="1"/>
  <c r="DA20" i="1" s="1"/>
  <c r="CB20" i="1"/>
  <c r="CA20" i="1"/>
  <c r="CE20" i="1"/>
  <c r="BY20" i="1"/>
  <c r="BZ20" i="1"/>
  <c r="BN22" i="1"/>
  <c r="BC24" i="1"/>
  <c r="BF23" i="1"/>
  <c r="BJ23" i="1"/>
  <c r="BK23" i="1"/>
  <c r="BG23" i="1"/>
  <c r="BL23" i="1"/>
  <c r="BM23" i="1"/>
  <c r="BD23" i="1"/>
  <c r="CC27" i="10" l="1"/>
  <c r="DA27" i="10" s="1"/>
  <c r="CE27" i="10"/>
  <c r="DC27" i="10" s="1"/>
  <c r="BN29" i="10"/>
  <c r="CD27" i="10"/>
  <c r="DB27" i="10" s="1"/>
  <c r="BY27" i="10"/>
  <c r="CW27" i="10" s="1"/>
  <c r="BZ27" i="10"/>
  <c r="CX27" i="10" s="1"/>
  <c r="BF30" i="10"/>
  <c r="BG30" i="10"/>
  <c r="BM30" i="10"/>
  <c r="BL30" i="10"/>
  <c r="BK30" i="10"/>
  <c r="BJ30" i="10"/>
  <c r="BC31" i="10"/>
  <c r="BD30" i="10"/>
  <c r="CB27" i="10"/>
  <c r="CZ27" i="10" s="1"/>
  <c r="BV28" i="10"/>
  <c r="BU28" i="10"/>
  <c r="BQ28" i="10"/>
  <c r="BT28" i="10"/>
  <c r="BS28" i="10"/>
  <c r="BR28" i="10"/>
  <c r="BO28" i="10"/>
  <c r="BP28" i="10"/>
  <c r="CA27" i="10"/>
  <c r="CY27" i="10" s="1"/>
  <c r="BP22" i="1"/>
  <c r="BO22" i="1"/>
  <c r="BQ22" i="1"/>
  <c r="BR22" i="1"/>
  <c r="BS22" i="1"/>
  <c r="BT22" i="1"/>
  <c r="BU22" i="1"/>
  <c r="BV22" i="1"/>
  <c r="CZ20" i="1"/>
  <c r="DB20" i="1"/>
  <c r="CW20" i="1"/>
  <c r="CX20" i="1"/>
  <c r="DC20" i="1"/>
  <c r="CY20" i="1"/>
  <c r="CD14" i="1"/>
  <c r="CB14" i="1"/>
  <c r="BZ21" i="1"/>
  <c r="CA14" i="1"/>
  <c r="BZ14" i="1"/>
  <c r="CE14" i="1"/>
  <c r="BY14" i="1"/>
  <c r="CE21" i="1"/>
  <c r="BY21" i="1"/>
  <c r="CD21" i="1"/>
  <c r="CA21" i="1"/>
  <c r="CC14" i="1"/>
  <c r="DA14" i="1" s="1"/>
  <c r="CB21" i="1"/>
  <c r="CC21" i="1"/>
  <c r="DA21" i="1" s="1"/>
  <c r="BN23" i="1"/>
  <c r="BC25" i="1"/>
  <c r="BD24" i="1"/>
  <c r="BK24" i="1"/>
  <c r="BF24" i="1"/>
  <c r="BG24" i="1"/>
  <c r="BJ24" i="1"/>
  <c r="BL24" i="1"/>
  <c r="BM24" i="1"/>
  <c r="CB28" i="10" l="1"/>
  <c r="BY28" i="10"/>
  <c r="BN30" i="10"/>
  <c r="BZ28" i="10"/>
  <c r="CC28" i="10"/>
  <c r="DA28" i="10" s="1"/>
  <c r="CD28" i="10"/>
  <c r="DB28" i="10" s="1"/>
  <c r="BT29" i="10"/>
  <c r="CD29" i="10" s="1"/>
  <c r="DB29" i="10" s="1"/>
  <c r="BU29" i="10"/>
  <c r="CE29" i="10" s="1"/>
  <c r="BQ29" i="10"/>
  <c r="BO29" i="10"/>
  <c r="BV29" i="10"/>
  <c r="BP29" i="10"/>
  <c r="BZ29" i="10" s="1"/>
  <c r="BR29" i="10"/>
  <c r="CB29" i="10" s="1"/>
  <c r="BS29" i="10"/>
  <c r="CC29" i="10" s="1"/>
  <c r="DA29" i="10" s="1"/>
  <c r="CA28" i="10"/>
  <c r="CY28" i="10" s="1"/>
  <c r="CE28" i="10"/>
  <c r="DC28" i="10" s="1"/>
  <c r="BK31" i="10"/>
  <c r="BG31" i="10"/>
  <c r="BF31" i="10"/>
  <c r="BJ31" i="10"/>
  <c r="BM31" i="10"/>
  <c r="BL31" i="10"/>
  <c r="BP31" i="10"/>
  <c r="BD31" i="10"/>
  <c r="BN31" i="10" s="1"/>
  <c r="BR31" i="10" s="1"/>
  <c r="BC32" i="10"/>
  <c r="BQ23" i="1"/>
  <c r="BV23" i="1"/>
  <c r="BR23" i="1"/>
  <c r="BT23" i="1"/>
  <c r="BU23" i="1"/>
  <c r="BS23" i="1"/>
  <c r="BO23" i="1"/>
  <c r="BP23" i="1"/>
  <c r="CW14" i="1"/>
  <c r="DC14" i="1"/>
  <c r="DB14" i="1"/>
  <c r="CW21" i="1"/>
  <c r="CZ14" i="1"/>
  <c r="CZ21" i="1"/>
  <c r="CX14" i="1"/>
  <c r="DC21" i="1"/>
  <c r="CY21" i="1"/>
  <c r="CY14" i="1"/>
  <c r="CC22" i="1"/>
  <c r="DA22" i="1" s="1"/>
  <c r="DB21" i="1"/>
  <c r="CX21" i="1"/>
  <c r="CD22" i="1"/>
  <c r="CA22" i="1"/>
  <c r="BY22" i="1"/>
  <c r="CB22" i="1"/>
  <c r="CE22" i="1"/>
  <c r="BZ22" i="1"/>
  <c r="BN24" i="1"/>
  <c r="BC26" i="1"/>
  <c r="BL25" i="1"/>
  <c r="BM25" i="1"/>
  <c r="BD25" i="1"/>
  <c r="BF25" i="1"/>
  <c r="BK25" i="1"/>
  <c r="BG25" i="1"/>
  <c r="BJ25" i="1"/>
  <c r="BU31" i="10" l="1"/>
  <c r="BV31" i="10"/>
  <c r="CB31" i="10" s="1"/>
  <c r="CZ31" i="10" s="1"/>
  <c r="DC29" i="10"/>
  <c r="BZ31" i="10"/>
  <c r="BT31" i="10"/>
  <c r="CD31" i="10" s="1"/>
  <c r="BV30" i="10"/>
  <c r="BT30" i="10"/>
  <c r="CD30" i="10" s="1"/>
  <c r="BU30" i="10"/>
  <c r="BO30" i="10"/>
  <c r="BP30" i="10"/>
  <c r="BR30" i="10"/>
  <c r="BS30" i="10"/>
  <c r="BQ30" i="10"/>
  <c r="BL32" i="10"/>
  <c r="BM32" i="10"/>
  <c r="BF32" i="10"/>
  <c r="BG32" i="10"/>
  <c r="BJ32" i="10"/>
  <c r="BK32" i="10"/>
  <c r="BD32" i="10"/>
  <c r="BO31" i="10"/>
  <c r="BY31" i="10" s="1"/>
  <c r="CX29" i="10"/>
  <c r="BS31" i="10"/>
  <c r="CC31" i="10" s="1"/>
  <c r="DA31" i="10" s="1"/>
  <c r="BY29" i="10"/>
  <c r="CW29" i="10" s="1"/>
  <c r="CW28" i="10"/>
  <c r="CZ29" i="10"/>
  <c r="BQ31" i="10"/>
  <c r="CA31" i="10" s="1"/>
  <c r="CX28" i="10"/>
  <c r="CA29" i="10"/>
  <c r="CY29" i="10" s="1"/>
  <c r="CZ28" i="10"/>
  <c r="BR24" i="1"/>
  <c r="BU24" i="1"/>
  <c r="BV24" i="1"/>
  <c r="BS24" i="1"/>
  <c r="BT24" i="1"/>
  <c r="BP24" i="1"/>
  <c r="BO24" i="1"/>
  <c r="BQ24" i="1"/>
  <c r="CY22" i="1"/>
  <c r="DC22" i="1"/>
  <c r="CZ22" i="1"/>
  <c r="DB22" i="1"/>
  <c r="CX22" i="1"/>
  <c r="CW22" i="1"/>
  <c r="CA23" i="1"/>
  <c r="CE23" i="1"/>
  <c r="BY23" i="1"/>
  <c r="CD23" i="1"/>
  <c r="BZ23" i="1"/>
  <c r="CB23" i="1"/>
  <c r="CC23" i="1"/>
  <c r="DA23" i="1" s="1"/>
  <c r="BN25" i="1"/>
  <c r="BC27" i="1"/>
  <c r="BG26" i="1"/>
  <c r="BJ26" i="1"/>
  <c r="BL26" i="1"/>
  <c r="BD26" i="1"/>
  <c r="BM26" i="1"/>
  <c r="BF26" i="1"/>
  <c r="BK26" i="1"/>
  <c r="CA30" i="10" l="1"/>
  <c r="DB31" i="10"/>
  <c r="CW31" i="10"/>
  <c r="CC30" i="10"/>
  <c r="DA30" i="10" s="1"/>
  <c r="CX31" i="10"/>
  <c r="CB30" i="10"/>
  <c r="CZ30" i="10" s="1"/>
  <c r="BY30" i="10"/>
  <c r="CW30" i="10" s="1"/>
  <c r="CE31" i="10"/>
  <c r="DC31" i="10" s="1"/>
  <c r="CY31" i="10"/>
  <c r="BZ30" i="10"/>
  <c r="BN32" i="10"/>
  <c r="CE30" i="10"/>
  <c r="DC30" i="10" s="1"/>
  <c r="CY23" i="1"/>
  <c r="BS25" i="1"/>
  <c r="BT25" i="1"/>
  <c r="BP25" i="1"/>
  <c r="BU25" i="1"/>
  <c r="BV25" i="1"/>
  <c r="BQ25" i="1"/>
  <c r="BR25" i="1"/>
  <c r="BO25" i="1"/>
  <c r="DC23" i="1"/>
  <c r="CW23" i="1"/>
  <c r="CX23" i="1"/>
  <c r="CZ23" i="1"/>
  <c r="DB23" i="1"/>
  <c r="CA24" i="1"/>
  <c r="BY24" i="1"/>
  <c r="CE24" i="1"/>
  <c r="BZ24" i="1"/>
  <c r="CD24" i="1"/>
  <c r="CB24" i="1"/>
  <c r="CC24" i="1"/>
  <c r="DA24" i="1" s="1"/>
  <c r="BN26" i="1"/>
  <c r="BC28" i="1"/>
  <c r="BF27" i="1"/>
  <c r="BD27" i="1"/>
  <c r="BL27" i="1"/>
  <c r="BK27" i="1"/>
  <c r="BJ27" i="1"/>
  <c r="BG27" i="1"/>
  <c r="BM27" i="1"/>
  <c r="BR32" i="10" l="1"/>
  <c r="BP32" i="10"/>
  <c r="BU32" i="10"/>
  <c r="BV32" i="10"/>
  <c r="BQ32" i="10"/>
  <c r="CA32" i="10" s="1"/>
  <c r="BS32" i="10"/>
  <c r="CC32" i="10" s="1"/>
  <c r="DA32" i="10" s="1"/>
  <c r="BO32" i="10"/>
  <c r="BY32" i="10" s="1"/>
  <c r="BT32" i="10"/>
  <c r="CD32" i="10" s="1"/>
  <c r="DB32" i="10" s="1"/>
  <c r="CX30" i="10"/>
  <c r="DB30" i="10"/>
  <c r="CY30" i="10"/>
  <c r="CY24" i="1"/>
  <c r="DC24" i="1"/>
  <c r="CW24" i="1"/>
  <c r="BT26" i="1"/>
  <c r="BO26" i="1"/>
  <c r="BU26" i="1"/>
  <c r="BV26" i="1"/>
  <c r="BP26" i="1"/>
  <c r="BR26" i="1"/>
  <c r="BS26" i="1"/>
  <c r="BQ26" i="1"/>
  <c r="CX24" i="1"/>
  <c r="DB24" i="1"/>
  <c r="CZ24" i="1"/>
  <c r="CD25" i="1"/>
  <c r="BY25" i="1"/>
  <c r="CB25" i="1"/>
  <c r="CE25" i="1"/>
  <c r="BZ25" i="1"/>
  <c r="CC25" i="1"/>
  <c r="DA25" i="1" s="1"/>
  <c r="CA25" i="1"/>
  <c r="BN27" i="1"/>
  <c r="BC29" i="1"/>
  <c r="BK28" i="1"/>
  <c r="BG28" i="1"/>
  <c r="BF28" i="1"/>
  <c r="BD28" i="1"/>
  <c r="BJ28" i="1"/>
  <c r="BL28" i="1"/>
  <c r="BM28" i="1"/>
  <c r="CW32" i="10" l="1"/>
  <c r="CY32" i="10"/>
  <c r="CE32" i="10"/>
  <c r="DC32" i="10" s="1"/>
  <c r="BZ32" i="10"/>
  <c r="CX32" i="10" s="1"/>
  <c r="CB32" i="10"/>
  <c r="CZ32" i="10" s="1"/>
  <c r="BU27" i="1"/>
  <c r="BV27" i="1"/>
  <c r="BO27" i="1"/>
  <c r="BP27" i="1"/>
  <c r="BQ27" i="1"/>
  <c r="BR27" i="1"/>
  <c r="BS27" i="1"/>
  <c r="BT27" i="1"/>
  <c r="CY25" i="1"/>
  <c r="CW25" i="1"/>
  <c r="CX25" i="1"/>
  <c r="CZ25" i="1"/>
  <c r="DB25" i="1"/>
  <c r="DC25" i="1"/>
  <c r="CA26" i="1"/>
  <c r="CY26" i="1" s="1"/>
  <c r="CD26" i="1"/>
  <c r="DB26" i="1" s="1"/>
  <c r="CE26" i="1"/>
  <c r="CC26" i="1"/>
  <c r="DA26" i="1" s="1"/>
  <c r="BZ26" i="1"/>
  <c r="CB26" i="1"/>
  <c r="BY26" i="1"/>
  <c r="CW26" i="1" s="1"/>
  <c r="BC30" i="1"/>
  <c r="BL29" i="1"/>
  <c r="BM29" i="1"/>
  <c r="BF29" i="1"/>
  <c r="BK29" i="1"/>
  <c r="BD29" i="1"/>
  <c r="BG29" i="1"/>
  <c r="BJ29" i="1"/>
  <c r="BN28" i="1"/>
  <c r="BV28" i="1" l="1"/>
  <c r="BQ28" i="1"/>
  <c r="BR28" i="1"/>
  <c r="BS28" i="1"/>
  <c r="BP28" i="1"/>
  <c r="BO28" i="1"/>
  <c r="BT28" i="1"/>
  <c r="BU28" i="1"/>
  <c r="CZ26" i="1"/>
  <c r="CX26" i="1"/>
  <c r="DC26" i="1"/>
  <c r="BZ27" i="1"/>
  <c r="CE27" i="1"/>
  <c r="DC27" i="1" s="1"/>
  <c r="CA27" i="1"/>
  <c r="CY27" i="1" s="1"/>
  <c r="CB27" i="1"/>
  <c r="CZ27" i="1" s="1"/>
  <c r="CD27" i="1"/>
  <c r="DB27" i="1" s="1"/>
  <c r="BY27" i="1"/>
  <c r="CC27" i="1"/>
  <c r="DA27" i="1" s="1"/>
  <c r="BN29" i="1"/>
  <c r="BC31" i="1"/>
  <c r="BG30" i="1"/>
  <c r="BJ30" i="1"/>
  <c r="BM30" i="1"/>
  <c r="BF30" i="1"/>
  <c r="BD30" i="1"/>
  <c r="BK30" i="1"/>
  <c r="BL30" i="1"/>
  <c r="BP29" i="1" l="1"/>
  <c r="BT29" i="1"/>
  <c r="BQ29" i="1"/>
  <c r="BR29" i="1"/>
  <c r="BO29" i="1"/>
  <c r="BS29" i="1"/>
  <c r="BU29" i="1"/>
  <c r="BV29" i="1"/>
  <c r="CX27" i="1"/>
  <c r="CW27" i="1"/>
  <c r="CA28" i="1"/>
  <c r="CC28" i="1"/>
  <c r="DA28" i="1" s="1"/>
  <c r="BY28" i="1"/>
  <c r="CE28" i="1"/>
  <c r="CB28" i="1"/>
  <c r="BZ28" i="1"/>
  <c r="CD28" i="1"/>
  <c r="BN30" i="1"/>
  <c r="BC32" i="1"/>
  <c r="BF31" i="1"/>
  <c r="BL31" i="1"/>
  <c r="BJ31" i="1"/>
  <c r="BK31" i="1"/>
  <c r="BG31" i="1"/>
  <c r="BM31" i="1"/>
  <c r="BD31" i="1"/>
  <c r="CA29" i="1" l="1"/>
  <c r="BP30" i="1"/>
  <c r="BQ30" i="1"/>
  <c r="BS30" i="1"/>
  <c r="BT30" i="1"/>
  <c r="BR30" i="1"/>
  <c r="BO30" i="1"/>
  <c r="BV30" i="1"/>
  <c r="BZ30" i="1" s="1"/>
  <c r="BU30" i="1"/>
  <c r="CW28" i="1"/>
  <c r="CX28" i="1"/>
  <c r="DB28" i="1"/>
  <c r="CZ28" i="1"/>
  <c r="DC28" i="1"/>
  <c r="CY28" i="1"/>
  <c r="CD29" i="1"/>
  <c r="CB29" i="1"/>
  <c r="CE29" i="1"/>
  <c r="CC29" i="1"/>
  <c r="DA29" i="1" s="1"/>
  <c r="BY29" i="1"/>
  <c r="BZ29" i="1"/>
  <c r="BD32" i="1"/>
  <c r="BK32" i="1"/>
  <c r="BG32" i="1"/>
  <c r="BF32" i="1"/>
  <c r="BL32" i="1"/>
  <c r="BJ32" i="1"/>
  <c r="BM32" i="1"/>
  <c r="BN31" i="1"/>
  <c r="BQ31" i="1" l="1"/>
  <c r="BT31" i="1"/>
  <c r="BU31" i="1"/>
  <c r="BR31" i="1"/>
  <c r="BS31" i="1"/>
  <c r="BV31" i="1"/>
  <c r="BP31" i="1"/>
  <c r="BO31" i="1"/>
  <c r="CX29" i="1"/>
  <c r="DC29" i="1"/>
  <c r="CZ29" i="1"/>
  <c r="CW29" i="1"/>
  <c r="DB29" i="1"/>
  <c r="CY29" i="1"/>
  <c r="CC30" i="1"/>
  <c r="DA30" i="1" s="1"/>
  <c r="CB30" i="1"/>
  <c r="CD30" i="1"/>
  <c r="CA30" i="1"/>
  <c r="CE30" i="1"/>
  <c r="BY30" i="1"/>
  <c r="BN32" i="1"/>
  <c r="BR32" i="1" l="1"/>
  <c r="BS32" i="1"/>
  <c r="BT32" i="1"/>
  <c r="BU32" i="1"/>
  <c r="BV32" i="1"/>
  <c r="BP32" i="1"/>
  <c r="BO32" i="1"/>
  <c r="BQ32" i="1"/>
  <c r="CZ30" i="1"/>
  <c r="DC30" i="1"/>
  <c r="CY30" i="1"/>
  <c r="CW30" i="1"/>
  <c r="DB30" i="1"/>
  <c r="CX30" i="1"/>
  <c r="CA31" i="1"/>
  <c r="CB31" i="1"/>
  <c r="BZ31" i="1"/>
  <c r="CD31" i="1"/>
  <c r="BY31" i="1"/>
  <c r="CC31" i="1"/>
  <c r="DA31" i="1" s="1"/>
  <c r="CE31" i="1"/>
  <c r="DC31" i="1" l="1"/>
  <c r="CW31" i="1"/>
  <c r="DB31" i="1"/>
  <c r="CX31" i="1"/>
  <c r="CZ31" i="1"/>
  <c r="CY31" i="1"/>
  <c r="CB32" i="1"/>
  <c r="BZ32" i="1"/>
  <c r="BY32" i="1"/>
  <c r="CD32" i="1"/>
  <c r="CA32" i="1"/>
  <c r="CE32" i="1"/>
  <c r="CC32" i="1"/>
  <c r="DA32" i="1" s="1"/>
  <c r="CX32" i="1" l="1"/>
  <c r="CZ32" i="1"/>
  <c r="CW32" i="1"/>
  <c r="DC32" i="1"/>
  <c r="CY32" i="1"/>
  <c r="DB32" i="1"/>
  <c r="BD97" i="10"/>
  <c r="BE97" i="10"/>
  <c r="BF97" i="10"/>
  <c r="BC97" i="10"/>
  <c r="BM75" i="10" l="1"/>
  <c r="BG75" i="10"/>
  <c r="BL75" i="10"/>
  <c r="BK75" i="10"/>
  <c r="BJ75" i="10"/>
  <c r="BI75" i="10"/>
  <c r="BN94" i="10"/>
  <c r="BN92" i="10"/>
  <c r="BN79" i="10"/>
  <c r="BN78" i="10"/>
  <c r="BN93" i="10"/>
  <c r="BN81" i="10"/>
  <c r="BN89" i="10"/>
  <c r="BN80" i="10"/>
  <c r="BN77" i="10"/>
  <c r="BN85" i="10"/>
  <c r="BN76" i="10"/>
  <c r="BN90" i="10"/>
  <c r="BN88" i="10"/>
  <c r="BN87" i="10"/>
  <c r="BN82" i="10"/>
  <c r="BN84" i="10"/>
  <c r="BN83" i="10"/>
  <c r="BN86" i="10"/>
  <c r="BN91" i="10"/>
  <c r="BU83" i="10" l="1"/>
  <c r="BV83" i="10"/>
  <c r="BQ83" i="10"/>
  <c r="BS83" i="10"/>
  <c r="BR83" i="10"/>
  <c r="BP83" i="10"/>
  <c r="BO83" i="10"/>
  <c r="BT83" i="10"/>
  <c r="BU84" i="10"/>
  <c r="BV84" i="10"/>
  <c r="BS84" i="10"/>
  <c r="BT84" i="10"/>
  <c r="BQ84" i="10"/>
  <c r="BP84" i="10"/>
  <c r="BR84" i="10"/>
  <c r="BO84" i="10"/>
  <c r="BT86" i="10"/>
  <c r="BU86" i="10"/>
  <c r="BV86" i="10"/>
  <c r="BS86" i="10"/>
  <c r="BR86" i="10"/>
  <c r="BP86" i="10"/>
  <c r="BO86" i="10"/>
  <c r="BQ86" i="10"/>
  <c r="BU85" i="10"/>
  <c r="BV85" i="10"/>
  <c r="BQ85" i="10"/>
  <c r="BR85" i="10"/>
  <c r="BS85" i="10"/>
  <c r="BP85" i="10"/>
  <c r="BO85" i="10"/>
  <c r="BT85" i="10"/>
  <c r="BT92" i="10"/>
  <c r="BU92" i="10"/>
  <c r="BV92" i="10"/>
  <c r="BS92" i="10"/>
  <c r="BQ92" i="10"/>
  <c r="BP92" i="10"/>
  <c r="BR92" i="10"/>
  <c r="BO92" i="10"/>
  <c r="BT80" i="10"/>
  <c r="BV80" i="10"/>
  <c r="BS80" i="10"/>
  <c r="BU80" i="10"/>
  <c r="BO80" i="10"/>
  <c r="BP80" i="10"/>
  <c r="BQ80" i="10"/>
  <c r="BR80" i="10"/>
  <c r="BU87" i="10"/>
  <c r="BV87" i="10"/>
  <c r="BO87" i="10"/>
  <c r="BP87" i="10"/>
  <c r="BT87" i="10"/>
  <c r="BS87" i="10"/>
  <c r="BQ87" i="10"/>
  <c r="BR87" i="10"/>
  <c r="BS88" i="10"/>
  <c r="BT88" i="10"/>
  <c r="BU88" i="10"/>
  <c r="BV88" i="10"/>
  <c r="BO88" i="10"/>
  <c r="BP88" i="10"/>
  <c r="BQ88" i="10"/>
  <c r="BR88" i="10"/>
  <c r="BU93" i="10"/>
  <c r="BV93" i="10"/>
  <c r="BP93" i="10"/>
  <c r="BQ93" i="10"/>
  <c r="BR93" i="10"/>
  <c r="BT93" i="10"/>
  <c r="BO93" i="10"/>
  <c r="BS93" i="10"/>
  <c r="BU77" i="10"/>
  <c r="BV77" i="10"/>
  <c r="BP77" i="10"/>
  <c r="BQ77" i="10"/>
  <c r="BR77" i="10"/>
  <c r="BT77" i="10"/>
  <c r="BO77" i="10"/>
  <c r="BS77" i="10"/>
  <c r="BS82" i="10"/>
  <c r="BV82" i="10"/>
  <c r="BU82" i="10"/>
  <c r="BT82" i="10"/>
  <c r="BQ82" i="10"/>
  <c r="BP82" i="10"/>
  <c r="BR82" i="10"/>
  <c r="BO82" i="10"/>
  <c r="BU81" i="10"/>
  <c r="BV81" i="10"/>
  <c r="BT81" i="10"/>
  <c r="BO81" i="10"/>
  <c r="BS81" i="10"/>
  <c r="BQ81" i="10"/>
  <c r="BR81" i="10"/>
  <c r="BP81" i="10"/>
  <c r="BS90" i="10"/>
  <c r="BT90" i="10"/>
  <c r="BV90" i="10"/>
  <c r="BU90" i="10"/>
  <c r="BP90" i="10"/>
  <c r="BQ90" i="10"/>
  <c r="BR90" i="10"/>
  <c r="BO90" i="10"/>
  <c r="BS78" i="10"/>
  <c r="BT78" i="10"/>
  <c r="BU78" i="10"/>
  <c r="BV78" i="10"/>
  <c r="BR78" i="10"/>
  <c r="BO78" i="10"/>
  <c r="BP78" i="10"/>
  <c r="BQ78" i="10"/>
  <c r="BV94" i="10"/>
  <c r="BS94" i="10"/>
  <c r="BT94" i="10"/>
  <c r="BU94" i="10"/>
  <c r="BR94" i="10"/>
  <c r="BP94" i="10"/>
  <c r="BO94" i="10"/>
  <c r="BQ94" i="10"/>
  <c r="BU89" i="10"/>
  <c r="BV89" i="10"/>
  <c r="BO89" i="10"/>
  <c r="BS89" i="10"/>
  <c r="BP89" i="10"/>
  <c r="BQ89" i="10"/>
  <c r="BR89" i="10"/>
  <c r="BT89" i="10"/>
  <c r="BU91" i="10"/>
  <c r="BV91" i="10"/>
  <c r="BP91" i="10"/>
  <c r="BQ91" i="10"/>
  <c r="BR91" i="10"/>
  <c r="BT91" i="10"/>
  <c r="BS91" i="10"/>
  <c r="BO91" i="10"/>
  <c r="BS76" i="10"/>
  <c r="BU76" i="10"/>
  <c r="BV76" i="10"/>
  <c r="BT76" i="10"/>
  <c r="BQ76" i="10"/>
  <c r="BR76" i="10"/>
  <c r="BO76" i="10"/>
  <c r="BP76" i="10"/>
  <c r="BU79" i="10"/>
  <c r="BV79" i="10"/>
  <c r="BT79" i="10"/>
  <c r="BO79" i="10"/>
  <c r="BQ79" i="10"/>
  <c r="BP79" i="10"/>
  <c r="BR79" i="10"/>
  <c r="BS79" i="10"/>
  <c r="BN75" i="10"/>
  <c r="BN107" i="10" l="1"/>
  <c r="BV75" i="10"/>
  <c r="BR75" i="10"/>
  <c r="BO75" i="10"/>
  <c r="BP75" i="10"/>
  <c r="BU75" i="10"/>
  <c r="BQ75" i="10"/>
  <c r="BS75" i="10"/>
  <c r="BT75" i="10"/>
  <c r="BO107" i="10" l="1"/>
  <c r="BS107" i="10"/>
  <c r="BR107" i="10"/>
  <c r="BQ107" i="10"/>
  <c r="BP107" i="10"/>
  <c r="BV107" i="10"/>
  <c r="BU107" i="10"/>
  <c r="BT107" i="10"/>
</calcChain>
</file>

<file path=xl/sharedStrings.xml><?xml version="1.0" encoding="utf-8"?>
<sst xmlns="http://schemas.openxmlformats.org/spreadsheetml/2006/main" count="2033" uniqueCount="500">
  <si>
    <t>Mixing calculator for elemental concentrations</t>
  </si>
  <si>
    <t>CONCEPT/ASSUMPTIONS</t>
  </si>
  <si>
    <t>Weathering dissolves basalt (by mass); precipitation of immobile element (e.g. Ti) occurs</t>
  </si>
  <si>
    <t>Assume Na is mobile</t>
  </si>
  <si>
    <t>MW basalt</t>
  </si>
  <si>
    <t>NA</t>
  </si>
  <si>
    <t>g/mol mineral</t>
  </si>
  <si>
    <t>clays too complicated</t>
  </si>
  <si>
    <t>(Na,Ca)0.33(Al,Mg)2(Si4O10)(OH)2 · nH2O</t>
  </si>
  <si>
    <t>(Ca)0.33(Al,Mg)2(Si4O10)(OH)2 · 12·H2O</t>
  </si>
  <si>
    <t>Initial mass basalt</t>
  </si>
  <si>
    <t>g</t>
  </si>
  <si>
    <t>Mg(OH)2</t>
  </si>
  <si>
    <t>CaCO3</t>
  </si>
  <si>
    <t>SiO2</t>
  </si>
  <si>
    <t>AlOOH</t>
  </si>
  <si>
    <t>FeOOH</t>
  </si>
  <si>
    <t>TiO2</t>
  </si>
  <si>
    <t>Initial mass soil</t>
  </si>
  <si>
    <t>mol elem/mol minl</t>
  </si>
  <si>
    <t>INPUT EM 1</t>
  </si>
  <si>
    <t>INPUT EM 2</t>
  </si>
  <si>
    <t>MW g/mol</t>
  </si>
  <si>
    <t>Fraction retained</t>
  </si>
  <si>
    <t>EM Name</t>
  </si>
  <si>
    <t>RAND()</t>
  </si>
  <si>
    <t>gram mass fraction</t>
  </si>
  <si>
    <t>PHYSICAL MIXTURE</t>
  </si>
  <si>
    <t>elemental ratios</t>
  </si>
  <si>
    <t>concs</t>
  </si>
  <si>
    <t>INCONGRUENT WEATHERING</t>
  </si>
  <si>
    <t>H9 basalt</t>
  </si>
  <si>
    <t>LFGL P6-A soil</t>
  </si>
  <si>
    <t>g EM 1</t>
  </si>
  <si>
    <t>g EM 2</t>
  </si>
  <si>
    <t>wt. %</t>
  </si>
  <si>
    <t>mol:mol</t>
  </si>
  <si>
    <t>EM 2</t>
  </si>
  <si>
    <t>gram EM1</t>
  </si>
  <si>
    <t>gram EM2</t>
  </si>
  <si>
    <t>g mix</t>
  </si>
  <si>
    <t>X_g_1</t>
  </si>
  <si>
    <t>X_g_2</t>
  </si>
  <si>
    <t>Na conc</t>
  </si>
  <si>
    <t>Mg conc</t>
  </si>
  <si>
    <t>K conc</t>
  </si>
  <si>
    <t>Ca conc</t>
  </si>
  <si>
    <t>Si conc</t>
  </si>
  <si>
    <t>Al conc</t>
  </si>
  <si>
    <t>Fe conc</t>
  </si>
  <si>
    <t>Ti conc</t>
  </si>
  <si>
    <t>Na/Ti</t>
  </si>
  <si>
    <t>Mg/Ti</t>
  </si>
  <si>
    <t>K/Ti</t>
  </si>
  <si>
    <t>Ca/Ti</t>
  </si>
  <si>
    <t>Si/Ti</t>
  </si>
  <si>
    <t>Al/Ti</t>
  </si>
  <si>
    <t>Fe/Ti</t>
  </si>
  <si>
    <t>Cum. basalt dissolved</t>
  </si>
  <si>
    <t>Basalt remain</t>
  </si>
  <si>
    <t>Mass soil</t>
  </si>
  <si>
    <t>Total mass solid</t>
  </si>
  <si>
    <t>Na</t>
  </si>
  <si>
    <t>Mg</t>
  </si>
  <si>
    <t>K</t>
  </si>
  <si>
    <t>Ca</t>
  </si>
  <si>
    <t>Si</t>
  </si>
  <si>
    <t>Al</t>
  </si>
  <si>
    <t>Fe</t>
  </si>
  <si>
    <t>Ti</t>
  </si>
  <si>
    <t>Basalt only</t>
  </si>
  <si>
    <t>basalt+soil</t>
  </si>
  <si>
    <t>Mixture</t>
  </si>
  <si>
    <t>soil only</t>
  </si>
  <si>
    <t>Soil only</t>
  </si>
  <si>
    <t>From:</t>
  </si>
  <si>
    <t>Laura Liermann, 312 Hosler Building</t>
  </si>
  <si>
    <t>ICP-AES ANALYSIS</t>
  </si>
  <si>
    <t>To:</t>
  </si>
  <si>
    <t>Rylan Morgan</t>
  </si>
  <si>
    <t>(SOLID)</t>
  </si>
  <si>
    <t>Date</t>
  </si>
  <si>
    <t>Basis</t>
  </si>
  <si>
    <t>As-Received</t>
  </si>
  <si>
    <t>Instrument</t>
  </si>
  <si>
    <t>Thermo iCAP 7400, Inductively Coupled Plasma Emission Spectrometry (ICP-AES)</t>
  </si>
  <si>
    <t>Dissolution</t>
  </si>
  <si>
    <t>Lithium metaborate</t>
  </si>
  <si>
    <t>Subject</t>
  </si>
  <si>
    <t>Spectrochemical Characterization of solids</t>
  </si>
  <si>
    <t>Units</t>
  </si>
  <si>
    <t>weight percent</t>
  </si>
  <si>
    <t>MW [g/mol]</t>
  </si>
  <si>
    <t>Your #</t>
  </si>
  <si>
    <t>Al2O3 (%)</t>
  </si>
  <si>
    <t>BaO (%)</t>
  </si>
  <si>
    <t>CaO (%)</t>
  </si>
  <si>
    <t>Fe2O3T (%)</t>
  </si>
  <si>
    <t>K2O (%)</t>
  </si>
  <si>
    <t>MgO (%)</t>
  </si>
  <si>
    <t>MnO (%)</t>
  </si>
  <si>
    <t>Na2O (%)</t>
  </si>
  <si>
    <t>P2O5 (%)</t>
  </si>
  <si>
    <t>SiO2 (%)</t>
  </si>
  <si>
    <t>SrO (%)</t>
  </si>
  <si>
    <t>TiO2 (%)</t>
  </si>
  <si>
    <t>LOI(900C)</t>
  </si>
  <si>
    <t>Total</t>
  </si>
  <si>
    <t>Zr (ppm)</t>
  </si>
  <si>
    <t>1S</t>
  </si>
  <si>
    <t>2S</t>
  </si>
  <si>
    <t>3S</t>
  </si>
  <si>
    <t>4S</t>
  </si>
  <si>
    <t>5S</t>
  </si>
  <si>
    <t>6S</t>
  </si>
  <si>
    <t>7S</t>
  </si>
  <si>
    <t>C1S</t>
  </si>
  <si>
    <t>1E</t>
  </si>
  <si>
    <t>2E</t>
  </si>
  <si>
    <t>3E</t>
  </si>
  <si>
    <t>4E</t>
  </si>
  <si>
    <t>5E</t>
  </si>
  <si>
    <t>6E</t>
  </si>
  <si>
    <t>7E</t>
  </si>
  <si>
    <t>C1E</t>
  </si>
  <si>
    <t>AW [g/mol]</t>
  </si>
  <si>
    <t>mol(element)/mol (compound)</t>
  </si>
  <si>
    <t>mol O per mol minl</t>
  </si>
  <si>
    <t>Sample ID</t>
  </si>
  <si>
    <t>Ba conc</t>
  </si>
  <si>
    <t>Mn conc</t>
  </si>
  <si>
    <t>P conc</t>
  </si>
  <si>
    <t>Sr conc</t>
  </si>
  <si>
    <t>Ba/Ti</t>
  </si>
  <si>
    <t>Mn/Ti</t>
  </si>
  <si>
    <t>P/Ti</t>
  </si>
  <si>
    <t>Sr/Ti</t>
  </si>
  <si>
    <t>basalt only</t>
  </si>
  <si>
    <t>Table 1.1 Preparation for Experimental Trials</t>
  </si>
  <si>
    <t>Experiment 1: Saline Solution (moles/g)</t>
  </si>
  <si>
    <t>REACTORS</t>
  </si>
  <si>
    <t>ROCK USED: HF 9 BASALT</t>
  </si>
  <si>
    <t>Entered Hot Room at 1:08 PM</t>
  </si>
  <si>
    <t>Speed = 300</t>
  </si>
  <si>
    <t>Days Elapsed</t>
  </si>
  <si>
    <t>Mn</t>
  </si>
  <si>
    <t>P</t>
  </si>
  <si>
    <t xml:space="preserve">Si </t>
  </si>
  <si>
    <t>Sr</t>
  </si>
  <si>
    <t xml:space="preserve">Mass of Vial + Cap </t>
  </si>
  <si>
    <t>Solution Added***</t>
  </si>
  <si>
    <t>Rock Added*</t>
  </si>
  <si>
    <t>Soil Added**</t>
  </si>
  <si>
    <t>Seal Time</t>
  </si>
  <si>
    <t>Mass (g)</t>
  </si>
  <si>
    <t>End (g)</t>
  </si>
  <si>
    <t>N/A</t>
  </si>
  <si>
    <t>Experiment 2: Effluent Solution (moles/g)</t>
  </si>
  <si>
    <t xml:space="preserve">* (mass = rock added + mass of vial+cap) </t>
  </si>
  <si>
    <t>** (mass = rock added + soil added + vial+ cap)</t>
  </si>
  <si>
    <t>*** (mass = rock + soil + vial + cap + solution)</t>
  </si>
  <si>
    <t>Saline Solution:</t>
  </si>
  <si>
    <t>Total Water Mass (g)</t>
  </si>
  <si>
    <t>Amount of NaCl (g)</t>
  </si>
  <si>
    <t>pH</t>
  </si>
  <si>
    <t>EFF meas</t>
  </si>
  <si>
    <t>BD</t>
  </si>
  <si>
    <t>DILUTIONS for ICP-AES</t>
  </si>
  <si>
    <t>Table 1.3 Nitric Acid Dilutions on Samples from Table 1.2</t>
  </si>
  <si>
    <t>table 1.2</t>
  </si>
  <si>
    <t>IN ORDER</t>
  </si>
  <si>
    <t>Used for Data Manipulation</t>
  </si>
  <si>
    <t>Empty Tube+Cap+Label</t>
  </si>
  <si>
    <t>Add pH2 to Previous</t>
  </si>
  <si>
    <t>Add Original to Previous</t>
  </si>
  <si>
    <t>Filtered Solution Mass</t>
  </si>
  <si>
    <t>Before (g)</t>
  </si>
  <si>
    <t>Measured (g)</t>
  </si>
  <si>
    <t>After (g)</t>
  </si>
  <si>
    <t>Total System Mass</t>
  </si>
  <si>
    <t>Unseal Time</t>
  </si>
  <si>
    <t>Tube (g)</t>
  </si>
  <si>
    <t>Final (g)</t>
  </si>
  <si>
    <t>Final pH</t>
  </si>
  <si>
    <t>Acid Added (μl)</t>
  </si>
  <si>
    <t>pH of Filtered Solution</t>
  </si>
  <si>
    <t>Centrifuge Time</t>
  </si>
  <si>
    <t xml:space="preserve"> </t>
  </si>
  <si>
    <t>Effluent Solution (EFF)</t>
  </si>
  <si>
    <t>table 1.6</t>
  </si>
  <si>
    <t>EFF</t>
  </si>
  <si>
    <t>DILUTION-CORRECTED</t>
  </si>
  <si>
    <t xml:space="preserve">To calculate ionic strength: </t>
  </si>
  <si>
    <t>I=0.5·SUM(m_i·z_i^2)</t>
  </si>
  <si>
    <t>m_i conversion</t>
  </si>
  <si>
    <t>Element/Species</t>
  </si>
  <si>
    <t>Convert all concs into molar units</t>
  </si>
  <si>
    <t>Ca2+</t>
  </si>
  <si>
    <t>K+</t>
  </si>
  <si>
    <t>Mg2+</t>
  </si>
  <si>
    <t>Na+</t>
  </si>
  <si>
    <t>Cl-</t>
  </si>
  <si>
    <t>NO3-</t>
  </si>
  <si>
    <t>SO42-</t>
  </si>
  <si>
    <t>z_i</t>
  </si>
  <si>
    <t>For export to reports</t>
  </si>
  <si>
    <t>mg/L</t>
  </si>
  <si>
    <t>ICP-OES</t>
  </si>
  <si>
    <t>WWTP/ext lab</t>
  </si>
  <si>
    <t>MW (g/mol)</t>
  </si>
  <si>
    <t>assume</t>
  </si>
  <si>
    <t>µg/mL</t>
  </si>
  <si>
    <t>WWTP EFFLUENT (water in WWTP for 6-8 hours)</t>
  </si>
  <si>
    <t>AVERAGE</t>
  </si>
  <si>
    <t>Effluent (JC) 2017-09-01</t>
  </si>
  <si>
    <t>Effluent (AR) 2021-09-27</t>
  </si>
  <si>
    <t>RERUN 2021-12-15 dil 1:45</t>
  </si>
  <si>
    <t>20211112-WWTP-CL2 &lt;0.2 µm</t>
  </si>
  <si>
    <t>20211208-WWTP-CL2 &lt;0.2 µm</t>
  </si>
  <si>
    <t>mM</t>
  </si>
  <si>
    <t>20211208-WWTP-CL2 &lt;0.2 µm diluted 1:45</t>
  </si>
  <si>
    <t>20220107-WWTP-CL2 &lt;0.2 µm</t>
  </si>
  <si>
    <t>20220107-WWTP-CL2 &lt;0.2 µm DIL</t>
  </si>
  <si>
    <t>20220222-WWTP-COMP &lt;0.2 µm</t>
  </si>
  <si>
    <t>20220222-WWTP-COMP &lt;0.2 µm DIL</t>
  </si>
  <si>
    <t>20220222-WWTP-CL2 &lt;0.2 µm</t>
  </si>
  <si>
    <t>20220222-WWTP-CL2 &lt;0.2 µm DIL</t>
  </si>
  <si>
    <t>20220310-WWTP-CL2 &lt;0.2 µm</t>
  </si>
  <si>
    <t>20220310-WWTP-CL2 &lt;0.2 µm DILUTED</t>
  </si>
  <si>
    <t>20220310-WWTP-COMP &lt;0.2 µm</t>
  </si>
  <si>
    <t>20220310-WWTP-COMP &lt;0.2 µm DILUTED</t>
  </si>
  <si>
    <t>20220428-WWTP-CL2 &lt;0.2 µm</t>
  </si>
  <si>
    <t>20220428-WWTP-CL2 &lt;0.2 µm DILUTED</t>
  </si>
  <si>
    <t>20220428-WWTP-COMP &lt;0.2 µm</t>
  </si>
  <si>
    <t>20220428-WWTP-COMP &lt;0.2 µm DILUTED</t>
  </si>
  <si>
    <t>20220617-WWTP-CL2 &lt;0.2 µm</t>
  </si>
  <si>
    <t>20220617-WWTP-COMP &lt;0.2 µm</t>
  </si>
  <si>
    <t>20220720-WWTP-CL2 &lt;0.2 µm</t>
  </si>
  <si>
    <t>20220720-WWTP-CL2 &lt;0.2 µm DILUTED</t>
  </si>
  <si>
    <t>20220720-WWTP-COMP &lt;0.2 µm</t>
  </si>
  <si>
    <t>20220720-WWTP-COMP &lt;0.2 µm DILUTED</t>
  </si>
  <si>
    <t>20220826-WWTP-CL2 &lt;0.2 µm</t>
  </si>
  <si>
    <t>20220826-WWTP-CL2 &lt;0.2 µm DILUTED</t>
  </si>
  <si>
    <t>20220826-WWTP-COMP &lt;0.2 µm</t>
  </si>
  <si>
    <t>20220826-WWTP-COMP &lt;0.2 µm DILUTED</t>
  </si>
  <si>
    <t>20220927-WWTP-CL2 &lt;0.2 µm</t>
  </si>
  <si>
    <t>20220927-WWTP-CL2 &lt;0.2 µm LL DIL</t>
  </si>
  <si>
    <t>20220927-WWTP-COMP &lt;0.2 µm</t>
  </si>
  <si>
    <t>20220927-WWTP-COMP &lt;0.2 µm LL DIL</t>
  </si>
  <si>
    <t>g/mol</t>
  </si>
  <si>
    <t>Depth</t>
  </si>
  <si>
    <t>Depth ave</t>
  </si>
  <si>
    <t>Location info</t>
  </si>
  <si>
    <t>Al2O3</t>
  </si>
  <si>
    <t>BaO</t>
  </si>
  <si>
    <t>CaO</t>
  </si>
  <si>
    <t>Fe2O3T</t>
  </si>
  <si>
    <t>K2O</t>
  </si>
  <si>
    <t>MgO</t>
  </si>
  <si>
    <t>MnO</t>
  </si>
  <si>
    <t>Na2O</t>
  </si>
  <si>
    <t>P2O5</t>
  </si>
  <si>
    <t>SrO</t>
  </si>
  <si>
    <t>cm</t>
  </si>
  <si>
    <t>Lat</t>
  </si>
  <si>
    <t>Long</t>
  </si>
  <si>
    <t>mmol/kg</t>
  </si>
  <si>
    <t>DROHAN GAMELANDS SOILS</t>
  </si>
  <si>
    <t>P5-A</t>
  </si>
  <si>
    <t>0-9</t>
  </si>
  <si>
    <t>P5-BE</t>
  </si>
  <si>
    <t>9-28</t>
  </si>
  <si>
    <t>P5-B+1L</t>
  </si>
  <si>
    <t>28-60</t>
  </si>
  <si>
    <t>P5-B+1R</t>
  </si>
  <si>
    <t>P5-B+2</t>
  </si>
  <si>
    <t>60-79</t>
  </si>
  <si>
    <t>P5-Bt3</t>
  </si>
  <si>
    <t>79-120</t>
  </si>
  <si>
    <t>P6-A</t>
  </si>
  <si>
    <t>P6-BE</t>
  </si>
  <si>
    <t>9-40</t>
  </si>
  <si>
    <t>P6-B+1</t>
  </si>
  <si>
    <t>40-60</t>
  </si>
  <si>
    <t>P6-B+2</t>
  </si>
  <si>
    <t>60-80</t>
  </si>
  <si>
    <t>P6-B+3</t>
  </si>
  <si>
    <t>80-100</t>
  </si>
  <si>
    <t>P6-B+4</t>
  </si>
  <si>
    <t>100-120</t>
  </si>
  <si>
    <t>P8-A</t>
  </si>
  <si>
    <t>0-8</t>
  </si>
  <si>
    <t>P8-Bt1</t>
  </si>
  <si>
    <t>8-39</t>
  </si>
  <si>
    <t>P8-B+2</t>
  </si>
  <si>
    <t>39-61</t>
  </si>
  <si>
    <t>P8-Bt3</t>
  </si>
  <si>
    <t>61-97</t>
  </si>
  <si>
    <t>P8-B+4</t>
  </si>
  <si>
    <t>97-120</t>
  </si>
  <si>
    <t>P8-BCt</t>
  </si>
  <si>
    <t>75-120</t>
  </si>
  <si>
    <t>P4-A</t>
  </si>
  <si>
    <t>P4-BE</t>
  </si>
  <si>
    <t>8-14</t>
  </si>
  <si>
    <t>P4-Bt1</t>
  </si>
  <si>
    <t>14-37</t>
  </si>
  <si>
    <t>P4-Bt2</t>
  </si>
  <si>
    <t>37-60</t>
  </si>
  <si>
    <t>P4-Bt3</t>
  </si>
  <si>
    <t>60-78</t>
  </si>
  <si>
    <t>P4-Bt4</t>
  </si>
  <si>
    <t>78-120</t>
  </si>
  <si>
    <t>Full data sheet on MIL_Home &gt; Student research &gt; Senior thesis &gt; MORGAN_RYLAN</t>
  </si>
  <si>
    <t>mol cation</t>
  </si>
  <si>
    <t>mol O</t>
  </si>
  <si>
    <t>MW</t>
  </si>
  <si>
    <t>Sample</t>
  </si>
  <si>
    <t>TotFeO</t>
  </si>
  <si>
    <t>Fe2O3</t>
  </si>
  <si>
    <t>FeO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</si>
  <si>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</si>
  <si>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</si>
  <si>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</si>
  <si>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</si>
  <si>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</si>
  <si>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</si>
  <si>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</si>
  <si>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</si>
  <si>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</si>
  <si>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H9 elemental</t>
  </si>
  <si>
    <t>FURMAN</t>
  </si>
  <si>
    <t>MORGAN</t>
  </si>
  <si>
    <t>H9 &amp; H27 CALCULATIONS</t>
  </si>
  <si>
    <t>H27 98.3</t>
  </si>
  <si>
    <t>H9 99.2</t>
  </si>
  <si>
    <t>ppm (H9)</t>
  </si>
  <si>
    <t>[wt. %]</t>
  </si>
  <si>
    <t>FeO_total</t>
  </si>
  <si>
    <t>MW oxide</t>
  </si>
  <si>
    <t>AW element</t>
  </si>
  <si>
    <t>Ti/Ti</t>
  </si>
  <si>
    <t>VLOOKUP</t>
  </si>
  <si>
    <t>sorption</t>
  </si>
  <si>
    <t>Losing a fine particle looks like congruent dissolution</t>
  </si>
  <si>
    <t>Could be sampling artifact; is that interesting to anyone? Relevant?</t>
  </si>
  <si>
    <t>Q: can we explain the basalt controls with particle loss during sample prep?</t>
  </si>
  <si>
    <t>You would stay in place if you lose basalt particles...could lose minls selectively</t>
  </si>
  <si>
    <t>NOTES</t>
  </si>
  <si>
    <t>Make another dissolution trend that is mineral-specific.</t>
  </si>
  <si>
    <t>Set up SOLVER routine</t>
  </si>
  <si>
    <t>This study; 2024-11-21</t>
  </si>
  <si>
    <t>IONIC STRENGTH</t>
  </si>
  <si>
    <t>M</t>
  </si>
  <si>
    <t>DILUTIONS for ICP-MS</t>
  </si>
  <si>
    <t>EFF dilution corr</t>
  </si>
  <si>
    <t>CONC reactor soln</t>
  </si>
  <si>
    <t>MASS (mmol) in reactor</t>
  </si>
  <si>
    <t>Mass reactor soln</t>
  </si>
  <si>
    <t>Mass of soln</t>
  </si>
  <si>
    <t>Mass of rock</t>
  </si>
  <si>
    <t>Mass of soil</t>
  </si>
  <si>
    <t>mmol</t>
  </si>
  <si>
    <t>EXPT day</t>
  </si>
  <si>
    <t>Maggie Wang</t>
  </si>
  <si>
    <t>ICP-MS ANALYSIS</t>
  </si>
  <si>
    <t>312 Hosler Building</t>
  </si>
  <si>
    <t>(FLUID)</t>
  </si>
  <si>
    <t>University Park, PA 16802</t>
  </si>
  <si>
    <t>dxw43@psu.edu, Phone: (814) 865-3385</t>
  </si>
  <si>
    <t>Basis:</t>
  </si>
  <si>
    <t>Instrument:</t>
  </si>
  <si>
    <t xml:space="preserve">Thermo Fisher Scientific Icap RQ (ICP-MS) </t>
  </si>
  <si>
    <t>Method:</t>
  </si>
  <si>
    <t>Inductively Coupled Plasma Mass Spectrometry (ICP-MS) with Collision Cell Technology (CCT)</t>
  </si>
  <si>
    <t>Unit</t>
  </si>
  <si>
    <t>ng/mL</t>
  </si>
  <si>
    <t>ppb=ng/mL</t>
  </si>
  <si>
    <t>Analytes</t>
  </si>
  <si>
    <t>Li</t>
  </si>
  <si>
    <t>Cr</t>
  </si>
  <si>
    <t>Co</t>
  </si>
  <si>
    <t>Ni</t>
  </si>
  <si>
    <t>Cu</t>
  </si>
  <si>
    <t>Zn</t>
  </si>
  <si>
    <t>Rb</t>
  </si>
  <si>
    <t>Zr</t>
  </si>
  <si>
    <t>Mo</t>
  </si>
  <si>
    <t>Cd</t>
  </si>
  <si>
    <t>Ba</t>
  </si>
  <si>
    <t>Pb</t>
  </si>
  <si>
    <t>Th</t>
  </si>
  <si>
    <t>U</t>
  </si>
  <si>
    <t>ppb</t>
  </si>
  <si>
    <t>Limit of Detection</t>
  </si>
  <si>
    <t>Rylan-EFFLUENT</t>
  </si>
  <si>
    <t>nd</t>
  </si>
  <si>
    <t>Rylan-S1</t>
  </si>
  <si>
    <t>Rylan-S2</t>
  </si>
  <si>
    <t>Rylan-S3</t>
  </si>
  <si>
    <t>Rylan-S4</t>
  </si>
  <si>
    <t>Rylan-S5</t>
  </si>
  <si>
    <t>Rylan-S6</t>
  </si>
  <si>
    <t>Rylan-S7</t>
  </si>
  <si>
    <t>Rylan C1S</t>
  </si>
  <si>
    <t>Rylan-E1</t>
  </si>
  <si>
    <t>Rylan-E2</t>
  </si>
  <si>
    <t>Rylan-E3</t>
  </si>
  <si>
    <t>Rylan-E4</t>
  </si>
  <si>
    <t>Rylan-E5</t>
  </si>
  <si>
    <t>Rylan-E6</t>
  </si>
  <si>
    <t>Rylan-E7</t>
  </si>
  <si>
    <t>Rylan C1E</t>
  </si>
  <si>
    <t>SECOND ROUND DILUTION (for ICP-MS)</t>
  </si>
  <si>
    <t>EFFLUENT</t>
  </si>
  <si>
    <t>conc/ppb</t>
  </si>
  <si>
    <t>mole ratio in fluid</t>
  </si>
  <si>
    <t>mol/mol</t>
  </si>
  <si>
    <t>Na/Si</t>
  </si>
  <si>
    <t>Mg/Si</t>
  </si>
  <si>
    <t>K/Si</t>
  </si>
  <si>
    <t>Si/Si</t>
  </si>
  <si>
    <t>Al/Si</t>
  </si>
  <si>
    <t>Fe/Si</t>
  </si>
  <si>
    <t>Ca/Si</t>
  </si>
  <si>
    <t>Ba/Si</t>
  </si>
  <si>
    <t>Mn/Si</t>
  </si>
  <si>
    <t>P/Si</t>
  </si>
  <si>
    <t>Si/SI</t>
  </si>
  <si>
    <t>Sr/Si</t>
  </si>
  <si>
    <t>Data (ave EXPT)</t>
  </si>
  <si>
    <t>Model</t>
  </si>
  <si>
    <t>TOTAL chi^2</t>
  </si>
  <si>
    <t>chi^2</t>
  </si>
  <si>
    <t>sigma</t>
  </si>
  <si>
    <t>Data in chi^2</t>
  </si>
  <si>
    <t>Mineralogy minimization</t>
  </si>
  <si>
    <t>Calc bulk</t>
  </si>
  <si>
    <t>phases</t>
  </si>
  <si>
    <t>plag</t>
  </si>
  <si>
    <t>mol/mol minl</t>
  </si>
  <si>
    <t>TWO EM MIX</t>
  </si>
  <si>
    <t>Mineral</t>
  </si>
  <si>
    <t>Number</t>
  </si>
  <si>
    <t>Cr2O3</t>
  </si>
  <si>
    <t>NiO</t>
  </si>
  <si>
    <t>ol</t>
  </si>
  <si>
    <t>n.d</t>
  </si>
  <si>
    <t>cpx</t>
  </si>
  <si>
    <t>AW g/mol</t>
  </si>
  <si>
    <t>mol cation/mol oxide</t>
  </si>
  <si>
    <t>mol O/mol oxide</t>
  </si>
  <si>
    <t>mol/mol Si</t>
  </si>
  <si>
    <t>mol/g</t>
  </si>
  <si>
    <t>assume Al is negligible</t>
  </si>
  <si>
    <t>augite: (CaxMgyFez)(Mgy1Fez1)Si2O6</t>
  </si>
  <si>
    <t>ol: M2SiO4</t>
  </si>
  <si>
    <t>assume Si + Al = 2 mol</t>
  </si>
  <si>
    <t>EPMA data</t>
  </si>
  <si>
    <t>wt. % oxide</t>
  </si>
  <si>
    <t>wt. % elem</t>
  </si>
  <si>
    <t>SOLVER % phase</t>
  </si>
  <si>
    <t>(Ca,Na)[Al(Al,Si)Si2O8]</t>
  </si>
  <si>
    <t>MINDAT</t>
  </si>
  <si>
    <t>SELECT chi^2</t>
  </si>
  <si>
    <t>FeTiO3</t>
  </si>
  <si>
    <t>Assume mol/mol phase</t>
  </si>
  <si>
    <t xml:space="preserve"> calc by diff</t>
  </si>
  <si>
    <t>O</t>
  </si>
  <si>
    <t>Preferential dissolution</t>
  </si>
  <si>
    <t>Weathering dissolves MINLS in basalt (by mass); precipitation of immobile element (e.g. Ti) occurs</t>
  </si>
  <si>
    <t>Cum. ol dissolved</t>
  </si>
  <si>
    <t>mass 2ndary phase</t>
  </si>
  <si>
    <t>Cum. cpx dissolved</t>
  </si>
  <si>
    <t>Cum. FeTIO3 dissolved</t>
  </si>
  <si>
    <t>Cum. plag dissolved</t>
  </si>
  <si>
    <t>Total mass dissolved</t>
  </si>
  <si>
    <t>fraction minl diss</t>
  </si>
  <si>
    <t>slope</t>
  </si>
  <si>
    <t>intercept</t>
  </si>
  <si>
    <t>check</t>
  </si>
  <si>
    <t>MW immobile phase</t>
  </si>
  <si>
    <t>INITIAL SOLID</t>
  </si>
  <si>
    <t>mol Ti</t>
  </si>
  <si>
    <t>Fe2+(Fe3+,Ti)2O4</t>
  </si>
  <si>
    <t>titanomagnetite</t>
  </si>
  <si>
    <t>ol SELECT</t>
  </si>
  <si>
    <t>cpx SELECT</t>
  </si>
  <si>
    <t>ol GUESS</t>
  </si>
  <si>
    <t>cpx GUESS</t>
  </si>
  <si>
    <t>Basalt control (ave)</t>
  </si>
  <si>
    <t>Furman data</t>
  </si>
  <si>
    <t>EM 1 ALT</t>
  </si>
  <si>
    <t>EM 1 ACTIVE</t>
  </si>
  <si>
    <t>EM 1 ALT2</t>
  </si>
  <si>
    <t>Morgan data</t>
  </si>
  <si>
    <t>DISSOLVE OLIVINE</t>
  </si>
  <si>
    <t>DISSOLVE CPX</t>
  </si>
  <si>
    <t>DISSOLVE PLAG</t>
  </si>
  <si>
    <t>AVE EXPT basalt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</si>
</sst>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0000"/>
    <numFmt numFmtId="167" formatCode="0.0"/>
    <numFmt numFmtId="168" formatCode="0.000E+00"/>
    <numFmt numFmtId="169" formatCode="0.000000"/>
  </numFmts>
  <fonts count="46" x14ac:knownFonts="1">
    <font>
      <sz val="12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61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name val="Arial"/>
      <family val="2"/>
    </font>
    <font>
      <i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2"/>
      <color rgb="FF242424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0"/>
      <color rgb="FFFFFFFF"/>
      <name val="Verdana"/>
      <family val="2"/>
    </font>
    <font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i/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sz val="11"/>
      <color rgb="FF000000"/>
      <name val="Calibri"/>
      <family val="2"/>
      <scheme val="minor"/>
    </font>
    <font>
      <sz val="10"/>
      <color rgb="FF242424"/>
      <name val="Verdana"/>
      <family val="2"/>
    </font>
    <font>
      <i/>
      <sz val="10"/>
      <color theme="1"/>
      <name val="Verdana"/>
      <family val="2"/>
    </font>
    <font>
      <i/>
      <sz val="10"/>
      <color theme="0"/>
      <name val="Verdana"/>
      <family val="2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5B9BD5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B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A8D97A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BD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0" fontId="2" fillId="0" borderId="0"/>
    <xf numFmtId="0" fontId="9" fillId="0" borderId="0"/>
    <xf numFmtId="0" fontId="10" fillId="6" borderId="0" applyNumberFormat="0" applyBorder="0" applyAlignment="0" applyProtection="0"/>
  </cellStyleXfs>
  <cellXfs count="236">
    <xf numFmtId="0" fontId="0" fillId="0" borderId="0" xfId="0"/>
    <xf numFmtId="0" fontId="4" fillId="0" borderId="0" xfId="0" applyFont="1"/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/>
    </xf>
    <xf numFmtId="0" fontId="11" fillId="0" borderId="0" xfId="0" applyFont="1"/>
    <xf numFmtId="0" fontId="12" fillId="7" borderId="0" xfId="3" applyFont="1" applyFill="1" applyAlignment="1">
      <alignment horizontal="center"/>
    </xf>
    <xf numFmtId="164" fontId="12" fillId="7" borderId="0" xfId="3" applyNumberFormat="1" applyFont="1" applyFill="1" applyAlignment="1">
      <alignment horizontal="center"/>
    </xf>
    <xf numFmtId="2" fontId="12" fillId="7" borderId="0" xfId="3" applyNumberFormat="1" applyFont="1" applyFill="1" applyAlignment="1">
      <alignment horizontal="center"/>
    </xf>
    <xf numFmtId="0" fontId="13" fillId="8" borderId="0" xfId="3" applyFont="1" applyFill="1" applyAlignment="1">
      <alignment horizontal="center"/>
    </xf>
    <xf numFmtId="164" fontId="13" fillId="8" borderId="0" xfId="3" applyNumberFormat="1" applyFont="1" applyFill="1" applyAlignment="1">
      <alignment horizontal="center"/>
    </xf>
    <xf numFmtId="2" fontId="13" fillId="8" borderId="0" xfId="3" applyNumberFormat="1" applyFont="1" applyFill="1" applyAlignment="1">
      <alignment horizontal="center"/>
    </xf>
    <xf numFmtId="164" fontId="11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164" fontId="11" fillId="9" borderId="0" xfId="0" applyNumberFormat="1" applyFont="1" applyFill="1" applyAlignment="1">
      <alignment horizontal="center" wrapText="1"/>
    </xf>
    <xf numFmtId="2" fontId="11" fillId="0" borderId="0" xfId="3" applyNumberFormat="1" applyFont="1" applyAlignment="1">
      <alignment horizontal="center" wrapText="1"/>
    </xf>
    <xf numFmtId="164" fontId="11" fillId="0" borderId="0" xfId="3" applyNumberFormat="1" applyFont="1" applyAlignment="1">
      <alignment horizontal="center" wrapText="1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 wrapText="1"/>
    </xf>
    <xf numFmtId="0" fontId="14" fillId="10" borderId="0" xfId="0" applyFont="1" applyFill="1"/>
    <xf numFmtId="166" fontId="11" fillId="0" borderId="0" xfId="0" applyNumberFormat="1" applyFont="1"/>
    <xf numFmtId="2" fontId="15" fillId="0" borderId="0" xfId="0" applyNumberFormat="1" applyFont="1" applyAlignment="1">
      <alignment horizontal="center"/>
    </xf>
    <xf numFmtId="0" fontId="16" fillId="5" borderId="0" xfId="0" applyFont="1" applyFill="1"/>
    <xf numFmtId="0" fontId="9" fillId="8" borderId="0" xfId="3" applyFill="1" applyAlignment="1">
      <alignment horizontal="center"/>
    </xf>
    <xf numFmtId="0" fontId="9" fillId="0" borderId="0" xfId="3" applyAlignment="1">
      <alignment horizontal="center"/>
    </xf>
    <xf numFmtId="2" fontId="9" fillId="0" borderId="0" xfId="3" applyNumberFormat="1" applyAlignment="1">
      <alignment horizontal="center"/>
    </xf>
    <xf numFmtId="0" fontId="9" fillId="0" borderId="0" xfId="3"/>
    <xf numFmtId="2" fontId="9" fillId="10" borderId="0" xfId="3" applyNumberFormat="1" applyFill="1" applyAlignment="1">
      <alignment horizontal="center"/>
    </xf>
    <xf numFmtId="164" fontId="9" fillId="10" borderId="0" xfId="3" applyNumberFormat="1" applyFill="1" applyAlignment="1">
      <alignment horizontal="center"/>
    </xf>
    <xf numFmtId="164" fontId="9" fillId="0" borderId="0" xfId="3" applyNumberFormat="1" applyAlignment="1">
      <alignment horizontal="center"/>
    </xf>
    <xf numFmtId="0" fontId="17" fillId="0" borderId="0" xfId="0" applyFont="1"/>
    <xf numFmtId="0" fontId="18" fillId="0" borderId="0" xfId="0" applyFont="1" applyAlignment="1">
      <alignment horizontal="right"/>
    </xf>
    <xf numFmtId="0" fontId="17" fillId="0" borderId="0" xfId="0" applyFont="1" applyAlignment="1">
      <alignment horizontal="center"/>
    </xf>
    <xf numFmtId="0" fontId="14" fillId="11" borderId="0" xfId="0" applyFont="1" applyFill="1"/>
    <xf numFmtId="2" fontId="9" fillId="11" borderId="0" xfId="3" applyNumberFormat="1" applyFill="1" applyAlignment="1">
      <alignment horizontal="center"/>
    </xf>
    <xf numFmtId="2" fontId="9" fillId="4" borderId="0" xfId="3" applyNumberFormat="1" applyFill="1" applyAlignment="1">
      <alignment horizontal="center"/>
    </xf>
    <xf numFmtId="164" fontId="9" fillId="11" borderId="0" xfId="3" applyNumberFormat="1" applyFill="1" applyAlignment="1">
      <alignment horizontal="center"/>
    </xf>
    <xf numFmtId="2" fontId="10" fillId="6" borderId="0" xfId="4" applyNumberFormat="1" applyAlignment="1">
      <alignment horizontal="center"/>
    </xf>
    <xf numFmtId="164" fontId="10" fillId="6" borderId="0" xfId="4" applyNumberFormat="1" applyAlignment="1">
      <alignment horizontal="center" wrapText="1"/>
    </xf>
    <xf numFmtId="164" fontId="10" fillId="6" borderId="0" xfId="4" applyNumberFormat="1" applyAlignment="1">
      <alignment horizontal="center"/>
    </xf>
    <xf numFmtId="0" fontId="10" fillId="6" borderId="0" xfId="4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0" fillId="3" borderId="0" xfId="0" applyFont="1" applyFill="1"/>
    <xf numFmtId="0" fontId="20" fillId="3" borderId="0" xfId="0" applyFont="1" applyFill="1" applyAlignment="1">
      <alignment horizontal="center"/>
    </xf>
    <xf numFmtId="0" fontId="21" fillId="0" borderId="0" xfId="0" applyFont="1"/>
    <xf numFmtId="165" fontId="21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65" fontId="22" fillId="0" borderId="0" xfId="0" applyNumberFormat="1" applyFont="1" applyAlignment="1">
      <alignment horizontal="center"/>
    </xf>
    <xf numFmtId="0" fontId="3" fillId="13" borderId="0" xfId="0" applyFont="1" applyFill="1"/>
    <xf numFmtId="0" fontId="5" fillId="13" borderId="0" xfId="0" applyFont="1" applyFill="1"/>
    <xf numFmtId="0" fontId="6" fillId="0" borderId="0" xfId="0" applyFont="1"/>
    <xf numFmtId="0" fontId="4" fillId="14" borderId="0" xfId="0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23" fillId="14" borderId="0" xfId="0" applyFont="1" applyFill="1"/>
    <xf numFmtId="2" fontId="4" fillId="14" borderId="0" xfId="0" applyNumberFormat="1" applyFont="1" applyFill="1" applyAlignment="1">
      <alignment horizontal="center"/>
    </xf>
    <xf numFmtId="0" fontId="23" fillId="0" borderId="0" xfId="0" applyFont="1"/>
    <xf numFmtId="166" fontId="10" fillId="6" borderId="0" xfId="4" applyNumberFormat="1" applyAlignment="1">
      <alignment horizontal="center"/>
    </xf>
    <xf numFmtId="165" fontId="9" fillId="0" borderId="0" xfId="3" applyNumberFormat="1" applyAlignment="1">
      <alignment horizontal="center"/>
    </xf>
    <xf numFmtId="0" fontId="4" fillId="5" borderId="0" xfId="0" applyFont="1" applyFill="1"/>
    <xf numFmtId="0" fontId="0" fillId="5" borderId="0" xfId="0" applyFill="1"/>
    <xf numFmtId="14" fontId="0" fillId="0" borderId="0" xfId="0" applyNumberFormat="1"/>
    <xf numFmtId="0" fontId="23" fillId="5" borderId="0" xfId="0" applyFont="1" applyFill="1" applyAlignment="1">
      <alignment horizontal="right"/>
    </xf>
    <xf numFmtId="0" fontId="23" fillId="0" borderId="0" xfId="0" applyFont="1" applyAlignment="1">
      <alignment horizontal="right"/>
    </xf>
    <xf numFmtId="0" fontId="4" fillId="5" borderId="0" xfId="0" applyFont="1" applyFill="1" applyAlignment="1">
      <alignment horizontal="right"/>
    </xf>
    <xf numFmtId="49" fontId="4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center"/>
    </xf>
    <xf numFmtId="0" fontId="4" fillId="15" borderId="0" xfId="0" applyFont="1" applyFill="1" applyAlignment="1">
      <alignment horizontal="center"/>
    </xf>
    <xf numFmtId="2" fontId="24" fillId="0" borderId="0" xfId="0" applyNumberFormat="1" applyFont="1" applyAlignment="1">
      <alignment horizontal="center"/>
    </xf>
    <xf numFmtId="0" fontId="0" fillId="14" borderId="0" xfId="0" applyFill="1" applyAlignment="1">
      <alignment horizontal="center"/>
    </xf>
    <xf numFmtId="165" fontId="0" fillId="14" borderId="0" xfId="0" applyNumberFormat="1" applyFill="1" applyAlignment="1">
      <alignment horizontal="center"/>
    </xf>
    <xf numFmtId="0" fontId="4" fillId="14" borderId="0" xfId="0" applyFont="1" applyFill="1"/>
    <xf numFmtId="0" fontId="4" fillId="5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25" fillId="22" borderId="0" xfId="0" applyFont="1" applyFill="1" applyAlignment="1">
      <alignment horizontal="center"/>
    </xf>
    <xf numFmtId="0" fontId="26" fillId="0" borderId="0" xfId="0" applyFont="1" applyAlignment="1">
      <alignment horizontal="center"/>
    </xf>
    <xf numFmtId="0" fontId="27" fillId="5" borderId="0" xfId="0" applyFont="1" applyFill="1" applyAlignment="1">
      <alignment horizontal="left"/>
    </xf>
    <xf numFmtId="0" fontId="26" fillId="5" borderId="0" xfId="0" applyFont="1" applyFill="1" applyAlignment="1">
      <alignment horizontal="center"/>
    </xf>
    <xf numFmtId="0" fontId="26" fillId="0" borderId="0" xfId="0" applyFont="1" applyAlignment="1">
      <alignment horizontal="left"/>
    </xf>
    <xf numFmtId="0" fontId="28" fillId="23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right"/>
    </xf>
    <xf numFmtId="0" fontId="29" fillId="23" borderId="0" xfId="0" applyFont="1" applyFill="1" applyAlignment="1">
      <alignment horizontal="center"/>
    </xf>
    <xf numFmtId="0" fontId="27" fillId="0" borderId="0" xfId="0" applyFont="1"/>
    <xf numFmtId="167" fontId="26" fillId="0" borderId="0" xfId="0" applyNumberFormat="1" applyFont="1" applyAlignment="1">
      <alignment horizontal="center"/>
    </xf>
    <xf numFmtId="2" fontId="26" fillId="0" borderId="0" xfId="0" applyNumberFormat="1" applyFont="1" applyAlignment="1">
      <alignment horizontal="center"/>
    </xf>
    <xf numFmtId="0" fontId="30" fillId="24" borderId="0" xfId="0" applyFont="1" applyFill="1" applyAlignment="1">
      <alignment horizontal="right"/>
    </xf>
    <xf numFmtId="167" fontId="0" fillId="24" borderId="0" xfId="0" applyNumberFormat="1" applyFill="1" applyAlignment="1">
      <alignment horizontal="center"/>
    </xf>
    <xf numFmtId="0" fontId="0" fillId="24" borderId="0" xfId="0" applyFill="1"/>
    <xf numFmtId="167" fontId="29" fillId="24" borderId="0" xfId="0" applyNumberFormat="1" applyFont="1" applyFill="1" applyAlignment="1">
      <alignment horizontal="center"/>
    </xf>
    <xf numFmtId="0" fontId="26" fillId="0" borderId="0" xfId="0" applyFont="1"/>
    <xf numFmtId="167" fontId="29" fillId="0" borderId="0" xfId="0" applyNumberFormat="1" applyFont="1" applyAlignment="1">
      <alignment horizontal="center"/>
    </xf>
    <xf numFmtId="0" fontId="0" fillId="25" borderId="0" xfId="0" applyFill="1"/>
    <xf numFmtId="166" fontId="0" fillId="17" borderId="0" xfId="0" applyNumberFormat="1" applyFill="1" applyAlignment="1">
      <alignment horizontal="center"/>
    </xf>
    <xf numFmtId="11" fontId="0" fillId="0" borderId="0" xfId="0" applyNumberFormat="1"/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12" borderId="0" xfId="0" applyFont="1" applyFill="1"/>
    <xf numFmtId="2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right"/>
    </xf>
    <xf numFmtId="49" fontId="6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center"/>
    </xf>
    <xf numFmtId="0" fontId="31" fillId="3" borderId="0" xfId="0" applyFont="1" applyFill="1"/>
    <xf numFmtId="0" fontId="32" fillId="3" borderId="0" xfId="0" applyFont="1" applyFill="1"/>
    <xf numFmtId="0" fontId="36" fillId="0" borderId="0" xfId="0" applyFont="1"/>
    <xf numFmtId="0" fontId="1" fillId="0" borderId="0" xfId="0" applyFont="1"/>
    <xf numFmtId="0" fontId="35" fillId="3" borderId="0" xfId="0" applyFont="1" applyFill="1" applyAlignment="1">
      <alignment horizontal="left"/>
    </xf>
    <xf numFmtId="0" fontId="1" fillId="3" borderId="0" xfId="0" applyFont="1" applyFill="1"/>
    <xf numFmtId="0" fontId="33" fillId="3" borderId="0" xfId="0" applyFont="1" applyFill="1" applyAlignment="1">
      <alignment horizontal="left"/>
    </xf>
    <xf numFmtId="0" fontId="35" fillId="3" borderId="0" xfId="0" applyFont="1" applyFill="1"/>
    <xf numFmtId="0" fontId="35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34" fillId="2" borderId="0" xfId="0" applyFont="1" applyFill="1" applyAlignment="1">
      <alignment horizontal="center"/>
    </xf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33" fillId="26" borderId="0" xfId="0" applyFont="1" applyFill="1"/>
    <xf numFmtId="0" fontId="33" fillId="26" borderId="0" xfId="0" applyFont="1" applyFill="1" applyAlignment="1">
      <alignment horizontal="left"/>
    </xf>
    <xf numFmtId="0" fontId="33" fillId="26" borderId="0" xfId="0" applyFont="1" applyFill="1" applyAlignment="1">
      <alignment horizontal="center"/>
    </xf>
    <xf numFmtId="0" fontId="34" fillId="27" borderId="0" xfId="0" applyFont="1" applyFill="1"/>
    <xf numFmtId="0" fontId="34" fillId="27" borderId="0" xfId="0" applyFont="1" applyFill="1" applyAlignment="1">
      <alignment horizontal="center"/>
    </xf>
    <xf numFmtId="0" fontId="27" fillId="16" borderId="0" xfId="0" applyFont="1" applyFill="1"/>
    <xf numFmtId="0" fontId="1" fillId="16" borderId="0" xfId="0" applyFont="1" applyFill="1"/>
    <xf numFmtId="0" fontId="1" fillId="17" borderId="0" xfId="0" applyFont="1" applyFill="1"/>
    <xf numFmtId="0" fontId="1" fillId="18" borderId="0" xfId="0" applyFont="1" applyFill="1"/>
    <xf numFmtId="0" fontId="1" fillId="18" borderId="0" xfId="0" applyFont="1" applyFill="1" applyAlignment="1">
      <alignment horizontal="center"/>
    </xf>
    <xf numFmtId="0" fontId="1" fillId="19" borderId="0" xfId="0" applyFont="1" applyFill="1"/>
    <xf numFmtId="0" fontId="34" fillId="17" borderId="0" xfId="0" applyFont="1" applyFill="1"/>
    <xf numFmtId="0" fontId="37" fillId="0" borderId="0" xfId="0" applyFont="1" applyAlignment="1">
      <alignment horizontal="center"/>
    </xf>
    <xf numFmtId="0" fontId="1" fillId="15" borderId="0" xfId="0" applyFont="1" applyFill="1"/>
    <xf numFmtId="0" fontId="37" fillId="0" borderId="0" xfId="0" applyFont="1"/>
    <xf numFmtId="0" fontId="1" fillId="20" borderId="0" xfId="0" applyFont="1" applyFill="1"/>
    <xf numFmtId="0" fontId="1" fillId="20" borderId="0" xfId="0" applyFont="1" applyFill="1" applyAlignment="1">
      <alignment horizontal="center"/>
    </xf>
    <xf numFmtId="0" fontId="35" fillId="21" borderId="0" xfId="0" applyFont="1" applyFill="1"/>
    <xf numFmtId="0" fontId="1" fillId="20" borderId="0" xfId="0" applyFont="1" applyFill="1" applyAlignment="1">
      <alignment horizontal="left"/>
    </xf>
    <xf numFmtId="0" fontId="34" fillId="0" borderId="0" xfId="0" applyFont="1" applyAlignment="1">
      <alignment horizontal="center"/>
    </xf>
    <xf numFmtId="0" fontId="34" fillId="28" borderId="0" xfId="0" applyFont="1" applyFill="1"/>
    <xf numFmtId="0" fontId="1" fillId="15" borderId="0" xfId="0" applyFont="1" applyFill="1" applyAlignment="1">
      <alignment horizontal="center"/>
    </xf>
    <xf numFmtId="2" fontId="33" fillId="26" borderId="0" xfId="0" applyNumberFormat="1" applyFont="1" applyFill="1" applyAlignment="1">
      <alignment horizontal="center"/>
    </xf>
    <xf numFmtId="2" fontId="34" fillId="27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2" fontId="29" fillId="0" borderId="0" xfId="0" applyNumberFormat="1" applyFont="1" applyAlignment="1">
      <alignment horizontal="center"/>
    </xf>
    <xf numFmtId="2" fontId="28" fillId="27" borderId="0" xfId="0" applyNumberFormat="1" applyFont="1" applyFill="1" applyAlignment="1">
      <alignment horizontal="center"/>
    </xf>
    <xf numFmtId="2" fontId="35" fillId="26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 applyAlignment="1">
      <alignment horizontal="right"/>
    </xf>
    <xf numFmtId="2" fontId="34" fillId="0" borderId="0" xfId="0" applyNumberFormat="1" applyFont="1" applyAlignment="1">
      <alignment horizontal="right"/>
    </xf>
    <xf numFmtId="0" fontId="33" fillId="0" borderId="0" xfId="0" applyFont="1" applyAlignment="1">
      <alignment horizontal="center"/>
    </xf>
    <xf numFmtId="2" fontId="29" fillId="0" borderId="0" xfId="0" applyNumberFormat="1" applyFont="1" applyAlignment="1">
      <alignment horizontal="right"/>
    </xf>
    <xf numFmtId="2" fontId="38" fillId="0" borderId="0" xfId="0" applyNumberFormat="1" applyFont="1" applyAlignment="1">
      <alignment horizontal="center"/>
    </xf>
    <xf numFmtId="2" fontId="39" fillId="26" borderId="0" xfId="0" applyNumberFormat="1" applyFont="1" applyFill="1" applyAlignment="1">
      <alignment horizontal="right"/>
    </xf>
    <xf numFmtId="2" fontId="35" fillId="26" borderId="0" xfId="0" applyNumberFormat="1" applyFont="1" applyFill="1" applyAlignment="1">
      <alignment horizontal="right"/>
    </xf>
    <xf numFmtId="2" fontId="33" fillId="26" borderId="0" xfId="0" applyNumberFormat="1" applyFont="1" applyFill="1" applyAlignment="1">
      <alignment horizontal="right"/>
    </xf>
    <xf numFmtId="2" fontId="34" fillId="27" borderId="0" xfId="0" applyNumberFormat="1" applyFont="1" applyFill="1" applyAlignment="1">
      <alignment horizontal="right"/>
    </xf>
    <xf numFmtId="11" fontId="35" fillId="0" borderId="0" xfId="0" applyNumberFormat="1" applyFont="1" applyAlignment="1">
      <alignment horizontal="center"/>
    </xf>
    <xf numFmtId="2" fontId="35" fillId="29" borderId="0" xfId="0" applyNumberFormat="1" applyFont="1" applyFill="1" applyAlignment="1">
      <alignment horizontal="center"/>
    </xf>
    <xf numFmtId="2" fontId="28" fillId="29" borderId="0" xfId="0" applyNumberFormat="1" applyFont="1" applyFill="1" applyAlignment="1">
      <alignment horizontal="center"/>
    </xf>
    <xf numFmtId="0" fontId="1" fillId="29" borderId="0" xfId="0" applyFont="1" applyFill="1"/>
    <xf numFmtId="2" fontId="29" fillId="29" borderId="0" xfId="0" applyNumberFormat="1" applyFont="1" applyFill="1" applyAlignment="1">
      <alignment horizontal="center"/>
    </xf>
    <xf numFmtId="2" fontId="1" fillId="29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0" fontId="34" fillId="29" borderId="0" xfId="0" applyFont="1" applyFill="1" applyAlignment="1">
      <alignment horizontal="center"/>
    </xf>
    <xf numFmtId="0" fontId="1" fillId="29" borderId="0" xfId="0" applyFont="1" applyFill="1" applyAlignment="1">
      <alignment horizontal="center"/>
    </xf>
    <xf numFmtId="164" fontId="1" fillId="29" borderId="0" xfId="0" applyNumberFormat="1" applyFont="1" applyFill="1" applyAlignment="1">
      <alignment horizontal="center"/>
    </xf>
    <xf numFmtId="168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3" fillId="21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24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21" fillId="30" borderId="0" xfId="0" applyFont="1" applyFill="1"/>
    <xf numFmtId="0" fontId="21" fillId="30" borderId="0" xfId="0" applyFont="1" applyFill="1" applyAlignment="1">
      <alignment horizontal="center"/>
    </xf>
    <xf numFmtId="2" fontId="21" fillId="30" borderId="0" xfId="0" applyNumberFormat="1" applyFont="1" applyFill="1" applyAlignment="1">
      <alignment horizontal="center"/>
    </xf>
    <xf numFmtId="0" fontId="21" fillId="30" borderId="0" xfId="0" applyFont="1" applyFill="1" applyAlignment="1">
      <alignment horizontal="right"/>
    </xf>
    <xf numFmtId="0" fontId="5" fillId="31" borderId="0" xfId="0" applyFont="1" applyFill="1"/>
    <xf numFmtId="2" fontId="3" fillId="31" borderId="0" xfId="0" applyNumberFormat="1" applyFont="1" applyFill="1" applyAlignment="1">
      <alignment horizontal="center"/>
    </xf>
    <xf numFmtId="0" fontId="3" fillId="31" borderId="0" xfId="0" applyFont="1" applyFill="1" applyAlignment="1">
      <alignment horizontal="center"/>
    </xf>
    <xf numFmtId="0" fontId="5" fillId="31" borderId="0" xfId="0" applyFont="1" applyFill="1" applyAlignment="1">
      <alignment horizontal="center"/>
    </xf>
    <xf numFmtId="0" fontId="5" fillId="3" borderId="0" xfId="0" applyFont="1" applyFill="1" applyAlignment="1">
      <alignment horizontal="right"/>
    </xf>
    <xf numFmtId="0" fontId="21" fillId="15" borderId="0" xfId="0" applyFont="1" applyFill="1"/>
    <xf numFmtId="0" fontId="40" fillId="15" borderId="0" xfId="0" applyFont="1" applyFill="1" applyAlignment="1">
      <alignment horizontal="center"/>
    </xf>
    <xf numFmtId="0" fontId="40" fillId="5" borderId="0" xfId="0" applyFont="1" applyFill="1" applyAlignment="1">
      <alignment horizontal="center"/>
    </xf>
    <xf numFmtId="0" fontId="21" fillId="14" borderId="0" xfId="0" applyFont="1" applyFill="1" applyAlignment="1">
      <alignment horizontal="center"/>
    </xf>
    <xf numFmtId="2" fontId="21" fillId="14" borderId="0" xfId="0" applyNumberFormat="1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165" fontId="20" fillId="31" borderId="0" xfId="0" applyNumberFormat="1" applyFont="1" applyFill="1" applyAlignment="1">
      <alignment horizontal="center"/>
    </xf>
    <xf numFmtId="166" fontId="6" fillId="14" borderId="0" xfId="0" applyNumberFormat="1" applyFont="1" applyFill="1" applyAlignment="1">
      <alignment horizontal="center"/>
    </xf>
    <xf numFmtId="2" fontId="5" fillId="31" borderId="0" xfId="0" applyNumberFormat="1" applyFont="1" applyFill="1" applyAlignment="1">
      <alignment horizontal="center"/>
    </xf>
    <xf numFmtId="165" fontId="5" fillId="31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42" fillId="32" borderId="0" xfId="0" applyFont="1" applyFill="1" applyAlignment="1">
      <alignment horizontal="center"/>
    </xf>
    <xf numFmtId="164" fontId="21" fillId="0" borderId="0" xfId="0" applyNumberFormat="1" applyFont="1" applyAlignment="1">
      <alignment horizontal="center"/>
    </xf>
    <xf numFmtId="0" fontId="6" fillId="18" borderId="0" xfId="0" applyFont="1" applyFill="1" applyAlignment="1">
      <alignment horizontal="center"/>
    </xf>
    <xf numFmtId="0" fontId="5" fillId="12" borderId="0" xfId="0" applyFont="1" applyFill="1" applyAlignment="1">
      <alignment horizontal="right"/>
    </xf>
    <xf numFmtId="0" fontId="20" fillId="12" borderId="0" xfId="0" applyFont="1" applyFill="1" applyAlignment="1">
      <alignment horizontal="right"/>
    </xf>
    <xf numFmtId="165" fontId="0" fillId="18" borderId="0" xfId="0" applyNumberFormat="1" applyFill="1" applyAlignment="1">
      <alignment horizontal="center"/>
    </xf>
    <xf numFmtId="0" fontId="6" fillId="5" borderId="0" xfId="0" applyFont="1" applyFill="1" applyAlignment="1">
      <alignment horizontal="center"/>
    </xf>
    <xf numFmtId="166" fontId="6" fillId="0" borderId="0" xfId="0" applyNumberFormat="1" applyFont="1" applyAlignment="1">
      <alignment horizontal="center"/>
    </xf>
    <xf numFmtId="0" fontId="3" fillId="12" borderId="0" xfId="0" applyFont="1" applyFill="1" applyAlignment="1">
      <alignment horizontal="center"/>
    </xf>
    <xf numFmtId="169" fontId="21" fillId="0" borderId="0" xfId="0" applyNumberFormat="1" applyFont="1" applyAlignment="1">
      <alignment horizontal="center"/>
    </xf>
    <xf numFmtId="2" fontId="6" fillId="17" borderId="0" xfId="0" applyNumberFormat="1" applyFont="1" applyFill="1" applyAlignment="1">
      <alignment horizontal="center"/>
    </xf>
    <xf numFmtId="2" fontId="0" fillId="14" borderId="0" xfId="0" applyNumberFormat="1" applyFill="1" applyAlignment="1">
      <alignment horizontal="center"/>
    </xf>
    <xf numFmtId="0" fontId="21" fillId="32" borderId="0" xfId="0" applyFont="1" applyFill="1" applyAlignment="1">
      <alignment horizontal="right"/>
    </xf>
    <xf numFmtId="2" fontId="43" fillId="0" borderId="0" xfId="0" applyNumberFormat="1" applyFont="1" applyAlignment="1">
      <alignment horizontal="center"/>
    </xf>
    <xf numFmtId="0" fontId="3" fillId="3" borderId="0" xfId="0" applyFont="1" applyFill="1"/>
    <xf numFmtId="0" fontId="20" fillId="31" borderId="0" xfId="0" applyFont="1" applyFill="1" applyAlignment="1">
      <alignment horizontal="right"/>
    </xf>
    <xf numFmtId="164" fontId="6" fillId="4" borderId="0" xfId="0" applyNumberFormat="1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5" fontId="44" fillId="0" borderId="0" xfId="0" applyNumberFormat="1" applyFont="1" applyAlignment="1">
      <alignment horizontal="center"/>
    </xf>
    <xf numFmtId="164" fontId="45" fillId="0" borderId="0" xfId="0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41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5">
    <cellStyle name="Good" xfId="4" builtinId="26"/>
    <cellStyle name="Normal" xfId="0" builtinId="0"/>
    <cellStyle name="Normal 2" xfId="1" xr:uid="{1EBFCED6-8CB7-0042-B4BD-CAD9D1B2D35E}"/>
    <cellStyle name="Normal 2 2" xfId="3" xr:uid="{CD05C80F-9E27-584B-A230-806A9BA41A6B}"/>
    <cellStyle name="Normal 7" xfId="2" xr:uid="{4D8FFD8D-1C41-0847-8E17-7F90616147FF}"/>
  </cellStyles>
  <dxfs count="10"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numFmt numFmtId="165" formatCode="0.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Residual</a:t>
            </a:r>
            <a:r>
              <a:rPr lang="en-US" baseline="0"/>
              <a:t> solid</a:t>
            </a:r>
            <a:r>
              <a:rPr lang="en-US"/>
              <a:t>: Elemental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Mixing only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'two-endmember mixing'!$AB$13:$AB$34</c:f>
              <c:numCache>
                <c:formatCode>0.00</c:formatCode>
                <c:ptCount val="22"/>
                <c:pt idx="0">
                  <c:v>64.532579102202547</c:v>
                </c:pt>
                <c:pt idx="1">
                  <c:v>70.02656637298692</c:v>
                </c:pt>
                <c:pt idx="2">
                  <c:v>75.962009874082625</c:v>
                </c:pt>
                <c:pt idx="3">
                  <c:v>82.394345038547939</c:v>
                </c:pt>
                <c:pt idx="4">
                  <c:v>89.388694451131144</c:v>
                </c:pt>
                <c:pt idx="5">
                  <c:v>97.022080507568404</c:v>
                </c:pt>
                <c:pt idx="6">
                  <c:v>105.3862735822651</c:v>
                </c:pt>
                <c:pt idx="7">
                  <c:v>114.591499359129</c:v>
                </c:pt>
                <c:pt idx="8">
                  <c:v>124.77132369765901</c:v>
                </c:pt>
                <c:pt idx="9">
                  <c:v>136.08917577281457</c:v>
                </c:pt>
                <c:pt idx="10">
                  <c:v>148.74718845361994</c:v>
                </c:pt>
                <c:pt idx="11">
                  <c:v>162.99837671175243</c:v>
                </c:pt>
                <c:pt idx="12">
                  <c:v>179.16372328452309</c:v>
                </c:pt>
                <c:pt idx="13">
                  <c:v>197.656644598604</c:v>
                </c:pt>
                <c:pt idx="14">
                  <c:v>219.01884476322064</c:v>
                </c:pt>
                <c:pt idx="15">
                  <c:v>243.97426196650326</c:v>
                </c:pt>
                <c:pt idx="16">
                  <c:v>273.51273660692016</c:v>
                </c:pt>
                <c:pt idx="17">
                  <c:v>309.02443715575362</c:v>
                </c:pt>
                <c:pt idx="18">
                  <c:v>352.52500915462196</c:v>
                </c:pt>
                <c:pt idx="19">
                  <c:v>407.05193384128216</c:v>
                </c:pt>
                <c:pt idx="20">
                  <c:v>477.40603204719633</c:v>
                </c:pt>
                <c:pt idx="21">
                  <c:v>571.64828264929065</c:v>
                </c:pt>
              </c:numCache>
            </c:numRef>
          </c:xVal>
          <c:yVal>
            <c:numRef>
              <c:f>'two-endmember mixing'!$AA$13:$AA$34</c:f>
              <c:numCache>
                <c:formatCode>0.00</c:formatCode>
                <c:ptCount val="22"/>
                <c:pt idx="0">
                  <c:v>21.594216257336697</c:v>
                </c:pt>
                <c:pt idx="1">
                  <c:v>21.378286202046827</c:v>
                </c:pt>
                <c:pt idx="2">
                  <c:v>21.145005602694699</c:v>
                </c:pt>
                <c:pt idx="3">
                  <c:v>20.892195681730382</c:v>
                </c:pt>
                <c:pt idx="4">
                  <c:v>20.617296927703929</c:v>
                </c:pt>
                <c:pt idx="5">
                  <c:v>20.317282131167985</c:v>
                </c:pt>
                <c:pt idx="6">
                  <c:v>19.988544443208873</c:v>
                </c:pt>
                <c:pt idx="7">
                  <c:v>19.626751666308209</c:v>
                </c:pt>
                <c:pt idx="8">
                  <c:v>19.226654264563379</c:v>
                </c:pt>
                <c:pt idx="9">
                  <c:v>18.781828984871378</c:v>
                </c:pt>
                <c:pt idx="10">
                  <c:v>18.284331403731915</c:v>
                </c:pt>
                <c:pt idx="11">
                  <c:v>17.724217279534898</c:v>
                </c:pt>
                <c:pt idx="12">
                  <c:v>17.088871035141434</c:v>
                </c:pt>
                <c:pt idx="13">
                  <c:v>16.362044174246535</c:v>
                </c:pt>
                <c:pt idx="14">
                  <c:v>15.522446112709623</c:v>
                </c:pt>
                <c:pt idx="15">
                  <c:v>14.54162392458006</c:v>
                </c:pt>
                <c:pt idx="16">
                  <c:v>13.380673935452561</c:v>
                </c:pt>
                <c:pt idx="17">
                  <c:v>11.984958385887353</c:v>
                </c:pt>
                <c:pt idx="18">
                  <c:v>10.275256405541175</c:v>
                </c:pt>
                <c:pt idx="19">
                  <c:v>8.1321859392172939</c:v>
                </c:pt>
                <c:pt idx="20">
                  <c:v>5.3670604362411352</c:v>
                </c:pt>
                <c:pt idx="21">
                  <c:v>1.6630594292917633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0-4161-BB1E-1C47085EA340}"/>
            </c:ext>
          </c:extLst>
        </c:ser>
        <c:ser>
          <c:idx val="1"/>
          <c:order val="1"/>
          <c:tx>
            <c:v>Mix + weath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mixing'!$CC$13:$CC$33</c:f>
              <c:numCache>
                <c:formatCode>0.000</c:formatCode>
                <c:ptCount val="21"/>
                <c:pt idx="0">
                  <c:v>155.65541018730315</c:v>
                </c:pt>
                <c:pt idx="1">
                  <c:v>159.55271601099778</c:v>
                </c:pt>
                <c:pt idx="2">
                  <c:v>163.79829128077213</c:v>
                </c:pt>
                <c:pt idx="3">
                  <c:v>168.44100224684431</c:v>
                </c:pt>
                <c:pt idx="4">
                  <c:v>173.53930571871919</c:v>
                </c:pt>
                <c:pt idx="5">
                  <c:v>179.16372328452317</c:v>
                </c:pt>
                <c:pt idx="6">
                  <c:v>185.40012317583333</c:v>
                </c:pt>
                <c:pt idx="7">
                  <c:v>192.35413504840176</c:v>
                </c:pt>
                <c:pt idx="8">
                  <c:v>200.15718180189143</c:v>
                </c:pt>
                <c:pt idx="9">
                  <c:v>208.97486436525253</c:v>
                </c:pt>
                <c:pt idx="10">
                  <c:v>219.01884476322076</c:v>
                </c:pt>
                <c:pt idx="11">
                  <c:v>230.56405752176158</c:v>
                </c:pt>
                <c:pt idx="12">
                  <c:v>243.97426196650338</c:v>
                </c:pt>
                <c:pt idx="13">
                  <c:v>259.74106557420919</c:v>
                </c:pt>
                <c:pt idx="14">
                  <c:v>278.5455020444906</c:v>
                </c:pt>
                <c:pt idx="15">
                  <c:v>301.35899421345243</c:v>
                </c:pt>
                <c:pt idx="16">
                  <c:v>329.61659699339498</c:v>
                </c:pt>
                <c:pt idx="17">
                  <c:v>365.53106952240262</c:v>
                </c:pt>
                <c:pt idx="18">
                  <c:v>412.70226759055959</c:v>
                </c:pt>
                <c:pt idx="19">
                  <c:v>477.4060320471973</c:v>
                </c:pt>
                <c:pt idx="20">
                  <c:v>571.64828264929156</c:v>
                </c:pt>
              </c:numCache>
            </c:numRef>
          </c:xVal>
          <c:yVal>
            <c:numRef>
              <c:f>'two-endmember mixing'!$CB$13:$CB$33</c:f>
              <c:numCache>
                <c:formatCode>0.000</c:formatCode>
                <c:ptCount val="21"/>
                <c:pt idx="0">
                  <c:v>18.012817723887522</c:v>
                </c:pt>
                <c:pt idx="1">
                  <c:v>17.859642002773814</c:v>
                </c:pt>
                <c:pt idx="2">
                  <c:v>17.692778255634334</c:v>
                </c:pt>
                <c:pt idx="3">
                  <c:v>17.510305893361139</c:v>
                </c:pt>
                <c:pt idx="4">
                  <c:v>17.30992738931533</c:v>
                </c:pt>
                <c:pt idx="5">
                  <c:v>17.088871035141434</c:v>
                </c:pt>
                <c:pt idx="6">
                  <c:v>16.843761953709564</c:v>
                </c:pt>
                <c:pt idx="7">
                  <c:v>16.570448585090173</c:v>
                </c:pt>
                <c:pt idx="8">
                  <c:v>16.263765618081774</c:v>
                </c:pt>
                <c:pt idx="9">
                  <c:v>15.917204443184248</c:v>
                </c:pt>
                <c:pt idx="10">
                  <c:v>15.522446112709618</c:v>
                </c:pt>
                <c:pt idx="11">
                  <c:v>15.068684881309979</c:v>
                </c:pt>
                <c:pt idx="12">
                  <c:v>14.541623924580055</c:v>
                </c:pt>
                <c:pt idx="13">
                  <c:v>13.921941605172274</c:v>
                </c:pt>
                <c:pt idx="14">
                  <c:v>13.182871271261019</c:v>
                </c:pt>
                <c:pt idx="15">
                  <c:v>12.2862331134708</c:v>
                </c:pt>
                <c:pt idx="16">
                  <c:v>11.175625201603333</c:v>
                </c:pt>
                <c:pt idx="17">
                  <c:v>9.764079514168909</c:v>
                </c:pt>
                <c:pt idx="18">
                  <c:v>7.9101110018806651</c:v>
                </c:pt>
                <c:pt idx="19">
                  <c:v>5.367060436241105</c:v>
                </c:pt>
                <c:pt idx="20">
                  <c:v>1.6630594292917269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DA-B343-92A6-06B8F8A56067}"/>
            </c:ext>
          </c:extLst>
        </c:ser>
        <c:ser>
          <c:idx val="2"/>
          <c:order val="2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data'!$AA$35:$AA$50</c:f>
              <c:numCache>
                <c:formatCode>0.000</c:formatCode>
                <c:ptCount val="16"/>
                <c:pt idx="0">
                  <c:v>86.75677528163078</c:v>
                </c:pt>
                <c:pt idx="1">
                  <c:v>82.707172920873745</c:v>
                </c:pt>
                <c:pt idx="2">
                  <c:v>77.348085695898746</c:v>
                </c:pt>
                <c:pt idx="3">
                  <c:v>84.795223468752923</c:v>
                </c:pt>
                <c:pt idx="4">
                  <c:v>71.294657176922016</c:v>
                </c:pt>
                <c:pt idx="5">
                  <c:v>77.605107058871766</c:v>
                </c:pt>
                <c:pt idx="6">
                  <c:v>73.687961449440039</c:v>
                </c:pt>
                <c:pt idx="7">
                  <c:v>36.790977750197328</c:v>
                </c:pt>
                <c:pt idx="8">
                  <c:v>86.54086406690206</c:v>
                </c:pt>
                <c:pt idx="9">
                  <c:v>92.096124948881098</c:v>
                </c:pt>
                <c:pt idx="10">
                  <c:v>88.809585993528444</c:v>
                </c:pt>
                <c:pt idx="11">
                  <c:v>90.27026997368516</c:v>
                </c:pt>
                <c:pt idx="12">
                  <c:v>81.614256707276454</c:v>
                </c:pt>
                <c:pt idx="13">
                  <c:v>63.046604783883595</c:v>
                </c:pt>
                <c:pt idx="14">
                  <c:v>82.768076582818438</c:v>
                </c:pt>
                <c:pt idx="15">
                  <c:v>40.864608242154681</c:v>
                </c:pt>
              </c:numCache>
            </c:numRef>
          </c:xVal>
          <c:yVal>
            <c:numRef>
              <c:f>'Morgan-Pompa solid data'!$T$35:$T$50</c:f>
              <c:numCache>
                <c:formatCode>0.000</c:formatCode>
                <c:ptCount val="16"/>
                <c:pt idx="0">
                  <c:v>10.382895178116264</c:v>
                </c:pt>
                <c:pt idx="1">
                  <c:v>8.1136381198795373</c:v>
                </c:pt>
                <c:pt idx="2">
                  <c:v>8.7215444410194483</c:v>
                </c:pt>
                <c:pt idx="3">
                  <c:v>12.94878306696109</c:v>
                </c:pt>
                <c:pt idx="4">
                  <c:v>9.9550311683628365</c:v>
                </c:pt>
                <c:pt idx="5">
                  <c:v>8.1855675358359168</c:v>
                </c:pt>
                <c:pt idx="6">
                  <c:v>8.2824976614159702</c:v>
                </c:pt>
                <c:pt idx="7">
                  <c:v>9.833778724322082</c:v>
                </c:pt>
                <c:pt idx="8">
                  <c:v>8.7876320515218627</c:v>
                </c:pt>
                <c:pt idx="9">
                  <c:v>13.258646486930811</c:v>
                </c:pt>
                <c:pt idx="10">
                  <c:v>10.329380304592956</c:v>
                </c:pt>
                <c:pt idx="11">
                  <c:v>8.7799732589040129</c:v>
                </c:pt>
                <c:pt idx="12">
                  <c:v>8.3743103233054548</c:v>
                </c:pt>
                <c:pt idx="13">
                  <c:v>11.942394738034679</c:v>
                </c:pt>
                <c:pt idx="14">
                  <c:v>8.7654521057110539</c:v>
                </c:pt>
                <c:pt idx="15">
                  <c:v>11.162667741122366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4-D547-A2AD-C62CE5CC8E33}"/>
            </c:ext>
          </c:extLst>
        </c:ser>
        <c:ser>
          <c:idx val="3"/>
          <c:order val="3"/>
          <c:tx>
            <c:v>Basalt control</c:v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20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data'!$AA$42,'Morgan-Pompa solid data'!$AA$50)</c:f>
              <c:numCache>
                <c:formatCode>0.000</c:formatCode>
                <c:ptCount val="2"/>
                <c:pt idx="0">
                  <c:v>36.790977750197328</c:v>
                </c:pt>
                <c:pt idx="1">
                  <c:v>40.864608242154681</c:v>
                </c:pt>
              </c:numCache>
            </c:numRef>
          </c:xVal>
          <c:yVal>
            <c:numRef>
              <c:f>('Morgan-Pompa solid data'!$T$42,'Morgan-Pompa solid data'!$T$50)</c:f>
              <c:numCache>
                <c:formatCode>0.000</c:formatCode>
                <c:ptCount val="2"/>
                <c:pt idx="0">
                  <c:v>9.833778724322082</c:v>
                </c:pt>
                <c:pt idx="1">
                  <c:v>11.162667741122366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1-C64D-A0BB-8AB789118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Residual solid: Elemental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 only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'two-endmember mixing'!$AJ$13:$AJ$34</c:f>
              <c:numCache>
                <c:formatCode>0.00</c:formatCode>
                <c:ptCount val="22"/>
                <c:pt idx="0">
                  <c:v>0.42811766676255186</c:v>
                </c:pt>
                <c:pt idx="1">
                  <c:v>0.39400938653593931</c:v>
                </c:pt>
                <c:pt idx="2">
                  <c:v>0.3627048034583546</c:v>
                </c:pt>
                <c:pt idx="3">
                  <c:v>0.33387186926770285</c:v>
                </c:pt>
                <c:pt idx="4">
                  <c:v>0.30722897801530313</c:v>
                </c:pt>
                <c:pt idx="5">
                  <c:v>0.2825357380022081</c:v>
                </c:pt>
                <c:pt idx="6">
                  <c:v>0.25958569805945264</c:v>
                </c:pt>
                <c:pt idx="7">
                  <c:v>0.23820056175649981</c:v>
                </c:pt>
                <c:pt idx="8">
                  <c:v>0.21822554614263662</c:v>
                </c:pt>
                <c:pt idx="9">
                  <c:v>0.19952562930817633</c:v>
                </c:pt>
                <c:pt idx="10">
                  <c:v>0.18198249432626243</c:v>
                </c:pt>
                <c:pt idx="11">
                  <c:v>0.16549202332480353</c:v>
                </c:pt>
                <c:pt idx="12">
                  <c:v>0.14996222951823568</c:v>
                </c:pt>
                <c:pt idx="13">
                  <c:v>0.13531154042758503</c:v>
                </c:pt>
                <c:pt idx="14">
                  <c:v>0.12146736462422468</c:v>
                </c:pt>
                <c:pt idx="15">
                  <c:v>0.10836488883321085</c:v>
                </c:pt>
                <c:pt idx="16">
                  <c:v>9.5946063327900247E-2</c:v>
                </c:pt>
                <c:pt idx="17">
                  <c:v>8.4158742104334563E-2</c:v>
                </c:pt>
                <c:pt idx="18">
                  <c:v>7.2955950971188954E-2</c:v>
                </c:pt>
                <c:pt idx="19">
                  <c:v>6.2295261890904355E-2</c:v>
                </c:pt>
                <c:pt idx="20">
                  <c:v>5.2138256001913394E-2</c:v>
                </c:pt>
                <c:pt idx="21">
                  <c:v>4.2450060995758175E-2</c:v>
                </c:pt>
              </c:numCache>
            </c:numRef>
          </c:xVal>
          <c:yVal>
            <c:numRef>
              <c:f>'two-endmember mixing'!$AE$13:$AE$34</c:f>
              <c:numCache>
                <c:formatCode>0.00</c:formatCode>
                <c:ptCount val="22"/>
                <c:pt idx="0">
                  <c:v>0.15674745914831015</c:v>
                </c:pt>
                <c:pt idx="1">
                  <c:v>0.14301524983163419</c:v>
                </c:pt>
                <c:pt idx="2">
                  <c:v>0.13041182671746462</c:v>
                </c:pt>
                <c:pt idx="3">
                  <c:v>0.11880350507564098</c:v>
                </c:pt>
                <c:pt idx="4">
                  <c:v>0.10807690857037584</c:v>
                </c:pt>
                <c:pt idx="5">
                  <c:v>9.813525398345932E-2</c:v>
                </c:pt>
                <c:pt idx="6">
                  <c:v>8.8895422768688906E-2</c:v>
                </c:pt>
                <c:pt idx="7">
                  <c:v>8.0285631655601222E-2</c:v>
                </c:pt>
                <c:pt idx="8">
                  <c:v>7.2243564049406919E-2</c:v>
                </c:pt>
                <c:pt idx="9">
                  <c:v>6.4714859275400702E-2</c:v>
                </c:pt>
                <c:pt idx="10">
                  <c:v>5.7651882190605408E-2</c:v>
                </c:pt>
                <c:pt idx="11">
                  <c:v>5.1012714281285773E-2</c:v>
                </c:pt>
                <c:pt idx="12">
                  <c:v>4.4760321085858285E-2</c:v>
                </c:pt>
                <c:pt idx="13">
                  <c:v>3.8861861008431642E-2</c:v>
                </c:pt>
                <c:pt idx="14">
                  <c:v>3.3288108280779535E-2</c:v>
                </c:pt>
                <c:pt idx="15">
                  <c:v>2.801296866853676E-2</c:v>
                </c:pt>
                <c:pt idx="16">
                  <c:v>2.3013070984655937E-2</c:v>
                </c:pt>
                <c:pt idx="17">
                  <c:v>1.8267420918177173E-2</c:v>
                </c:pt>
                <c:pt idx="18">
                  <c:v>1.3757106362612881E-2</c:v>
                </c:pt>
                <c:pt idx="19">
                  <c:v>9.4650455217310091E-3</c:v>
                </c:pt>
                <c:pt idx="20">
                  <c:v>5.3757707189073956E-3</c:v>
                </c:pt>
                <c:pt idx="21">
                  <c:v>1.4752421422278145E-3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A-6048-ABA6-357EE081A553}"/>
            </c:ext>
          </c:extLst>
        </c:ser>
        <c:ser>
          <c:idx val="1"/>
          <c:order val="1"/>
          <c:tx>
            <c:v>Mix + weath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mixing'!$DB$13:$DB$33</c:f>
              <c:numCache>
                <c:formatCode>0.000</c:formatCode>
                <c:ptCount val="21"/>
                <c:pt idx="0">
                  <c:v>0.17361168767392066</c:v>
                </c:pt>
                <c:pt idx="1">
                  <c:v>0.16920907892035281</c:v>
                </c:pt>
                <c:pt idx="2">
                  <c:v>0.16465147054554011</c:v>
                </c:pt>
                <c:pt idx="3">
                  <c:v>0.15993053043014088</c:v>
                </c:pt>
                <c:pt idx="4">
                  <c:v>0.15503731835962262</c:v>
                </c:pt>
                <c:pt idx="5">
                  <c:v>0.14996222951823562</c:v>
                </c:pt>
                <c:pt idx="6">
                  <c:v>0.14469493156281768</c:v>
                </c:pt>
                <c:pt idx="7">
                  <c:v>0.13922429440897624</c:v>
                </c:pt>
                <c:pt idx="8">
                  <c:v>0.13353831172560363</c:v>
                </c:pt>
                <c:pt idx="9">
                  <c:v>0.12762401297241896</c:v>
                </c:pt>
                <c:pt idx="10">
                  <c:v>0.12146736462422458</c:v>
                </c:pt>
                <c:pt idx="11">
                  <c:v>0.11505315899860653</c:v>
                </c:pt>
                <c:pt idx="12">
                  <c:v>0.10836488883321078</c:v>
                </c:pt>
                <c:pt idx="13">
                  <c:v>0.10138460543496153</c:v>
                </c:pt>
                <c:pt idx="14">
                  <c:v>9.4092757834796564E-2</c:v>
                </c:pt>
                <c:pt idx="15">
                  <c:v>8.6468009912825314E-2</c:v>
                </c:pt>
                <c:pt idx="16">
                  <c:v>7.8487031891613518E-2</c:v>
                </c:pt>
                <c:pt idx="17">
                  <c:v>7.0124261905997409E-2</c:v>
                </c:pt>
                <c:pt idx="18">
                  <c:v>6.1351632516503232E-2</c:v>
                </c:pt>
                <c:pt idx="19">
                  <c:v>5.2138256001913311E-2</c:v>
                </c:pt>
                <c:pt idx="20">
                  <c:v>4.2450060995758113E-2</c:v>
                </c:pt>
              </c:numCache>
            </c:numRef>
          </c:xVal>
          <c:yVal>
            <c:numRef>
              <c:f>'two-endmember mixing'!$CW$13:$CW$33</c:f>
              <c:numCache>
                <c:formatCode>0.000</c:formatCode>
                <c:ptCount val="21"/>
                <c:pt idx="0">
                  <c:v>5.428174249620675E-2</c:v>
                </c:pt>
                <c:pt idx="1">
                  <c:v>5.250922437035143E-2</c:v>
                </c:pt>
                <c:pt idx="2">
                  <c:v>5.0674302416780441E-2</c:v>
                </c:pt>
                <c:pt idx="3">
                  <c:v>4.8773622071555271E-2</c:v>
                </c:pt>
                <c:pt idx="4">
                  <c:v>4.6803583947768145E-2</c:v>
                </c:pt>
                <c:pt idx="5">
                  <c:v>4.4760321085858264E-2</c:v>
                </c:pt>
                <c:pt idx="6">
                  <c:v>4.2639673619127808E-2</c:v>
                </c:pt>
                <c:pt idx="7">
                  <c:v>4.043716050521478E-2</c:v>
                </c:pt>
                <c:pt idx="8">
                  <c:v>3.8147947919288355E-2</c:v>
                </c:pt>
                <c:pt idx="9">
                  <c:v>3.5766813839806989E-2</c:v>
                </c:pt>
                <c:pt idx="10">
                  <c:v>3.3288108280779494E-2</c:v>
                </c:pt>
                <c:pt idx="11">
                  <c:v>3.0705708533094095E-2</c:v>
                </c:pt>
                <c:pt idx="12">
                  <c:v>2.8012968668536739E-2</c:v>
                </c:pt>
                <c:pt idx="13">
                  <c:v>2.5202662429769318E-2</c:v>
                </c:pt>
                <c:pt idx="14">
                  <c:v>2.2266918473008976E-2</c:v>
                </c:pt>
                <c:pt idx="15">
                  <c:v>1.9197146741460207E-2</c:v>
                </c:pt>
                <c:pt idx="16">
                  <c:v>1.598395451919276E-2</c:v>
                </c:pt>
                <c:pt idx="17">
                  <c:v>1.2617050437640947E-2</c:v>
                </c:pt>
                <c:pt idx="18">
                  <c:v>9.0851343681768813E-3</c:v>
                </c:pt>
                <c:pt idx="19">
                  <c:v>5.375770718907347E-3</c:v>
                </c:pt>
                <c:pt idx="20">
                  <c:v>1.4752421422277835E-3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A-6048-ABA6-357EE081A553}"/>
            </c:ext>
          </c:extLst>
        </c:ser>
        <c:ser>
          <c:idx val="2"/>
          <c:order val="2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data'!$AE$35:$AE$50</c:f>
              <c:numCache>
                <c:formatCode>0.0000</c:formatCode>
                <c:ptCount val="16"/>
                <c:pt idx="0">
                  <c:v>0.22134560704453871</c:v>
                </c:pt>
                <c:pt idx="1">
                  <c:v>0.17410667715195915</c:v>
                </c:pt>
                <c:pt idx="2">
                  <c:v>0.22761220389600204</c:v>
                </c:pt>
                <c:pt idx="3">
                  <c:v>0.26544330542918243</c:v>
                </c:pt>
                <c:pt idx="4">
                  <c:v>0.25080643163828503</c:v>
                </c:pt>
                <c:pt idx="5">
                  <c:v>0.18779608690194294</c:v>
                </c:pt>
                <c:pt idx="6">
                  <c:v>0.19174954965010058</c:v>
                </c:pt>
                <c:pt idx="7">
                  <c:v>0.37004509314282424</c:v>
                </c:pt>
                <c:pt idx="8">
                  <c:v>0.17466689974309677</c:v>
                </c:pt>
                <c:pt idx="9">
                  <c:v>0.26122905088937881</c:v>
                </c:pt>
                <c:pt idx="10">
                  <c:v>0.18938506673604302</c:v>
                </c:pt>
                <c:pt idx="11">
                  <c:v>0.17697594825662927</c:v>
                </c:pt>
                <c:pt idx="12">
                  <c:v>0.17755303833837985</c:v>
                </c:pt>
                <c:pt idx="13">
                  <c:v>0.3670202948800711</c:v>
                </c:pt>
                <c:pt idx="14">
                  <c:v>0.20098101397164519</c:v>
                </c:pt>
                <c:pt idx="15">
                  <c:v>0.37817795233277623</c:v>
                </c:pt>
              </c:numCache>
            </c:numRef>
          </c:xVal>
          <c:yVal>
            <c:numRef>
              <c:f>'Morgan-Pompa solid data'!$AL$35:$AL$50</c:f>
              <c:numCache>
                <c:formatCode>0.0000</c:formatCode>
                <c:ptCount val="16"/>
                <c:pt idx="0">
                  <c:v>5.8452981350727483E-2</c:v>
                </c:pt>
                <c:pt idx="1">
                  <c:v>4.6268017466326569E-2</c:v>
                </c:pt>
                <c:pt idx="2">
                  <c:v>6.314749605411199E-2</c:v>
                </c:pt>
                <c:pt idx="3">
                  <c:v>6.5327026634566285E-2</c:v>
                </c:pt>
                <c:pt idx="4">
                  <c:v>6.0246759358897117E-2</c:v>
                </c:pt>
                <c:pt idx="5">
                  <c:v>5.2664271652230032E-2</c:v>
                </c:pt>
                <c:pt idx="6">
                  <c:v>5.4328553575671595E-2</c:v>
                </c:pt>
                <c:pt idx="7">
                  <c:v>0.12675494144999166</c:v>
                </c:pt>
                <c:pt idx="8">
                  <c:v>4.6253617211901951E-2</c:v>
                </c:pt>
                <c:pt idx="9">
                  <c:v>6.1963255595551728E-2</c:v>
                </c:pt>
                <c:pt idx="10">
                  <c:v>4.8152366548601791E-2</c:v>
                </c:pt>
                <c:pt idx="11">
                  <c:v>4.8314391485872854E-2</c:v>
                </c:pt>
                <c:pt idx="12">
                  <c:v>4.9576464193793093E-2</c:v>
                </c:pt>
                <c:pt idx="13">
                  <c:v>9.8630100049798497E-2</c:v>
                </c:pt>
                <c:pt idx="14">
                  <c:v>5.10392699770452E-2</c:v>
                </c:pt>
                <c:pt idx="15">
                  <c:v>0.13081912714497942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DA-6048-ABA6-357EE081A553}"/>
            </c:ext>
          </c:extLst>
        </c:ser>
        <c:ser>
          <c:idx val="4"/>
          <c:order val="3"/>
          <c:tx>
            <c:v>Basalt control</c:v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20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data'!$AE$42,'Morgan-Pompa solid data'!$AE$50)</c:f>
              <c:numCache>
                <c:formatCode>0.0000</c:formatCode>
                <c:ptCount val="2"/>
                <c:pt idx="0">
                  <c:v>0.37004509314282424</c:v>
                </c:pt>
                <c:pt idx="1">
                  <c:v>0.37817795233277623</c:v>
                </c:pt>
              </c:numCache>
            </c:numRef>
          </c:xVal>
          <c:yVal>
            <c:numRef>
              <c:f>('Morgan-Pompa solid data'!$AL$42,'Morgan-Pompa solid data'!$AL$50)</c:f>
              <c:numCache>
                <c:formatCode>0.0000</c:formatCode>
                <c:ptCount val="2"/>
                <c:pt idx="0">
                  <c:v>0.12675494144999166</c:v>
                </c:pt>
                <c:pt idx="1">
                  <c:v>0.13081912714497942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DA-6048-ABA6-357EE081A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Al/Si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Na/Si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Residual</a:t>
            </a:r>
            <a:r>
              <a:rPr lang="en-US" baseline="0"/>
              <a:t> solid</a:t>
            </a:r>
            <a:r>
              <a:rPr lang="en-US"/>
              <a:t>: Elemental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 only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'two-endmember mixing'!$AJ$13:$AJ$34</c:f>
              <c:numCache>
                <c:formatCode>0.00</c:formatCode>
                <c:ptCount val="22"/>
                <c:pt idx="0">
                  <c:v>0.42811766676255186</c:v>
                </c:pt>
                <c:pt idx="1">
                  <c:v>0.39400938653593931</c:v>
                </c:pt>
                <c:pt idx="2">
                  <c:v>0.3627048034583546</c:v>
                </c:pt>
                <c:pt idx="3">
                  <c:v>0.33387186926770285</c:v>
                </c:pt>
                <c:pt idx="4">
                  <c:v>0.30722897801530313</c:v>
                </c:pt>
                <c:pt idx="5">
                  <c:v>0.2825357380022081</c:v>
                </c:pt>
                <c:pt idx="6">
                  <c:v>0.25958569805945264</c:v>
                </c:pt>
                <c:pt idx="7">
                  <c:v>0.23820056175649981</c:v>
                </c:pt>
                <c:pt idx="8">
                  <c:v>0.21822554614263662</c:v>
                </c:pt>
                <c:pt idx="9">
                  <c:v>0.19952562930817633</c:v>
                </c:pt>
                <c:pt idx="10">
                  <c:v>0.18198249432626243</c:v>
                </c:pt>
                <c:pt idx="11">
                  <c:v>0.16549202332480353</c:v>
                </c:pt>
                <c:pt idx="12">
                  <c:v>0.14996222951823568</c:v>
                </c:pt>
                <c:pt idx="13">
                  <c:v>0.13531154042758503</c:v>
                </c:pt>
                <c:pt idx="14">
                  <c:v>0.12146736462422468</c:v>
                </c:pt>
                <c:pt idx="15">
                  <c:v>0.10836488883321085</c:v>
                </c:pt>
                <c:pt idx="16">
                  <c:v>9.5946063327900247E-2</c:v>
                </c:pt>
                <c:pt idx="17">
                  <c:v>8.4158742104334563E-2</c:v>
                </c:pt>
                <c:pt idx="18">
                  <c:v>7.2955950971188954E-2</c:v>
                </c:pt>
                <c:pt idx="19">
                  <c:v>6.2295261890904355E-2</c:v>
                </c:pt>
                <c:pt idx="20">
                  <c:v>5.2138256001913394E-2</c:v>
                </c:pt>
                <c:pt idx="21">
                  <c:v>4.2450060995758175E-2</c:v>
                </c:pt>
              </c:numCache>
            </c:numRef>
          </c:xVal>
          <c:yVal>
            <c:numRef>
              <c:f>'two-endmember mixing'!$AH$13:$AH$34</c:f>
              <c:numCache>
                <c:formatCode>0.00</c:formatCode>
                <c:ptCount val="22"/>
                <c:pt idx="0">
                  <c:v>0.33462503060875914</c:v>
                </c:pt>
                <c:pt idx="1">
                  <c:v>0.30528822573105058</c:v>
                </c:pt>
                <c:pt idx="2">
                  <c:v>0.27836290321629753</c:v>
                </c:pt>
                <c:pt idx="3">
                  <c:v>0.25356346569605026</c:v>
                </c:pt>
                <c:pt idx="4">
                  <c:v>0.23064770163944412</c:v>
                </c:pt>
                <c:pt idx="5">
                  <c:v>0.2094088482217519</c:v>
                </c:pt>
                <c:pt idx="6">
                  <c:v>0.18966933513979603</c:v>
                </c:pt>
                <c:pt idx="7">
                  <c:v>0.17127580820631466</c:v>
                </c:pt>
                <c:pt idx="8">
                  <c:v>0.15409513736628022</c:v>
                </c:pt>
                <c:pt idx="9">
                  <c:v>0.13801118919424943</c:v>
                </c:pt>
                <c:pt idx="10">
                  <c:v>0.12292219835424355</c:v>
                </c:pt>
                <c:pt idx="11">
                  <c:v>0.10873861223095822</c:v>
                </c:pt>
                <c:pt idx="12">
                  <c:v>9.5381312253726994E-2</c:v>
                </c:pt>
                <c:pt idx="13">
                  <c:v>8.2780137280353772E-2</c:v>
                </c:pt>
                <c:pt idx="14">
                  <c:v>7.0872650841943774E-2</c:v>
                </c:pt>
                <c:pt idx="15">
                  <c:v>5.9603106521853397E-2</c:v>
                </c:pt>
                <c:pt idx="16">
                  <c:v>4.8921575285478011E-2</c:v>
                </c:pt>
                <c:pt idx="17">
                  <c:v>3.8783205937356756E-2</c:v>
                </c:pt>
                <c:pt idx="18">
                  <c:v>2.9147595599477927E-2</c:v>
                </c:pt>
                <c:pt idx="19">
                  <c:v>1.997825157707812E-2</c:v>
                </c:pt>
                <c:pt idx="20">
                  <c:v>1.1242129499759961E-2</c:v>
                </c:pt>
                <c:pt idx="21">
                  <c:v>2.9092354158475786E-3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A-A445-9FAA-CF5814DB67CA}"/>
            </c:ext>
          </c:extLst>
        </c:ser>
        <c:ser>
          <c:idx val="1"/>
          <c:order val="1"/>
          <c:tx>
            <c:v>Mix + weath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mixing'!$DB$13:$DB$33</c:f>
              <c:numCache>
                <c:formatCode>0.000</c:formatCode>
                <c:ptCount val="21"/>
                <c:pt idx="0">
                  <c:v>0.17361168767392066</c:v>
                </c:pt>
                <c:pt idx="1">
                  <c:v>0.16920907892035281</c:v>
                </c:pt>
                <c:pt idx="2">
                  <c:v>0.16465147054554011</c:v>
                </c:pt>
                <c:pt idx="3">
                  <c:v>0.15993053043014088</c:v>
                </c:pt>
                <c:pt idx="4">
                  <c:v>0.15503731835962262</c:v>
                </c:pt>
                <c:pt idx="5">
                  <c:v>0.14996222951823562</c:v>
                </c:pt>
                <c:pt idx="6">
                  <c:v>0.14469493156281768</c:v>
                </c:pt>
                <c:pt idx="7">
                  <c:v>0.13922429440897624</c:v>
                </c:pt>
                <c:pt idx="8">
                  <c:v>0.13353831172560363</c:v>
                </c:pt>
                <c:pt idx="9">
                  <c:v>0.12762401297241896</c:v>
                </c:pt>
                <c:pt idx="10">
                  <c:v>0.12146736462422458</c:v>
                </c:pt>
                <c:pt idx="11">
                  <c:v>0.11505315899860653</c:v>
                </c:pt>
                <c:pt idx="12">
                  <c:v>0.10836488883321078</c:v>
                </c:pt>
                <c:pt idx="13">
                  <c:v>0.10138460543496153</c:v>
                </c:pt>
                <c:pt idx="14">
                  <c:v>9.4092757834796564E-2</c:v>
                </c:pt>
                <c:pt idx="15">
                  <c:v>8.6468009912825314E-2</c:v>
                </c:pt>
                <c:pt idx="16">
                  <c:v>7.8487031891613518E-2</c:v>
                </c:pt>
                <c:pt idx="17">
                  <c:v>7.0124261905997409E-2</c:v>
                </c:pt>
                <c:pt idx="18">
                  <c:v>6.1351632516503232E-2</c:v>
                </c:pt>
                <c:pt idx="19">
                  <c:v>5.2138256001913311E-2</c:v>
                </c:pt>
                <c:pt idx="20">
                  <c:v>4.2450060995758113E-2</c:v>
                </c:pt>
              </c:numCache>
            </c:numRef>
          </c:xVal>
          <c:yVal>
            <c:numRef>
              <c:f>'two-endmember mixing'!$CZ$13:$CZ$33</c:f>
              <c:numCache>
                <c:formatCode>0.000</c:formatCode>
                <c:ptCount val="21"/>
                <c:pt idx="0">
                  <c:v>0.11572240053983573</c:v>
                </c:pt>
                <c:pt idx="1">
                  <c:v>0.11193568150568349</c:v>
                </c:pt>
                <c:pt idx="2">
                  <c:v>0.10801564605644481</c:v>
                </c:pt>
                <c:pt idx="3">
                  <c:v>0.10395512766957066</c:v>
                </c:pt>
                <c:pt idx="4">
                  <c:v>9.974643679497075E-2</c:v>
                </c:pt>
                <c:pt idx="5">
                  <c:v>9.5381312253726952E-2</c:v>
                </c:pt>
                <c:pt idx="6">
                  <c:v>9.0850867114769682E-2</c:v>
                </c:pt>
                <c:pt idx="7">
                  <c:v>8.6145528303410671E-2</c:v>
                </c:pt>
                <c:pt idx="8">
                  <c:v>8.1254969078147193E-2</c:v>
                </c:pt>
                <c:pt idx="9">
                  <c:v>7.6168033373447644E-2</c:v>
                </c:pt>
                <c:pt idx="10">
                  <c:v>7.0872650841943718E-2</c:v>
                </c:pt>
                <c:pt idx="11">
                  <c:v>6.5355741234245646E-2</c:v>
                </c:pt>
                <c:pt idx="12">
                  <c:v>5.9603106521853348E-2</c:v>
                </c:pt>
                <c:pt idx="13">
                  <c:v>5.3599308890163587E-2</c:v>
                </c:pt>
                <c:pt idx="14">
                  <c:v>4.732753239417016E-2</c:v>
                </c:pt>
                <c:pt idx="15">
                  <c:v>4.0769425666348176E-2</c:v>
                </c:pt>
                <c:pt idx="16">
                  <c:v>3.3904922578359351E-2</c:v>
                </c:pt>
                <c:pt idx="17">
                  <c:v>2.6712037165340031E-2</c:v>
                </c:pt>
                <c:pt idx="18">
                  <c:v>1.9166628397904169E-2</c:v>
                </c:pt>
                <c:pt idx="19">
                  <c:v>1.1242129499759874E-2</c:v>
                </c:pt>
                <c:pt idx="20">
                  <c:v>2.9092354158475105E-3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EA-A445-9FAA-CF5814DB67CA}"/>
            </c:ext>
          </c:extLst>
        </c:ser>
        <c:ser>
          <c:idx val="2"/>
          <c:order val="2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data'!$AE$35:$AE$50</c:f>
              <c:numCache>
                <c:formatCode>0.0000</c:formatCode>
                <c:ptCount val="16"/>
                <c:pt idx="0">
                  <c:v>0.22134560704453871</c:v>
                </c:pt>
                <c:pt idx="1">
                  <c:v>0.17410667715195915</c:v>
                </c:pt>
                <c:pt idx="2">
                  <c:v>0.22761220389600204</c:v>
                </c:pt>
                <c:pt idx="3">
                  <c:v>0.26544330542918243</c:v>
                </c:pt>
                <c:pt idx="4">
                  <c:v>0.25080643163828503</c:v>
                </c:pt>
                <c:pt idx="5">
                  <c:v>0.18779608690194294</c:v>
                </c:pt>
                <c:pt idx="6">
                  <c:v>0.19174954965010058</c:v>
                </c:pt>
                <c:pt idx="7">
                  <c:v>0.37004509314282424</c:v>
                </c:pt>
                <c:pt idx="8">
                  <c:v>0.17466689974309677</c:v>
                </c:pt>
                <c:pt idx="9">
                  <c:v>0.26122905088937881</c:v>
                </c:pt>
                <c:pt idx="10">
                  <c:v>0.18938506673604302</c:v>
                </c:pt>
                <c:pt idx="11">
                  <c:v>0.17697594825662927</c:v>
                </c:pt>
                <c:pt idx="12">
                  <c:v>0.17755303833837985</c:v>
                </c:pt>
                <c:pt idx="13">
                  <c:v>0.3670202948800711</c:v>
                </c:pt>
                <c:pt idx="14">
                  <c:v>0.20098101397164519</c:v>
                </c:pt>
                <c:pt idx="15">
                  <c:v>0.37817795233277623</c:v>
                </c:pt>
              </c:numCache>
            </c:numRef>
          </c:xVal>
          <c:yVal>
            <c:numRef>
              <c:f>'Morgan-Pompa solid data'!$AG$35:$AG$50</c:f>
              <c:numCache>
                <c:formatCode>0.0000</c:formatCode>
                <c:ptCount val="16"/>
                <c:pt idx="0">
                  <c:v>0.11967820547053758</c:v>
                </c:pt>
                <c:pt idx="1">
                  <c:v>9.8100779331943611E-2</c:v>
                </c:pt>
                <c:pt idx="2">
                  <c:v>0.11275708199565557</c:v>
                </c:pt>
                <c:pt idx="3">
                  <c:v>0.15270651502832258</c:v>
                </c:pt>
                <c:pt idx="4">
                  <c:v>0.13963221877424592</c:v>
                </c:pt>
                <c:pt idx="5">
                  <c:v>0.10547717600113983</c:v>
                </c:pt>
                <c:pt idx="6">
                  <c:v>0.11239960365980391</c:v>
                </c:pt>
                <c:pt idx="7">
                  <c:v>0.26728777884326105</c:v>
                </c:pt>
                <c:pt idx="8">
                  <c:v>0.10154315127623889</c:v>
                </c:pt>
                <c:pt idx="9">
                  <c:v>0.14396530249551931</c:v>
                </c:pt>
                <c:pt idx="10">
                  <c:v>0.11630929464467561</c:v>
                </c:pt>
                <c:pt idx="11">
                  <c:v>9.7263177139754631E-2</c:v>
                </c:pt>
                <c:pt idx="12">
                  <c:v>0.10260842481652876</c:v>
                </c:pt>
                <c:pt idx="13">
                  <c:v>0.18942169493459346</c:v>
                </c:pt>
                <c:pt idx="14">
                  <c:v>0.10590377918158178</c:v>
                </c:pt>
                <c:pt idx="15">
                  <c:v>0.27316223552113489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EA-A445-9FAA-CF5814DB67CA}"/>
            </c:ext>
          </c:extLst>
        </c:ser>
        <c:ser>
          <c:idx val="3"/>
          <c:order val="3"/>
          <c:tx>
            <c:v>Basalt control</c:v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20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Pt>
            <c:idx val="0"/>
            <c:marker>
              <c:symbol val="x"/>
              <c:size val="20"/>
              <c:spPr>
                <a:noFill/>
                <a:ln w="34925" cap="flat" cmpd="dbl" algn="ctr">
                  <a:solidFill>
                    <a:schemeClr val="accent4">
                      <a:lumMod val="75000"/>
                      <a:alpha val="70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D2E-6B43-B557-774FEE15DA91}"/>
              </c:ext>
            </c:extLst>
          </c:dPt>
          <c:xVal>
            <c:numRef>
              <c:f>('Morgan-Pompa solid data'!$AE$42,'Morgan-Pompa solid data'!$AE$50)</c:f>
              <c:numCache>
                <c:formatCode>0.0000</c:formatCode>
                <c:ptCount val="2"/>
                <c:pt idx="0">
                  <c:v>0.37004509314282424</c:v>
                </c:pt>
                <c:pt idx="1">
                  <c:v>0.37817795233277623</c:v>
                </c:pt>
              </c:numCache>
            </c:numRef>
          </c:xVal>
          <c:yVal>
            <c:numRef>
              <c:f>('Morgan-Pompa solid data'!$AGT$42,'Morgan-Pompa solid data'!$AG$50)</c:f>
              <c:numCache>
                <c:formatCode>0.0000</c:formatCode>
                <c:ptCount val="2"/>
                <c:pt idx="1">
                  <c:v>0.27316223552113489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EA-A445-9FAA-CF5814DB6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Al/Si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Ca/Si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Residual solid: Elemental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Mixing only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'two-endmember mixing'!$AJ$13:$AJ$34</c:f>
              <c:numCache>
                <c:formatCode>0.00</c:formatCode>
                <c:ptCount val="22"/>
                <c:pt idx="0">
                  <c:v>0.42811766676255186</c:v>
                </c:pt>
                <c:pt idx="1">
                  <c:v>0.39400938653593931</c:v>
                </c:pt>
                <c:pt idx="2">
                  <c:v>0.3627048034583546</c:v>
                </c:pt>
                <c:pt idx="3">
                  <c:v>0.33387186926770285</c:v>
                </c:pt>
                <c:pt idx="4">
                  <c:v>0.30722897801530313</c:v>
                </c:pt>
                <c:pt idx="5">
                  <c:v>0.2825357380022081</c:v>
                </c:pt>
                <c:pt idx="6">
                  <c:v>0.25958569805945264</c:v>
                </c:pt>
                <c:pt idx="7">
                  <c:v>0.23820056175649981</c:v>
                </c:pt>
                <c:pt idx="8">
                  <c:v>0.21822554614263662</c:v>
                </c:pt>
                <c:pt idx="9">
                  <c:v>0.19952562930817633</c:v>
                </c:pt>
                <c:pt idx="10">
                  <c:v>0.18198249432626243</c:v>
                </c:pt>
                <c:pt idx="11">
                  <c:v>0.16549202332480353</c:v>
                </c:pt>
                <c:pt idx="12">
                  <c:v>0.14996222951823568</c:v>
                </c:pt>
                <c:pt idx="13">
                  <c:v>0.13531154042758503</c:v>
                </c:pt>
                <c:pt idx="14">
                  <c:v>0.12146736462422468</c:v>
                </c:pt>
                <c:pt idx="15">
                  <c:v>0.10836488883321085</c:v>
                </c:pt>
                <c:pt idx="16">
                  <c:v>9.5946063327900247E-2</c:v>
                </c:pt>
                <c:pt idx="17">
                  <c:v>8.4158742104334563E-2</c:v>
                </c:pt>
                <c:pt idx="18">
                  <c:v>7.2955950971188954E-2</c:v>
                </c:pt>
                <c:pt idx="19">
                  <c:v>6.2295261890904355E-2</c:v>
                </c:pt>
                <c:pt idx="20">
                  <c:v>5.2138256001913394E-2</c:v>
                </c:pt>
                <c:pt idx="21">
                  <c:v>4.2450060995758175E-2</c:v>
                </c:pt>
              </c:numCache>
            </c:numRef>
          </c:xVal>
          <c:yVal>
            <c:numRef>
              <c:f>'two-endmember mixing'!$AF$13:$AF$34</c:f>
              <c:numCache>
                <c:formatCode>0.00</c:formatCode>
                <c:ptCount val="22"/>
                <c:pt idx="0">
                  <c:v>0.20043031621447974</c:v>
                </c:pt>
                <c:pt idx="1">
                  <c:v>0.18297886728228091</c:v>
                </c:pt>
                <c:pt idx="2">
                  <c:v>0.16696192566890722</c:v>
                </c:pt>
                <c:pt idx="3">
                  <c:v>0.15220959939357034</c:v>
                </c:pt>
                <c:pt idx="4">
                  <c:v>0.13857780520728352</c:v>
                </c:pt>
                <c:pt idx="5">
                  <c:v>0.12594354706832214</c:v>
                </c:pt>
                <c:pt idx="6">
                  <c:v>0.11420119455474026</c:v>
                </c:pt>
                <c:pt idx="7">
                  <c:v>0.10325952257305215</c:v>
                </c:pt>
                <c:pt idx="8">
                  <c:v>9.3039336665431377E-2</c:v>
                </c:pt>
                <c:pt idx="9">
                  <c:v>8.3471553080191413E-2</c:v>
                </c:pt>
                <c:pt idx="10">
                  <c:v>7.4495635144327013E-2</c:v>
                </c:pt>
                <c:pt idx="11">
                  <c:v>6.6058311109287421E-2</c:v>
                </c:pt>
                <c:pt idx="12">
                  <c:v>5.8112516078219344E-2</c:v>
                </c:pt>
                <c:pt idx="13">
                  <c:v>5.061651361816203E-2</c:v>
                </c:pt>
                <c:pt idx="14">
                  <c:v>4.3533162436702591E-2</c:v>
                </c:pt>
                <c:pt idx="15">
                  <c:v>3.6829300921754633E-2</c:v>
                </c:pt>
                <c:pt idx="16">
                  <c:v>3.047522802028018E-2</c:v>
                </c:pt>
                <c:pt idx="17">
                  <c:v>2.4444263309840751E-2</c:v>
                </c:pt>
                <c:pt idx="18">
                  <c:v>1.8712372517949116E-2</c:v>
                </c:pt>
                <c:pt idx="19">
                  <c:v>1.325784740467539E-2</c:v>
                </c:pt>
                <c:pt idx="20">
                  <c:v>8.061031018797701E-3</c:v>
                </c:pt>
                <c:pt idx="21">
                  <c:v>3.104080997518595E-3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1-4347-BAB9-ED983D96968F}"/>
            </c:ext>
          </c:extLst>
        </c:ser>
        <c:ser>
          <c:idx val="1"/>
          <c:order val="1"/>
          <c:tx>
            <c:v>Mix + weath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mixing'!$DB$13:$DB$33</c:f>
              <c:numCache>
                <c:formatCode>0.000</c:formatCode>
                <c:ptCount val="21"/>
                <c:pt idx="0">
                  <c:v>0.17361168767392066</c:v>
                </c:pt>
                <c:pt idx="1">
                  <c:v>0.16920907892035281</c:v>
                </c:pt>
                <c:pt idx="2">
                  <c:v>0.16465147054554011</c:v>
                </c:pt>
                <c:pt idx="3">
                  <c:v>0.15993053043014088</c:v>
                </c:pt>
                <c:pt idx="4">
                  <c:v>0.15503731835962262</c:v>
                </c:pt>
                <c:pt idx="5">
                  <c:v>0.14996222951823562</c:v>
                </c:pt>
                <c:pt idx="6">
                  <c:v>0.14469493156281768</c:v>
                </c:pt>
                <c:pt idx="7">
                  <c:v>0.13922429440897624</c:v>
                </c:pt>
                <c:pt idx="8">
                  <c:v>0.13353831172560363</c:v>
                </c:pt>
                <c:pt idx="9">
                  <c:v>0.12762401297241896</c:v>
                </c:pt>
                <c:pt idx="10">
                  <c:v>0.12146736462422458</c:v>
                </c:pt>
                <c:pt idx="11">
                  <c:v>0.11505315899860653</c:v>
                </c:pt>
                <c:pt idx="12">
                  <c:v>0.10836488883321078</c:v>
                </c:pt>
                <c:pt idx="13">
                  <c:v>0.10138460543496153</c:v>
                </c:pt>
                <c:pt idx="14">
                  <c:v>9.4092757834796564E-2</c:v>
                </c:pt>
                <c:pt idx="15">
                  <c:v>8.6468009912825314E-2</c:v>
                </c:pt>
                <c:pt idx="16">
                  <c:v>7.8487031891613518E-2</c:v>
                </c:pt>
                <c:pt idx="17">
                  <c:v>7.0124261905997409E-2</c:v>
                </c:pt>
                <c:pt idx="18">
                  <c:v>6.1351632516503232E-2</c:v>
                </c:pt>
                <c:pt idx="19">
                  <c:v>5.2138256001913311E-2</c:v>
                </c:pt>
                <c:pt idx="20">
                  <c:v>4.2450060995758113E-2</c:v>
                </c:pt>
              </c:numCache>
            </c:numRef>
          </c:xVal>
          <c:yVal>
            <c:numRef>
              <c:f>'two-endmember mixing'!$CX$13:$CX$33</c:f>
              <c:numCache>
                <c:formatCode>0.000</c:formatCode>
                <c:ptCount val="21"/>
                <c:pt idx="0">
                  <c:v>7.0212724840902449E-2</c:v>
                </c:pt>
                <c:pt idx="1">
                  <c:v>6.7960136867516632E-2</c:v>
                </c:pt>
                <c:pt idx="2">
                  <c:v>6.5628243577161099E-2</c:v>
                </c:pt>
                <c:pt idx="3">
                  <c:v>6.3212781853835109E-2</c:v>
                </c:pt>
                <c:pt idx="4">
                  <c:v>6.0709177450572339E-2</c:v>
                </c:pt>
                <c:pt idx="5">
                  <c:v>5.8112516078219323E-2</c:v>
                </c:pt>
                <c:pt idx="6">
                  <c:v>5.5417511209344981E-2</c:v>
                </c:pt>
                <c:pt idx="7">
                  <c:v>5.2618468153449012E-2</c:v>
                </c:pt>
                <c:pt idx="8">
                  <c:v>4.9709243889751849E-2</c:v>
                </c:pt>
                <c:pt idx="9">
                  <c:v>4.6683202061338622E-2</c:v>
                </c:pt>
                <c:pt idx="10">
                  <c:v>4.3533162436702577E-2</c:v>
                </c:pt>
                <c:pt idx="11">
                  <c:v>4.0251344028609456E-2</c:v>
                </c:pt>
                <c:pt idx="12">
                  <c:v>3.6829300921754612E-2</c:v>
                </c:pt>
                <c:pt idx="13">
                  <c:v>3.3257849695029408E-2</c:v>
                </c:pt>
                <c:pt idx="14">
                  <c:v>2.9526987125289915E-2</c:v>
                </c:pt>
                <c:pt idx="15">
                  <c:v>2.5625796619726103E-2</c:v>
                </c:pt>
                <c:pt idx="16">
                  <c:v>2.1542341533723062E-2</c:v>
                </c:pt>
                <c:pt idx="17">
                  <c:v>1.7263543178424153E-2</c:v>
                </c:pt>
                <c:pt idx="18">
                  <c:v>1.2775040891744404E-2</c:v>
                </c:pt>
                <c:pt idx="19">
                  <c:v>8.0610310187976559E-3</c:v>
                </c:pt>
                <c:pt idx="20">
                  <c:v>3.1040809975185725E-3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41-4347-BAB9-ED983D96968F}"/>
            </c:ext>
          </c:extLst>
        </c:ser>
        <c:ser>
          <c:idx val="2"/>
          <c:order val="2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data'!$AE$35:$AE$50</c:f>
              <c:numCache>
                <c:formatCode>0.0000</c:formatCode>
                <c:ptCount val="16"/>
                <c:pt idx="0">
                  <c:v>0.22134560704453871</c:v>
                </c:pt>
                <c:pt idx="1">
                  <c:v>0.17410667715195915</c:v>
                </c:pt>
                <c:pt idx="2">
                  <c:v>0.22761220389600204</c:v>
                </c:pt>
                <c:pt idx="3">
                  <c:v>0.26544330542918243</c:v>
                </c:pt>
                <c:pt idx="4">
                  <c:v>0.25080643163828503</c:v>
                </c:pt>
                <c:pt idx="5">
                  <c:v>0.18779608690194294</c:v>
                </c:pt>
                <c:pt idx="6">
                  <c:v>0.19174954965010058</c:v>
                </c:pt>
                <c:pt idx="7">
                  <c:v>0.37004509314282424</c:v>
                </c:pt>
                <c:pt idx="8">
                  <c:v>0.17466689974309677</c:v>
                </c:pt>
                <c:pt idx="9">
                  <c:v>0.26122905088937881</c:v>
                </c:pt>
                <c:pt idx="10">
                  <c:v>0.18938506673604302</c:v>
                </c:pt>
                <c:pt idx="11">
                  <c:v>0.17697594825662927</c:v>
                </c:pt>
                <c:pt idx="12">
                  <c:v>0.17755303833837985</c:v>
                </c:pt>
                <c:pt idx="13">
                  <c:v>0.3670202948800711</c:v>
                </c:pt>
                <c:pt idx="14">
                  <c:v>0.20098101397164519</c:v>
                </c:pt>
                <c:pt idx="15">
                  <c:v>0.37817795233277623</c:v>
                </c:pt>
              </c:numCache>
            </c:numRef>
          </c:xVal>
          <c:yVal>
            <c:numRef>
              <c:f>'Morgan-Pompa solid data'!$AJ$35:$AJ$50</c:f>
              <c:numCache>
                <c:formatCode>0.0000</c:formatCode>
                <c:ptCount val="16"/>
                <c:pt idx="0">
                  <c:v>0.10929039791816136</c:v>
                </c:pt>
                <c:pt idx="1">
                  <c:v>0.10841964704608612</c:v>
                </c:pt>
                <c:pt idx="2">
                  <c:v>0.12101832943605684</c:v>
                </c:pt>
                <c:pt idx="3">
                  <c:v>0.11738136111498561</c:v>
                </c:pt>
                <c:pt idx="4">
                  <c:v>0.13728561239663301</c:v>
                </c:pt>
                <c:pt idx="5">
                  <c:v>0.11941636297701487</c:v>
                </c:pt>
                <c:pt idx="6">
                  <c:v>0.12845164838297241</c:v>
                </c:pt>
                <c:pt idx="7">
                  <c:v>0.29366568914956021</c:v>
                </c:pt>
                <c:pt idx="8">
                  <c:v>0.10985904187002314</c:v>
                </c:pt>
                <c:pt idx="9">
                  <c:v>0.10630062043930046</c:v>
                </c:pt>
                <c:pt idx="10">
                  <c:v>0.10714910430726482</c:v>
                </c:pt>
                <c:pt idx="11">
                  <c:v>0.10613897485903254</c:v>
                </c:pt>
                <c:pt idx="12">
                  <c:v>0.11387153076359087</c:v>
                </c:pt>
                <c:pt idx="13">
                  <c:v>0.15080711543910383</c:v>
                </c:pt>
                <c:pt idx="14">
                  <c:v>0.11476955601008494</c:v>
                </c:pt>
                <c:pt idx="15">
                  <c:v>0.26440692495277646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41-4347-BAB9-ED983D96968F}"/>
            </c:ext>
          </c:extLst>
        </c:ser>
        <c:ser>
          <c:idx val="3"/>
          <c:order val="3"/>
          <c:tx>
            <c:v>Basalt control</c:v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20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data'!$AE$42,'Morgan-Pompa solid data'!$AE$50)</c:f>
              <c:numCache>
                <c:formatCode>0.0000</c:formatCode>
                <c:ptCount val="2"/>
                <c:pt idx="0">
                  <c:v>0.37004509314282424</c:v>
                </c:pt>
                <c:pt idx="1">
                  <c:v>0.37817795233277623</c:v>
                </c:pt>
              </c:numCache>
            </c:numRef>
          </c:xVal>
          <c:yVal>
            <c:numRef>
              <c:f>('Morgan-Pompa solid data'!$AJ$42,'Morgan-Pompa solid data'!$AJ$50)</c:f>
              <c:numCache>
                <c:formatCode>0.0000</c:formatCode>
                <c:ptCount val="2"/>
                <c:pt idx="0">
                  <c:v>0.29366568914956021</c:v>
                </c:pt>
                <c:pt idx="1">
                  <c:v>0.26440692495277646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41-4347-BAB9-ED983D969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Al/Si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Mg/Si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Residual solid: Elemental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 only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'two-endmember mixing'!$AJ$13:$AJ$34</c:f>
              <c:numCache>
                <c:formatCode>0.00</c:formatCode>
                <c:ptCount val="22"/>
                <c:pt idx="0">
                  <c:v>0.42811766676255186</c:v>
                </c:pt>
                <c:pt idx="1">
                  <c:v>0.39400938653593931</c:v>
                </c:pt>
                <c:pt idx="2">
                  <c:v>0.3627048034583546</c:v>
                </c:pt>
                <c:pt idx="3">
                  <c:v>0.33387186926770285</c:v>
                </c:pt>
                <c:pt idx="4">
                  <c:v>0.30722897801530313</c:v>
                </c:pt>
                <c:pt idx="5">
                  <c:v>0.2825357380022081</c:v>
                </c:pt>
                <c:pt idx="6">
                  <c:v>0.25958569805945264</c:v>
                </c:pt>
                <c:pt idx="7">
                  <c:v>0.23820056175649981</c:v>
                </c:pt>
                <c:pt idx="8">
                  <c:v>0.21822554614263662</c:v>
                </c:pt>
                <c:pt idx="9">
                  <c:v>0.19952562930817633</c:v>
                </c:pt>
                <c:pt idx="10">
                  <c:v>0.18198249432626243</c:v>
                </c:pt>
                <c:pt idx="11">
                  <c:v>0.16549202332480353</c:v>
                </c:pt>
                <c:pt idx="12">
                  <c:v>0.14996222951823568</c:v>
                </c:pt>
                <c:pt idx="13">
                  <c:v>0.13531154042758503</c:v>
                </c:pt>
                <c:pt idx="14">
                  <c:v>0.12146736462422468</c:v>
                </c:pt>
                <c:pt idx="15">
                  <c:v>0.10836488883321085</c:v>
                </c:pt>
                <c:pt idx="16">
                  <c:v>9.5946063327900247E-2</c:v>
                </c:pt>
                <c:pt idx="17">
                  <c:v>8.4158742104334563E-2</c:v>
                </c:pt>
                <c:pt idx="18">
                  <c:v>7.2955950971188954E-2</c:v>
                </c:pt>
                <c:pt idx="19">
                  <c:v>6.2295261890904355E-2</c:v>
                </c:pt>
                <c:pt idx="20">
                  <c:v>5.2138256001913394E-2</c:v>
                </c:pt>
                <c:pt idx="21">
                  <c:v>4.2450060995758175E-2</c:v>
                </c:pt>
              </c:numCache>
            </c:numRef>
          </c:xVal>
          <c:yVal>
            <c:numRef>
              <c:f>'two-endmember mixing'!$AK$13:$AK$34</c:f>
              <c:numCache>
                <c:formatCode>0.00</c:formatCode>
                <c:ptCount val="22"/>
                <c:pt idx="0">
                  <c:v>0.14151159994817719</c:v>
                </c:pt>
                <c:pt idx="1">
                  <c:v>0.12991961945808247</c:v>
                </c:pt>
                <c:pt idx="2">
                  <c:v>0.1192804985796638</c:v>
                </c:pt>
                <c:pt idx="3">
                  <c:v>0.10948138797104859</c:v>
                </c:pt>
                <c:pt idx="4">
                  <c:v>0.10042658152681865</c:v>
                </c:pt>
                <c:pt idx="5">
                  <c:v>9.2034380144419864E-2</c:v>
                </c:pt>
                <c:pt idx="6">
                  <c:v>8.4234619690483417E-2</c:v>
                </c:pt>
                <c:pt idx="7">
                  <c:v>7.6966704651822926E-2</c:v>
                </c:pt>
                <c:pt idx="8">
                  <c:v>7.0178030765398844E-2</c:v>
                </c:pt>
                <c:pt idx="9">
                  <c:v>6.382270972102895E-2</c:v>
                </c:pt>
                <c:pt idx="10">
                  <c:v>5.7860530534792086E-2</c:v>
                </c:pt>
                <c:pt idx="11">
                  <c:v>5.2256107888697043E-2</c:v>
                </c:pt>
                <c:pt idx="12">
                  <c:v>4.6978179314612303E-2</c:v>
                </c:pt>
                <c:pt idx="13">
                  <c:v>4.1999021732437955E-2</c:v>
                </c:pt>
                <c:pt idx="14">
                  <c:v>3.7293964346144397E-2</c:v>
                </c:pt>
                <c:pt idx="15">
                  <c:v>3.2840979829415091E-2</c:v>
                </c:pt>
                <c:pt idx="16">
                  <c:v>2.8620339503634934E-2</c:v>
                </c:pt>
                <c:pt idx="17">
                  <c:v>2.4614321119059746E-2</c:v>
                </c:pt>
                <c:pt idx="18">
                  <c:v>2.0806960109145616E-2</c:v>
                </c:pt>
                <c:pt idx="19">
                  <c:v>1.7183836955219967E-2</c:v>
                </c:pt>
                <c:pt idx="20">
                  <c:v>1.3731894690153932E-2</c:v>
                </c:pt>
                <c:pt idx="21">
                  <c:v>1.0439281672158403E-2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5-4B4B-9905-6E4242E9A34A}"/>
            </c:ext>
          </c:extLst>
        </c:ser>
        <c:ser>
          <c:idx val="1"/>
          <c:order val="1"/>
          <c:tx>
            <c:v>Mix + weath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mixing'!$DB$13:$DB$33</c:f>
              <c:numCache>
                <c:formatCode>0.000</c:formatCode>
                <c:ptCount val="21"/>
                <c:pt idx="0">
                  <c:v>0.17361168767392066</c:v>
                </c:pt>
                <c:pt idx="1">
                  <c:v>0.16920907892035281</c:v>
                </c:pt>
                <c:pt idx="2">
                  <c:v>0.16465147054554011</c:v>
                </c:pt>
                <c:pt idx="3">
                  <c:v>0.15993053043014088</c:v>
                </c:pt>
                <c:pt idx="4">
                  <c:v>0.15503731835962262</c:v>
                </c:pt>
                <c:pt idx="5">
                  <c:v>0.14996222951823562</c:v>
                </c:pt>
                <c:pt idx="6">
                  <c:v>0.14469493156281768</c:v>
                </c:pt>
                <c:pt idx="7">
                  <c:v>0.13922429440897624</c:v>
                </c:pt>
                <c:pt idx="8">
                  <c:v>0.13353831172560363</c:v>
                </c:pt>
                <c:pt idx="9">
                  <c:v>0.12762401297241896</c:v>
                </c:pt>
                <c:pt idx="10">
                  <c:v>0.12146736462422458</c:v>
                </c:pt>
                <c:pt idx="11">
                  <c:v>0.11505315899860653</c:v>
                </c:pt>
                <c:pt idx="12">
                  <c:v>0.10836488883321078</c:v>
                </c:pt>
                <c:pt idx="13">
                  <c:v>0.10138460543496153</c:v>
                </c:pt>
                <c:pt idx="14">
                  <c:v>9.4092757834796564E-2</c:v>
                </c:pt>
                <c:pt idx="15">
                  <c:v>8.6468009912825314E-2</c:v>
                </c:pt>
                <c:pt idx="16">
                  <c:v>7.8487031891613518E-2</c:v>
                </c:pt>
                <c:pt idx="17">
                  <c:v>7.0124261905997409E-2</c:v>
                </c:pt>
                <c:pt idx="18">
                  <c:v>6.1351632516503232E-2</c:v>
                </c:pt>
                <c:pt idx="19">
                  <c:v>5.2138256001913311E-2</c:v>
                </c:pt>
                <c:pt idx="20">
                  <c:v>4.2450060995758113E-2</c:v>
                </c:pt>
              </c:numCache>
            </c:numRef>
          </c:xVal>
          <c:yVal>
            <c:numRef>
              <c:f>'two-endmember mixing'!$DC$13:$DC$33</c:f>
              <c:numCache>
                <c:formatCode>0.000</c:formatCode>
                <c:ptCount val="21"/>
                <c:pt idx="0">
                  <c:v>5.5015642819679716E-2</c:v>
                </c:pt>
                <c:pt idx="1">
                  <c:v>5.351937990528452E-2</c:v>
                </c:pt>
                <c:pt idx="2">
                  <c:v>5.1970439090581744E-2</c:v>
                </c:pt>
                <c:pt idx="3">
                  <c:v>5.036598863605795E-2</c:v>
                </c:pt>
                <c:pt idx="4">
                  <c:v>4.8702990136031361E-2</c:v>
                </c:pt>
                <c:pt idx="5">
                  <c:v>4.6978179314612289E-2</c:v>
                </c:pt>
                <c:pt idx="6">
                  <c:v>4.518804463971654E-2</c:v>
                </c:pt>
                <c:pt idx="7">
                  <c:v>4.3328803460319927E-2</c:v>
                </c:pt>
                <c:pt idx="8">
                  <c:v>4.1396375325721553E-2</c:v>
                </c:pt>
                <c:pt idx="9">
                  <c:v>3.9386352090776504E-2</c:v>
                </c:pt>
                <c:pt idx="10">
                  <c:v>3.7293964346144362E-2</c:v>
                </c:pt>
                <c:pt idx="11">
                  <c:v>3.511404363546583E-2</c:v>
                </c:pt>
                <c:pt idx="12">
                  <c:v>3.2840979829415064E-2</c:v>
                </c:pt>
                <c:pt idx="13">
                  <c:v>3.0468672916541036E-2</c:v>
                </c:pt>
                <c:pt idx="14">
                  <c:v>2.7990478338677075E-2</c:v>
                </c:pt>
                <c:pt idx="15">
                  <c:v>2.5399144839416712E-2</c:v>
                </c:pt>
                <c:pt idx="16">
                  <c:v>2.2686743601386027E-2</c:v>
                </c:pt>
                <c:pt idx="17">
                  <c:v>1.9844587213777427E-2</c:v>
                </c:pt>
                <c:pt idx="18">
                  <c:v>1.6863136725678532E-2</c:v>
                </c:pt>
                <c:pt idx="19">
                  <c:v>1.3731894690153878E-2</c:v>
                </c:pt>
                <c:pt idx="20">
                  <c:v>1.0439281672158379E-2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95-4B4B-9905-6E4242E9A34A}"/>
            </c:ext>
          </c:extLst>
        </c:ser>
        <c:ser>
          <c:idx val="2"/>
          <c:order val="2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data'!$AE$35:$AE$50</c:f>
              <c:numCache>
                <c:formatCode>0.0000</c:formatCode>
                <c:ptCount val="16"/>
                <c:pt idx="0">
                  <c:v>0.22134560704453871</c:v>
                </c:pt>
                <c:pt idx="1">
                  <c:v>0.17410667715195915</c:v>
                </c:pt>
                <c:pt idx="2">
                  <c:v>0.22761220389600204</c:v>
                </c:pt>
                <c:pt idx="3">
                  <c:v>0.26544330542918243</c:v>
                </c:pt>
                <c:pt idx="4">
                  <c:v>0.25080643163828503</c:v>
                </c:pt>
                <c:pt idx="5">
                  <c:v>0.18779608690194294</c:v>
                </c:pt>
                <c:pt idx="6">
                  <c:v>0.19174954965010058</c:v>
                </c:pt>
                <c:pt idx="7">
                  <c:v>0.37004509314282424</c:v>
                </c:pt>
                <c:pt idx="8">
                  <c:v>0.17466689974309677</c:v>
                </c:pt>
                <c:pt idx="9">
                  <c:v>0.26122905088937881</c:v>
                </c:pt>
                <c:pt idx="10">
                  <c:v>0.18938506673604302</c:v>
                </c:pt>
                <c:pt idx="11">
                  <c:v>0.17697594825662927</c:v>
                </c:pt>
                <c:pt idx="12">
                  <c:v>0.17755303833837985</c:v>
                </c:pt>
                <c:pt idx="13">
                  <c:v>0.3670202948800711</c:v>
                </c:pt>
                <c:pt idx="14">
                  <c:v>0.20098101397164519</c:v>
                </c:pt>
                <c:pt idx="15">
                  <c:v>0.37817795233277623</c:v>
                </c:pt>
              </c:numCache>
            </c:numRef>
          </c:xVal>
          <c:yVal>
            <c:numRef>
              <c:f>'Morgan-Pompa solid data'!$AH$35:$AH$50</c:f>
              <c:numCache>
                <c:formatCode>0.0000</c:formatCode>
                <c:ptCount val="16"/>
                <c:pt idx="0">
                  <c:v>8.4674235406291987E-2</c:v>
                </c:pt>
                <c:pt idx="1">
                  <c:v>8.0016556739771538E-2</c:v>
                </c:pt>
                <c:pt idx="2">
                  <c:v>8.9662210209360368E-2</c:v>
                </c:pt>
                <c:pt idx="3">
                  <c:v>9.7082133139169705E-2</c:v>
                </c:pt>
                <c:pt idx="4">
                  <c:v>9.7360206667004193E-2</c:v>
                </c:pt>
                <c:pt idx="5">
                  <c:v>8.709987875719595E-2</c:v>
                </c:pt>
                <c:pt idx="6">
                  <c:v>9.2648520375515242E-2</c:v>
                </c:pt>
                <c:pt idx="7">
                  <c:v>0.1958175842782767</c:v>
                </c:pt>
                <c:pt idx="8">
                  <c:v>8.115434642548898E-2</c:v>
                </c:pt>
                <c:pt idx="9">
                  <c:v>9.0509533501716852E-2</c:v>
                </c:pt>
                <c:pt idx="10">
                  <c:v>7.9584165141479063E-2</c:v>
                </c:pt>
                <c:pt idx="11">
                  <c:v>7.8052860811875874E-2</c:v>
                </c:pt>
                <c:pt idx="12">
                  <c:v>8.2605848505471077E-2</c:v>
                </c:pt>
                <c:pt idx="13">
                  <c:v>0.12372220564603296</c:v>
                </c:pt>
                <c:pt idx="14">
                  <c:v>8.2727597451919266E-2</c:v>
                </c:pt>
                <c:pt idx="15">
                  <c:v>0.18192842495384343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95-4B4B-9905-6E4242E9A34A}"/>
            </c:ext>
          </c:extLst>
        </c:ser>
        <c:ser>
          <c:idx val="4"/>
          <c:order val="3"/>
          <c:tx>
            <c:v>Basalt control</c:v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20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data'!$AE$42,'Morgan-Pompa solid data'!$AE$50)</c:f>
              <c:numCache>
                <c:formatCode>0.0000</c:formatCode>
                <c:ptCount val="2"/>
                <c:pt idx="0">
                  <c:v>0.37004509314282424</c:v>
                </c:pt>
                <c:pt idx="1">
                  <c:v>0.37817795233277623</c:v>
                </c:pt>
              </c:numCache>
            </c:numRef>
          </c:xVal>
          <c:yVal>
            <c:numRef>
              <c:f>('Morgan-Pompa solid data'!$AH$42,'Morgan-Pompa solid data'!$AH$50)</c:f>
              <c:numCache>
                <c:formatCode>0.0000</c:formatCode>
                <c:ptCount val="2"/>
                <c:pt idx="0">
                  <c:v>0.1958175842782767</c:v>
                </c:pt>
                <c:pt idx="1">
                  <c:v>0.18192842495384343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95-4B4B-9905-6E4242E9A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Al/Si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Fe/Si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Residual solid: Elemental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'two-endmember mixing'!$AB$13:$AB$34</c:f>
              <c:numCache>
                <c:formatCode>0.00</c:formatCode>
                <c:ptCount val="22"/>
                <c:pt idx="0">
                  <c:v>64.532579102202547</c:v>
                </c:pt>
                <c:pt idx="1">
                  <c:v>70.02656637298692</c:v>
                </c:pt>
                <c:pt idx="2">
                  <c:v>75.962009874082625</c:v>
                </c:pt>
                <c:pt idx="3">
                  <c:v>82.394345038547939</c:v>
                </c:pt>
                <c:pt idx="4">
                  <c:v>89.388694451131144</c:v>
                </c:pt>
                <c:pt idx="5">
                  <c:v>97.022080507568404</c:v>
                </c:pt>
                <c:pt idx="6">
                  <c:v>105.3862735822651</c:v>
                </c:pt>
                <c:pt idx="7">
                  <c:v>114.591499359129</c:v>
                </c:pt>
                <c:pt idx="8">
                  <c:v>124.77132369765901</c:v>
                </c:pt>
                <c:pt idx="9">
                  <c:v>136.08917577281457</c:v>
                </c:pt>
                <c:pt idx="10">
                  <c:v>148.74718845361994</c:v>
                </c:pt>
                <c:pt idx="11">
                  <c:v>162.99837671175243</c:v>
                </c:pt>
                <c:pt idx="12">
                  <c:v>179.16372328452309</c:v>
                </c:pt>
                <c:pt idx="13">
                  <c:v>197.656644598604</c:v>
                </c:pt>
                <c:pt idx="14">
                  <c:v>219.01884476322064</c:v>
                </c:pt>
                <c:pt idx="15">
                  <c:v>243.97426196650326</c:v>
                </c:pt>
                <c:pt idx="16">
                  <c:v>273.51273660692016</c:v>
                </c:pt>
                <c:pt idx="17">
                  <c:v>309.02443715575362</c:v>
                </c:pt>
                <c:pt idx="18">
                  <c:v>352.52500915462196</c:v>
                </c:pt>
                <c:pt idx="19">
                  <c:v>407.05193384128216</c:v>
                </c:pt>
                <c:pt idx="20">
                  <c:v>477.40603204719633</c:v>
                </c:pt>
                <c:pt idx="21">
                  <c:v>571.64828264929065</c:v>
                </c:pt>
              </c:numCache>
            </c:numRef>
          </c:xVal>
          <c:yVal>
            <c:numRef>
              <c:f>'two-endmember mixing'!$Z$13:$Z$34</c:f>
              <c:numCache>
                <c:formatCode>0.00</c:formatCode>
                <c:ptCount val="22"/>
                <c:pt idx="0">
                  <c:v>1.4405081502203125</c:v>
                </c:pt>
                <c:pt idx="1">
                  <c:v>1.4661418370293382</c:v>
                </c:pt>
                <c:pt idx="2">
                  <c:v>1.4938352575417655</c:v>
                </c:pt>
                <c:pt idx="3">
                  <c:v>1.5238470607968251</c:v>
                </c:pt>
                <c:pt idx="4">
                  <c:v>1.5564810938657536</c:v>
                </c:pt>
                <c:pt idx="5">
                  <c:v>1.5920967256135061</c:v>
                </c:pt>
                <c:pt idx="6">
                  <c:v>1.6311221355970977</c:v>
                </c:pt>
                <c:pt idx="7">
                  <c:v>1.6740716116225143</c:v>
                </c:pt>
                <c:pt idx="8">
                  <c:v>1.7215683414115368</c:v>
                </c:pt>
                <c:pt idx="9">
                  <c:v>1.7743748480789605</c:v>
                </c:pt>
                <c:pt idx="10">
                  <c:v>1.8334342373152432</c:v>
                </c:pt>
                <c:pt idx="11">
                  <c:v>1.899927019052845</c:v>
                </c:pt>
                <c:pt idx="12">
                  <c:v>1.975350825258096</c:v>
                </c:pt>
                <c:pt idx="13">
                  <c:v>2.0616345623300649</c:v>
                </c:pt>
                <c:pt idx="14">
                  <c:v>2.1613056976243619</c:v>
                </c:pt>
                <c:pt idx="15">
                  <c:v>2.2777419609879979</c:v>
                </c:pt>
                <c:pt idx="16">
                  <c:v>2.4155617211056231</c:v>
                </c:pt>
                <c:pt idx="17">
                  <c:v>2.5812511857983087</c:v>
                </c:pt>
                <c:pt idx="18">
                  <c:v>2.784214895700253</c:v>
                </c:pt>
                <c:pt idx="19">
                  <c:v>3.0386250428642114</c:v>
                </c:pt>
                <c:pt idx="20">
                  <c:v>3.3668811581872364</c:v>
                </c:pt>
                <c:pt idx="21">
                  <c:v>3.8065939236241451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33-B243-825C-79623FAA3E2D}"/>
            </c:ext>
          </c:extLst>
        </c:ser>
        <c:ser>
          <c:idx val="1"/>
          <c:order val="1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mixing'!$CC$13:$CC$33</c:f>
              <c:numCache>
                <c:formatCode>0.000</c:formatCode>
                <c:ptCount val="21"/>
                <c:pt idx="0">
                  <c:v>155.65541018730315</c:v>
                </c:pt>
                <c:pt idx="1">
                  <c:v>159.55271601099778</c:v>
                </c:pt>
                <c:pt idx="2">
                  <c:v>163.79829128077213</c:v>
                </c:pt>
                <c:pt idx="3">
                  <c:v>168.44100224684431</c:v>
                </c:pt>
                <c:pt idx="4">
                  <c:v>173.53930571871919</c:v>
                </c:pt>
                <c:pt idx="5">
                  <c:v>179.16372328452317</c:v>
                </c:pt>
                <c:pt idx="6">
                  <c:v>185.40012317583333</c:v>
                </c:pt>
                <c:pt idx="7">
                  <c:v>192.35413504840176</c:v>
                </c:pt>
                <c:pt idx="8">
                  <c:v>200.15718180189143</c:v>
                </c:pt>
                <c:pt idx="9">
                  <c:v>208.97486436525253</c:v>
                </c:pt>
                <c:pt idx="10">
                  <c:v>219.01884476322076</c:v>
                </c:pt>
                <c:pt idx="11">
                  <c:v>230.56405752176158</c:v>
                </c:pt>
                <c:pt idx="12">
                  <c:v>243.97426196650338</c:v>
                </c:pt>
                <c:pt idx="13">
                  <c:v>259.74106557420919</c:v>
                </c:pt>
                <c:pt idx="14">
                  <c:v>278.5455020444906</c:v>
                </c:pt>
                <c:pt idx="15">
                  <c:v>301.35899421345243</c:v>
                </c:pt>
                <c:pt idx="16">
                  <c:v>329.61659699339498</c:v>
                </c:pt>
                <c:pt idx="17">
                  <c:v>365.53106952240262</c:v>
                </c:pt>
                <c:pt idx="18">
                  <c:v>412.70226759055959</c:v>
                </c:pt>
                <c:pt idx="19">
                  <c:v>477.4060320471973</c:v>
                </c:pt>
                <c:pt idx="20">
                  <c:v>571.64828264929156</c:v>
                </c:pt>
              </c:numCache>
            </c:numRef>
          </c:xVal>
          <c:yVal>
            <c:numRef>
              <c:f>'two-endmember mixing'!$CA$13:$CA$33</c:f>
              <c:numCache>
                <c:formatCode>0.000</c:formatCode>
                <c:ptCount val="21"/>
                <c:pt idx="0">
                  <c:v>1.8656664183525422</c:v>
                </c:pt>
                <c:pt idx="1">
                  <c:v>1.883850355074572</c:v>
                </c:pt>
                <c:pt idx="2">
                  <c:v>1.9036592372990115</c:v>
                </c:pt>
                <c:pt idx="3">
                  <c:v>1.9253210637619136</c:v>
                </c:pt>
                <c:pt idx="4">
                  <c:v>1.9491085805532931</c:v>
                </c:pt>
                <c:pt idx="5">
                  <c:v>1.9753508252580969</c:v>
                </c:pt>
                <c:pt idx="6">
                  <c:v>2.004448439386143</c:v>
                </c:pt>
                <c:pt idx="7">
                  <c:v>2.0368942667282615</c:v>
                </c:pt>
                <c:pt idx="8">
                  <c:v>2.0733014964462475</c:v>
                </c:pt>
                <c:pt idx="9">
                  <c:v>2.1144427845618154</c:v>
                </c:pt>
                <c:pt idx="10">
                  <c:v>2.1613056976243623</c:v>
                </c:pt>
                <c:pt idx="11">
                  <c:v>2.2151730171883828</c:v>
                </c:pt>
                <c:pt idx="12">
                  <c:v>2.2777419609879987</c:v>
                </c:pt>
                <c:pt idx="13">
                  <c:v>2.3513062569609016</c:v>
                </c:pt>
                <c:pt idx="14">
                  <c:v>2.4390434524332516</c:v>
                </c:pt>
                <c:pt idx="15">
                  <c:v>2.5454859839602366</c:v>
                </c:pt>
                <c:pt idx="16">
                  <c:v>2.6773294892203938</c:v>
                </c:pt>
                <c:pt idx="17">
                  <c:v>2.8448981957617354</c:v>
                </c:pt>
                <c:pt idx="18">
                  <c:v>3.0649882065478371</c:v>
                </c:pt>
                <c:pt idx="19">
                  <c:v>3.3668811581872404</c:v>
                </c:pt>
                <c:pt idx="20">
                  <c:v>3.8065939236241504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33-B243-825C-79623FAA3E2D}"/>
            </c:ext>
          </c:extLst>
        </c:ser>
        <c:ser>
          <c:idx val="2"/>
          <c:order val="2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data'!$AA$35:$AA$50</c:f>
              <c:numCache>
                <c:formatCode>0.000</c:formatCode>
                <c:ptCount val="16"/>
                <c:pt idx="0">
                  <c:v>86.75677528163078</c:v>
                </c:pt>
                <c:pt idx="1">
                  <c:v>82.707172920873745</c:v>
                </c:pt>
                <c:pt idx="2">
                  <c:v>77.348085695898746</c:v>
                </c:pt>
                <c:pt idx="3">
                  <c:v>84.795223468752923</c:v>
                </c:pt>
                <c:pt idx="4">
                  <c:v>71.294657176922016</c:v>
                </c:pt>
                <c:pt idx="5">
                  <c:v>77.605107058871766</c:v>
                </c:pt>
                <c:pt idx="6">
                  <c:v>73.687961449440039</c:v>
                </c:pt>
                <c:pt idx="7">
                  <c:v>36.790977750197328</c:v>
                </c:pt>
                <c:pt idx="8">
                  <c:v>86.54086406690206</c:v>
                </c:pt>
                <c:pt idx="9">
                  <c:v>92.096124948881098</c:v>
                </c:pt>
                <c:pt idx="10">
                  <c:v>88.809585993528444</c:v>
                </c:pt>
                <c:pt idx="11">
                  <c:v>90.27026997368516</c:v>
                </c:pt>
                <c:pt idx="12">
                  <c:v>81.614256707276454</c:v>
                </c:pt>
                <c:pt idx="13">
                  <c:v>63.046604783883595</c:v>
                </c:pt>
                <c:pt idx="14">
                  <c:v>82.768076582818438</c:v>
                </c:pt>
                <c:pt idx="15">
                  <c:v>40.864608242154681</c:v>
                </c:pt>
              </c:numCache>
            </c:numRef>
          </c:xVal>
          <c:yVal>
            <c:numRef>
              <c:f>'Morgan-Pompa solid data'!$V$35:$V$50</c:f>
              <c:numCache>
                <c:formatCode>0.000</c:formatCode>
                <c:ptCount val="16"/>
                <c:pt idx="0">
                  <c:v>2.0239448364665611</c:v>
                </c:pt>
                <c:pt idx="1">
                  <c:v>1.7642522148069151</c:v>
                </c:pt>
                <c:pt idx="2">
                  <c:v>1.905686026201977</c:v>
                </c:pt>
                <c:pt idx="3">
                  <c:v>2.241492184530379</c:v>
                </c:pt>
                <c:pt idx="4">
                  <c:v>1.7985095393662729</c:v>
                </c:pt>
                <c:pt idx="5">
                  <c:v>1.7299948902475577</c:v>
                </c:pt>
                <c:pt idx="6">
                  <c:v>1.6628106226651282</c:v>
                </c:pt>
                <c:pt idx="7">
                  <c:v>0.50468379931196428</c:v>
                </c:pt>
                <c:pt idx="8">
                  <c:v>1.7678966110366343</c:v>
                </c:pt>
                <c:pt idx="9">
                  <c:v>2.5032316445873426</c:v>
                </c:pt>
                <c:pt idx="10">
                  <c:v>1.8261789168949842</c:v>
                </c:pt>
                <c:pt idx="11">
                  <c:v>1.8448133956388102</c:v>
                </c:pt>
                <c:pt idx="12">
                  <c:v>1.6787801900313175</c:v>
                </c:pt>
                <c:pt idx="13">
                  <c:v>2.2869121298730768</c:v>
                </c:pt>
                <c:pt idx="14">
                  <c:v>1.783146718558726</c:v>
                </c:pt>
                <c:pt idx="15">
                  <c:v>0.66454580276969999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33-B243-825C-79623FAA3E2D}"/>
            </c:ext>
          </c:extLst>
        </c:ser>
        <c:ser>
          <c:idx val="4"/>
          <c:order val="3"/>
          <c:tx>
            <c:v>Basalt control</c:v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x"/>
            <c:size val="20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data'!$AA$42,'Morgan-Pompa solid data'!$AA$50)</c:f>
              <c:numCache>
                <c:formatCode>0.000</c:formatCode>
                <c:ptCount val="2"/>
                <c:pt idx="0">
                  <c:v>36.790977750197328</c:v>
                </c:pt>
                <c:pt idx="1">
                  <c:v>40.864608242154681</c:v>
                </c:pt>
              </c:numCache>
            </c:numRef>
          </c:xVal>
          <c:yVal>
            <c:numRef>
              <c:f>('Morgan-Pompa solid data'!$V$42,'Morgan-Pompa solid data'!$V$50)</c:f>
              <c:numCache>
                <c:formatCode>0.000</c:formatCode>
                <c:ptCount val="2"/>
                <c:pt idx="0">
                  <c:v>0.50468379931196428</c:v>
                </c:pt>
                <c:pt idx="1">
                  <c:v>0.66454580276969999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33-B243-825C-79623FAA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Residual solid: Elemental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 only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'two-endmember mixing'!$AJ$13:$AJ$34</c:f>
              <c:numCache>
                <c:formatCode>0.00</c:formatCode>
                <c:ptCount val="22"/>
                <c:pt idx="0">
                  <c:v>0.42811766676255186</c:v>
                </c:pt>
                <c:pt idx="1">
                  <c:v>0.39400938653593931</c:v>
                </c:pt>
                <c:pt idx="2">
                  <c:v>0.3627048034583546</c:v>
                </c:pt>
                <c:pt idx="3">
                  <c:v>0.33387186926770285</c:v>
                </c:pt>
                <c:pt idx="4">
                  <c:v>0.30722897801530313</c:v>
                </c:pt>
                <c:pt idx="5">
                  <c:v>0.2825357380022081</c:v>
                </c:pt>
                <c:pt idx="6">
                  <c:v>0.25958569805945264</c:v>
                </c:pt>
                <c:pt idx="7">
                  <c:v>0.23820056175649981</c:v>
                </c:pt>
                <c:pt idx="8">
                  <c:v>0.21822554614263662</c:v>
                </c:pt>
                <c:pt idx="9">
                  <c:v>0.19952562930817633</c:v>
                </c:pt>
                <c:pt idx="10">
                  <c:v>0.18198249432626243</c:v>
                </c:pt>
                <c:pt idx="11">
                  <c:v>0.16549202332480353</c:v>
                </c:pt>
                <c:pt idx="12">
                  <c:v>0.14996222951823568</c:v>
                </c:pt>
                <c:pt idx="13">
                  <c:v>0.13531154042758503</c:v>
                </c:pt>
                <c:pt idx="14">
                  <c:v>0.12146736462422468</c:v>
                </c:pt>
                <c:pt idx="15">
                  <c:v>0.10836488883321085</c:v>
                </c:pt>
                <c:pt idx="16">
                  <c:v>9.5946063327900247E-2</c:v>
                </c:pt>
                <c:pt idx="17">
                  <c:v>8.4158742104334563E-2</c:v>
                </c:pt>
                <c:pt idx="18">
                  <c:v>7.2955950971188954E-2</c:v>
                </c:pt>
                <c:pt idx="19">
                  <c:v>6.2295261890904355E-2</c:v>
                </c:pt>
                <c:pt idx="20">
                  <c:v>5.2138256001913394E-2</c:v>
                </c:pt>
                <c:pt idx="21">
                  <c:v>4.2450060995758175E-2</c:v>
                </c:pt>
              </c:numCache>
            </c:numRef>
          </c:xVal>
          <c:yVal>
            <c:numRef>
              <c:f>'two-endmember mixing'!$AG$13:$AG$34</c:f>
              <c:numCache>
                <c:formatCode>0.000</c:formatCode>
                <c:ptCount val="22"/>
                <c:pt idx="0">
                  <c:v>2.2322184705169282E-2</c:v>
                </c:pt>
                <c:pt idx="1">
                  <c:v>2.093693740772801E-2</c:v>
                </c:pt>
                <c:pt idx="2">
                  <c:v>1.966555729657497E-2</c:v>
                </c:pt>
                <c:pt idx="3">
                  <c:v>1.8494558820558595E-2</c:v>
                </c:pt>
                <c:pt idx="4">
                  <c:v>1.7412505053608127E-2</c:v>
                </c:pt>
                <c:pt idx="5">
                  <c:v>1.6409632913296592E-2</c:v>
                </c:pt>
                <c:pt idx="6">
                  <c:v>1.5477557751615866E-2</c:v>
                </c:pt>
                <c:pt idx="7">
                  <c:v>1.4609038375315998E-2</c:v>
                </c:pt>
                <c:pt idx="8">
                  <c:v>1.3797788549420008E-2</c:v>
                </c:pt>
                <c:pt idx="9">
                  <c:v>1.3038324598578493E-2</c:v>
                </c:pt>
                <c:pt idx="10">
                  <c:v>1.2325841290687095E-2</c:v>
                </c:pt>
                <c:pt idx="11">
                  <c:v>1.165611006306333E-2</c:v>
                </c:pt>
                <c:pt idx="12">
                  <c:v>1.1025395035584947E-2</c:v>
                </c:pt>
                <c:pt idx="13">
                  <c:v>1.0430383286718132E-2</c:v>
                </c:pt>
                <c:pt idx="14">
                  <c:v>9.8681266443576155E-3</c:v>
                </c:pt>
                <c:pt idx="15">
                  <c:v>9.3359928323124633E-3</c:v>
                </c:pt>
                <c:pt idx="16">
                  <c:v>8.8316242639082526E-3</c:v>
                </c:pt>
                <c:pt idx="17">
                  <c:v>8.3529031216949164E-3</c:v>
                </c:pt>
                <c:pt idx="18">
                  <c:v>7.8979216322183285E-3</c:v>
                </c:pt>
                <c:pt idx="19">
                  <c:v>7.4649566559952356E-3</c:v>
                </c:pt>
                <c:pt idx="20">
                  <c:v>7.0524478791134894E-3</c:v>
                </c:pt>
                <c:pt idx="21">
                  <c:v>6.6589790246243266E-3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A-DB49-847D-4506177C1226}"/>
            </c:ext>
          </c:extLst>
        </c:ser>
        <c:ser>
          <c:idx val="1"/>
          <c:order val="1"/>
          <c:tx>
            <c:v>Mix + weath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mixing'!$DB$13:$DB$33</c:f>
              <c:numCache>
                <c:formatCode>0.000</c:formatCode>
                <c:ptCount val="21"/>
                <c:pt idx="0">
                  <c:v>0.17361168767392066</c:v>
                </c:pt>
                <c:pt idx="1">
                  <c:v>0.16920907892035281</c:v>
                </c:pt>
                <c:pt idx="2">
                  <c:v>0.16465147054554011</c:v>
                </c:pt>
                <c:pt idx="3">
                  <c:v>0.15993053043014088</c:v>
                </c:pt>
                <c:pt idx="4">
                  <c:v>0.15503731835962262</c:v>
                </c:pt>
                <c:pt idx="5">
                  <c:v>0.14996222951823562</c:v>
                </c:pt>
                <c:pt idx="6">
                  <c:v>0.14469493156281768</c:v>
                </c:pt>
                <c:pt idx="7">
                  <c:v>0.13922429440897624</c:v>
                </c:pt>
                <c:pt idx="8">
                  <c:v>0.13353831172560363</c:v>
                </c:pt>
                <c:pt idx="9">
                  <c:v>0.12762401297241896</c:v>
                </c:pt>
                <c:pt idx="10">
                  <c:v>0.12146736462422458</c:v>
                </c:pt>
                <c:pt idx="11">
                  <c:v>0.11505315899860653</c:v>
                </c:pt>
                <c:pt idx="12">
                  <c:v>0.10836488883321078</c:v>
                </c:pt>
                <c:pt idx="13">
                  <c:v>0.10138460543496153</c:v>
                </c:pt>
                <c:pt idx="14">
                  <c:v>9.4092757834796564E-2</c:v>
                </c:pt>
                <c:pt idx="15">
                  <c:v>8.6468009912825314E-2</c:v>
                </c:pt>
                <c:pt idx="16">
                  <c:v>7.8487031891613518E-2</c:v>
                </c:pt>
                <c:pt idx="17">
                  <c:v>7.0124261905997409E-2</c:v>
                </c:pt>
                <c:pt idx="18">
                  <c:v>6.1351632516503232E-2</c:v>
                </c:pt>
                <c:pt idx="19">
                  <c:v>5.2138256001913311E-2</c:v>
                </c:pt>
                <c:pt idx="20">
                  <c:v>4.2450060995758113E-2</c:v>
                </c:pt>
              </c:numCache>
            </c:numRef>
          </c:xVal>
          <c:yVal>
            <c:numRef>
              <c:f>'two-endmember mixing'!$CY$13:$CY$33</c:f>
              <c:numCache>
                <c:formatCode>0.000</c:formatCode>
                <c:ptCount val="21"/>
                <c:pt idx="0">
                  <c:v>1.1985875827300509E-2</c:v>
                </c:pt>
                <c:pt idx="1">
                  <c:v>1.1807071682469639E-2</c:v>
                </c:pt>
                <c:pt idx="2">
                  <c:v>1.1621972502972486E-2</c:v>
                </c:pt>
                <c:pt idx="3">
                  <c:v>1.1430239894562157E-2</c:v>
                </c:pt>
                <c:pt idx="4">
                  <c:v>1.1231510766284276E-2</c:v>
                </c:pt>
                <c:pt idx="5">
                  <c:v>1.1025395035584947E-2</c:v>
                </c:pt>
                <c:pt idx="6">
                  <c:v>1.0811473072674962E-2</c:v>
                </c:pt>
                <c:pt idx="7">
                  <c:v>1.058929284892015E-2</c:v>
                </c:pt>
                <c:pt idx="8">
                  <c:v>1.0358366748480346E-2</c:v>
                </c:pt>
                <c:pt idx="9">
                  <c:v>1.0118167995870207E-2</c:v>
                </c:pt>
                <c:pt idx="10">
                  <c:v>9.868126644357612E-3</c:v>
                </c:pt>
                <c:pt idx="11">
                  <c:v>9.6076250608979046E-3</c:v>
                </c:pt>
                <c:pt idx="12">
                  <c:v>9.3359928323124633E-3</c:v>
                </c:pt>
                <c:pt idx="13">
                  <c:v>9.0525010042708191E-3</c:v>
                </c:pt>
                <c:pt idx="14">
                  <c:v>8.7563555488455753E-3</c:v>
                </c:pt>
                <c:pt idx="15">
                  <c:v>8.4466899373750563E-3</c:v>
                </c:pt>
                <c:pt idx="16">
                  <c:v>8.1225566723329874E-3</c:v>
                </c:pt>
                <c:pt idx="17">
                  <c:v>7.7829176039093924E-3</c:v>
                </c:pt>
                <c:pt idx="18">
                  <c:v>7.4266328228382809E-3</c:v>
                </c:pt>
                <c:pt idx="19">
                  <c:v>7.0524478791134833E-3</c:v>
                </c:pt>
                <c:pt idx="20">
                  <c:v>6.6589790246243258E-3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0A-DB49-847D-4506177C1226}"/>
            </c:ext>
          </c:extLst>
        </c:ser>
        <c:ser>
          <c:idx val="2"/>
          <c:order val="2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data'!$AE$35:$AE$50</c:f>
              <c:numCache>
                <c:formatCode>0.0000</c:formatCode>
                <c:ptCount val="16"/>
                <c:pt idx="0">
                  <c:v>0.22134560704453871</c:v>
                </c:pt>
                <c:pt idx="1">
                  <c:v>0.17410667715195915</c:v>
                </c:pt>
                <c:pt idx="2">
                  <c:v>0.22761220389600204</c:v>
                </c:pt>
                <c:pt idx="3">
                  <c:v>0.26544330542918243</c:v>
                </c:pt>
                <c:pt idx="4">
                  <c:v>0.25080643163828503</c:v>
                </c:pt>
                <c:pt idx="5">
                  <c:v>0.18779608690194294</c:v>
                </c:pt>
                <c:pt idx="6">
                  <c:v>0.19174954965010058</c:v>
                </c:pt>
                <c:pt idx="7">
                  <c:v>0.37004509314282424</c:v>
                </c:pt>
                <c:pt idx="8">
                  <c:v>0.17466689974309677</c:v>
                </c:pt>
                <c:pt idx="9">
                  <c:v>0.26122905088937881</c:v>
                </c:pt>
                <c:pt idx="10">
                  <c:v>0.18938506673604302</c:v>
                </c:pt>
                <c:pt idx="11">
                  <c:v>0.17697594825662927</c:v>
                </c:pt>
                <c:pt idx="12">
                  <c:v>0.17755303833837985</c:v>
                </c:pt>
                <c:pt idx="13">
                  <c:v>0.3670202948800711</c:v>
                </c:pt>
                <c:pt idx="14">
                  <c:v>0.20098101397164519</c:v>
                </c:pt>
                <c:pt idx="15">
                  <c:v>0.37817795233277623</c:v>
                </c:pt>
              </c:numCache>
            </c:numRef>
          </c:xVal>
          <c:yVal>
            <c:numRef>
              <c:f>'Morgan-Pompa solid data'!$AI$35:$AI$50</c:f>
              <c:numCache>
                <c:formatCode>0.0000</c:formatCode>
                <c:ptCount val="16"/>
                <c:pt idx="0">
                  <c:v>2.332895419287323E-2</c:v>
                </c:pt>
                <c:pt idx="1">
                  <c:v>2.1331308428288096E-2</c:v>
                </c:pt>
                <c:pt idx="2">
                  <c:v>2.4637791731450993E-2</c:v>
                </c:pt>
                <c:pt idx="3">
                  <c:v>2.6434179813870883E-2</c:v>
                </c:pt>
                <c:pt idx="4">
                  <c:v>2.5226428046398519E-2</c:v>
                </c:pt>
                <c:pt idx="5">
                  <c:v>2.2292281472341399E-2</c:v>
                </c:pt>
                <c:pt idx="6">
                  <c:v>2.2565566884436644E-2</c:v>
                </c:pt>
                <c:pt idx="7">
                  <c:v>1.3717596817857265E-2</c:v>
                </c:pt>
                <c:pt idx="8">
                  <c:v>2.0428460359142336E-2</c:v>
                </c:pt>
                <c:pt idx="9">
                  <c:v>2.7180640292702729E-2</c:v>
                </c:pt>
                <c:pt idx="10">
                  <c:v>2.0562858124663005E-2</c:v>
                </c:pt>
                <c:pt idx="11">
                  <c:v>2.0436555647574722E-2</c:v>
                </c:pt>
                <c:pt idx="12">
                  <c:v>2.0569692817917228E-2</c:v>
                </c:pt>
                <c:pt idx="13">
                  <c:v>3.6273359012945185E-2</c:v>
                </c:pt>
                <c:pt idx="14">
                  <c:v>2.1543894604998996E-2</c:v>
                </c:pt>
                <c:pt idx="15">
                  <c:v>1.626213565615869E-2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0A-DB49-847D-4506177C1226}"/>
            </c:ext>
          </c:extLst>
        </c:ser>
        <c:ser>
          <c:idx val="4"/>
          <c:order val="3"/>
          <c:tx>
            <c:v>Basalt control</c:v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20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data'!$AE$42,'Morgan-Pompa solid data'!$AE$50)</c:f>
              <c:numCache>
                <c:formatCode>0.0000</c:formatCode>
                <c:ptCount val="2"/>
                <c:pt idx="0">
                  <c:v>0.37004509314282424</c:v>
                </c:pt>
                <c:pt idx="1">
                  <c:v>0.37817795233277623</c:v>
                </c:pt>
              </c:numCache>
            </c:numRef>
          </c:xVal>
          <c:yVal>
            <c:numRef>
              <c:f>('Morgan-Pompa solid data'!$AI$42,'Morgan-Pompa solid data'!$AI$50)</c:f>
              <c:numCache>
                <c:formatCode>0.0000</c:formatCode>
                <c:ptCount val="2"/>
                <c:pt idx="0">
                  <c:v>1.3717596817857265E-2</c:v>
                </c:pt>
                <c:pt idx="1">
                  <c:v>1.626213565615869E-2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0A-DB49-847D-4506177C1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Al/Si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K/Si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Physical mixing &amp;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 only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'two-endmember mixing'!$U$13:$U$34</c:f>
              <c:numCache>
                <c:formatCode>0.000</c:formatCode>
                <c:ptCount val="22"/>
                <c:pt idx="0">
                  <c:v>0.55738749899999995</c:v>
                </c:pt>
                <c:pt idx="1">
                  <c:v>0.53665929359413911</c:v>
                </c:pt>
                <c:pt idx="2">
                  <c:v>0.51593108818827826</c:v>
                </c:pt>
                <c:pt idx="3">
                  <c:v>0.49520288278241725</c:v>
                </c:pt>
                <c:pt idx="4">
                  <c:v>0.47447467737655641</c:v>
                </c:pt>
                <c:pt idx="5">
                  <c:v>0.45374647197069551</c:v>
                </c:pt>
                <c:pt idx="6">
                  <c:v>0.43301826656483472</c:v>
                </c:pt>
                <c:pt idx="7">
                  <c:v>0.41229006115897376</c:v>
                </c:pt>
                <c:pt idx="8">
                  <c:v>0.39156185575311292</c:v>
                </c:pt>
                <c:pt idx="9">
                  <c:v>0.37083365034725202</c:v>
                </c:pt>
                <c:pt idx="10">
                  <c:v>0.35010544494139112</c:v>
                </c:pt>
                <c:pt idx="11">
                  <c:v>0.32937723953553028</c:v>
                </c:pt>
                <c:pt idx="12">
                  <c:v>0.30864903412966938</c:v>
                </c:pt>
                <c:pt idx="13">
                  <c:v>0.28792082872380842</c:v>
                </c:pt>
                <c:pt idx="14">
                  <c:v>0.26719262331794758</c:v>
                </c:pt>
                <c:pt idx="15">
                  <c:v>0.24646441791208668</c:v>
                </c:pt>
                <c:pt idx="16">
                  <c:v>0.2257362125062258</c:v>
                </c:pt>
                <c:pt idx="17">
                  <c:v>0.20500800710036493</c:v>
                </c:pt>
                <c:pt idx="18">
                  <c:v>0.184279801694504</c:v>
                </c:pt>
                <c:pt idx="19">
                  <c:v>0.16355159628864316</c:v>
                </c:pt>
                <c:pt idx="20">
                  <c:v>0.14282339088278223</c:v>
                </c:pt>
                <c:pt idx="21">
                  <c:v>0.12209518547692136</c:v>
                </c:pt>
              </c:numCache>
            </c:numRef>
          </c:xVal>
          <c:yVal>
            <c:numRef>
              <c:f>'two-endmember mixing'!$T$13:$T$34</c:f>
              <c:numCache>
                <c:formatCode>0.000</c:formatCode>
                <c:ptCount val="22"/>
                <c:pt idx="0">
                  <c:v>5.9381225410000003</c:v>
                </c:pt>
                <c:pt idx="1">
                  <c:v>5.6958309914285712</c:v>
                </c:pt>
                <c:pt idx="2">
                  <c:v>5.453539441857143</c:v>
                </c:pt>
                <c:pt idx="3">
                  <c:v>5.2112478922857148</c:v>
                </c:pt>
                <c:pt idx="4">
                  <c:v>4.9689563427142858</c:v>
                </c:pt>
                <c:pt idx="5">
                  <c:v>4.7266647931428576</c:v>
                </c:pt>
                <c:pt idx="6">
                  <c:v>4.4843732435714294</c:v>
                </c:pt>
                <c:pt idx="7">
                  <c:v>4.2420816940000012</c:v>
                </c:pt>
                <c:pt idx="8">
                  <c:v>3.9997901444285722</c:v>
                </c:pt>
                <c:pt idx="9">
                  <c:v>3.757498594857144</c:v>
                </c:pt>
                <c:pt idx="10">
                  <c:v>3.5152070452857149</c:v>
                </c:pt>
                <c:pt idx="11">
                  <c:v>3.2729154957142867</c:v>
                </c:pt>
                <c:pt idx="12">
                  <c:v>3.0306239461428586</c:v>
                </c:pt>
                <c:pt idx="13">
                  <c:v>2.7883323965714295</c:v>
                </c:pt>
                <c:pt idx="14">
                  <c:v>2.5460408470000013</c:v>
                </c:pt>
                <c:pt idx="15">
                  <c:v>2.3037492974285727</c:v>
                </c:pt>
                <c:pt idx="16">
                  <c:v>2.0614577478571445</c:v>
                </c:pt>
                <c:pt idx="17">
                  <c:v>1.8191661982857161</c:v>
                </c:pt>
                <c:pt idx="18">
                  <c:v>1.5768746487142871</c:v>
                </c:pt>
                <c:pt idx="19">
                  <c:v>1.3345830991428589</c:v>
                </c:pt>
                <c:pt idx="20">
                  <c:v>1.09229154957143</c:v>
                </c:pt>
                <c:pt idx="21">
                  <c:v>0.85000000000000164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8D-A346-9044-E34890F5E7AD}"/>
            </c:ext>
          </c:extLst>
        </c:ser>
        <c:ser>
          <c:idx val="3"/>
          <c:order val="1"/>
          <c:tx>
            <c:v>Congruent weath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mixing'!$BV$13:$BV$33</c:f>
              <c:numCache>
                <c:formatCode>0.000</c:formatCode>
                <c:ptCount val="21"/>
                <c:pt idx="0">
                  <c:v>0.33974134223846059</c:v>
                </c:pt>
                <c:pt idx="1">
                  <c:v>0.33416067155226725</c:v>
                </c:pt>
                <c:pt idx="2">
                  <c:v>0.32828628135627436</c:v>
                </c:pt>
                <c:pt idx="3">
                  <c:v>0.3220943565550925</c:v>
                </c:pt>
                <c:pt idx="4">
                  <c:v>0.31555843593162286</c:v>
                </c:pt>
                <c:pt idx="5">
                  <c:v>0.30864903412966926</c:v>
                </c:pt>
                <c:pt idx="6">
                  <c:v>0.30133319692760069</c:v>
                </c:pt>
                <c:pt idx="7">
                  <c:v>0.29357397565267951</c:v>
                </c:pt>
                <c:pt idx="8">
                  <c:v>0.28532980304807576</c:v>
                </c:pt>
                <c:pt idx="9">
                  <c:v>0.27655374833994911</c:v>
                </c:pt>
                <c:pt idx="10">
                  <c:v>0.26719262331794752</c:v>
                </c:pt>
                <c:pt idx="11">
                  <c:v>0.25718590346684217</c:v>
                </c:pt>
                <c:pt idx="12">
                  <c:v>0.24646441791208659</c:v>
                </c:pt>
                <c:pt idx="13">
                  <c:v>0.23494874824216383</c:v>
                </c:pt>
                <c:pt idx="14">
                  <c:v>0.22254725782840093</c:v>
                </c:pt>
                <c:pt idx="15">
                  <c:v>0.20915364818153689</c:v>
                </c:pt>
                <c:pt idx="16">
                  <c:v>0.19464390439743429</c:v>
                </c:pt>
                <c:pt idx="17">
                  <c:v>0.17887244376254008</c:v>
                </c:pt>
                <c:pt idx="18">
                  <c:v>0.16166721397901918</c:v>
                </c:pt>
                <c:pt idx="19">
                  <c:v>0.14282339088278195</c:v>
                </c:pt>
                <c:pt idx="20">
                  <c:v>0.12209518547692116</c:v>
                </c:pt>
              </c:numCache>
            </c:numRef>
          </c:xVal>
          <c:yVal>
            <c:numRef>
              <c:f>'two-endmember mixing'!$BU$13:$BU$33</c:f>
              <c:numCache>
                <c:formatCode>0.000</c:formatCode>
                <c:ptCount val="21"/>
                <c:pt idx="0">
                  <c:v>3.3940612704999999</c:v>
                </c:pt>
                <c:pt idx="1">
                  <c:v>3.3288289302307685</c:v>
                </c:pt>
                <c:pt idx="2">
                  <c:v>3.2601633088947368</c:v>
                </c:pt>
                <c:pt idx="3">
                  <c:v>3.1877860323513509</c:v>
                </c:pt>
                <c:pt idx="4">
                  <c:v>3.1113877959999998</c:v>
                </c:pt>
                <c:pt idx="5">
                  <c:v>3.0306239461428568</c:v>
                </c:pt>
                <c:pt idx="6">
                  <c:v>2.9451092815882354</c:v>
                </c:pt>
                <c:pt idx="7">
                  <c:v>2.8544119100909091</c:v>
                </c:pt>
                <c:pt idx="8">
                  <c:v>2.7580459528749999</c:v>
                </c:pt>
                <c:pt idx="9">
                  <c:v>2.6554628371290319</c:v>
                </c:pt>
                <c:pt idx="10">
                  <c:v>2.546040847</c:v>
                </c:pt>
                <c:pt idx="11">
                  <c:v>2.4290725127241375</c:v>
                </c:pt>
                <c:pt idx="12">
                  <c:v>2.3037492974285714</c:v>
                </c:pt>
                <c:pt idx="13">
                  <c:v>2.1691428809999995</c:v>
                </c:pt>
                <c:pt idx="14">
                  <c:v>2.0241821248461531</c:v>
                </c:pt>
                <c:pt idx="15">
                  <c:v>1.8676245081999991</c:v>
                </c:pt>
                <c:pt idx="16">
                  <c:v>1.6980204234999992</c:v>
                </c:pt>
                <c:pt idx="17">
                  <c:v>1.5136681575217379</c:v>
                </c:pt>
                <c:pt idx="18">
                  <c:v>1.3125565946363622</c:v>
                </c:pt>
                <c:pt idx="19">
                  <c:v>1.092291549571426</c:v>
                </c:pt>
                <c:pt idx="20">
                  <c:v>0.84999999999999942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8D-A346-9044-E34890F5E7AD}"/>
            </c:ext>
          </c:extLst>
        </c:ser>
        <c:ser>
          <c:idx val="5"/>
          <c:order val="2"/>
          <c:tx>
            <c:v>Incongruent weath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'two-endmember mixing'!$BU$43:$BU$62</c:f>
              <c:numCache>
                <c:formatCode>0.000</c:formatCode>
                <c:ptCount val="20"/>
                <c:pt idx="0">
                  <c:v>6.3478350362119489</c:v>
                </c:pt>
                <c:pt idx="1">
                  <c:v>6.4697081710846209</c:v>
                </c:pt>
                <c:pt idx="2">
                  <c:v>6.5972909256141588</c:v>
                </c:pt>
                <c:pt idx="3">
                  <c:v>6.7309941578337389</c:v>
                </c:pt>
                <c:pt idx="4">
                  <c:v>6.8712691144148765</c:v>
                </c:pt>
                <c:pt idx="5">
                  <c:v>7.0186125186207944</c:v>
                </c:pt>
                <c:pt idx="6">
                  <c:v>7.1735724472843305</c:v>
                </c:pt>
                <c:pt idx="7">
                  <c:v>7.3367551433507465</c:v>
                </c:pt>
                <c:pt idx="8">
                  <c:v>7.5088329424774276</c:v>
                </c:pt>
                <c:pt idx="9">
                  <c:v>7.6905535321914558</c:v>
                </c:pt>
                <c:pt idx="10">
                  <c:v>7.8827508124946863</c:v>
                </c:pt>
                <c:pt idx="11">
                  <c:v>8.0863576906554666</c:v>
                </c:pt>
                <c:pt idx="12">
                  <c:v>8.3024212243539086</c:v>
                </c:pt>
                <c:pt idx="13">
                  <c:v>8.5321206319007832</c:v>
                </c:pt>
                <c:pt idx="14">
                  <c:v>8.7767888234634572</c:v>
                </c:pt>
                <c:pt idx="15">
                  <c:v>9.0379382834325579</c:v>
                </c:pt>
                <c:pt idx="16">
                  <c:v>9.3172923655362982</c:v>
                </c:pt>
                <c:pt idx="17">
                  <c:v>9.6168233690161653</c:v>
                </c:pt>
                <c:pt idx="18">
                  <c:v>9.9387991743060429</c:v>
                </c:pt>
                <c:pt idx="19">
                  <c:v>10.285840770463107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A3-584C-B805-9AC447D26A49}"/>
            </c:ext>
          </c:extLst>
        </c:ser>
        <c:ser>
          <c:idx val="1"/>
          <c:order val="3"/>
          <c:tx>
            <c:v>H9 basalt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mixing'!$D$18</c:f>
              <c:numCache>
                <c:formatCode>0.000</c:formatCode>
                <c:ptCount val="1"/>
                <c:pt idx="0">
                  <c:v>0.55738749899999995</c:v>
                </c:pt>
              </c:numCache>
            </c:numRef>
          </c:xVal>
          <c:yVal>
            <c:numRef>
              <c:f>'two-endmember mixing'!$D$17</c:f>
              <c:numCache>
                <c:formatCode>0.000</c:formatCode>
                <c:ptCount val="1"/>
                <c:pt idx="0">
                  <c:v>5.9381225410000003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8D-A346-9044-E34890F5E7AD}"/>
            </c:ext>
          </c:extLst>
        </c:ser>
        <c:ser>
          <c:idx val="2"/>
          <c:order val="4"/>
          <c:tx>
            <c:v>LFGL P6-A soil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'two-endmember mixing'!$G$17</c:f>
              <c:numCache>
                <c:formatCode>0.000</c:formatCode>
                <c:ptCount val="1"/>
                <c:pt idx="0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8D-A346-9044-E34890F5E7AD}"/>
            </c:ext>
          </c:extLst>
        </c:ser>
        <c:ser>
          <c:idx val="4"/>
          <c:order val="5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data'!$O$35:$O$50</c:f>
              <c:numCache>
                <c:formatCode>0.000</c:formatCode>
                <c:ptCount val="16"/>
                <c:pt idx="0">
                  <c:v>0.55739447818193211</c:v>
                </c:pt>
                <c:pt idx="1">
                  <c:v>0.59335541225818567</c:v>
                </c:pt>
                <c:pt idx="2">
                  <c:v>0.62931634633443934</c:v>
                </c:pt>
                <c:pt idx="3">
                  <c:v>0.52143354410567833</c:v>
                </c:pt>
                <c:pt idx="4">
                  <c:v>0.59335541225818567</c:v>
                </c:pt>
                <c:pt idx="5">
                  <c:v>0.59335541225818567</c:v>
                </c:pt>
                <c:pt idx="6">
                  <c:v>0.61732936830902141</c:v>
                </c:pt>
                <c:pt idx="7">
                  <c:v>1.006906154135103</c:v>
                </c:pt>
                <c:pt idx="8">
                  <c:v>0.5633879671946409</c:v>
                </c:pt>
                <c:pt idx="9">
                  <c:v>0.50345307706755149</c:v>
                </c:pt>
                <c:pt idx="10">
                  <c:v>0.54540750015651418</c:v>
                </c:pt>
                <c:pt idx="11">
                  <c:v>0.54540750015651418</c:v>
                </c:pt>
                <c:pt idx="12">
                  <c:v>0.59934890127089469</c:v>
                </c:pt>
                <c:pt idx="13">
                  <c:v>0.65329030238527519</c:v>
                </c:pt>
                <c:pt idx="14">
                  <c:v>0.58136843423276774</c:v>
                </c:pt>
                <c:pt idx="15">
                  <c:v>0.88703637388092405</c:v>
                </c:pt>
              </c:numCache>
            </c:numRef>
          </c:xVal>
          <c:yVal>
            <c:numRef>
              <c:f>'Morgan-Pompa solid data'!$G$35:$G$50</c:f>
              <c:numCache>
                <c:formatCode>0.000</c:formatCode>
                <c:ptCount val="16"/>
                <c:pt idx="0">
                  <c:v>4.7771121005466943</c:v>
                </c:pt>
                <c:pt idx="1">
                  <c:v>4.5812714873471228</c:v>
                </c:pt>
                <c:pt idx="2">
                  <c:v>5.0918559431888628</c:v>
                </c:pt>
                <c:pt idx="3">
                  <c:v>5.0079242518176175</c:v>
                </c:pt>
                <c:pt idx="4">
                  <c:v>4.8050893310037761</c:v>
                </c:pt>
                <c:pt idx="5">
                  <c:v>4.6791917939469085</c:v>
                </c:pt>
                <c:pt idx="6">
                  <c:v>4.9169982528321023</c:v>
                </c:pt>
                <c:pt idx="7">
                  <c:v>8.4631122132672036</c:v>
                </c:pt>
                <c:pt idx="8">
                  <c:v>4.6162430254184743</c:v>
                </c:pt>
                <c:pt idx="9">
                  <c:v>4.8960153299892912</c:v>
                </c:pt>
                <c:pt idx="10">
                  <c:v>4.4973397959758774</c:v>
                </c:pt>
                <c:pt idx="11">
                  <c:v>4.483351180747337</c:v>
                </c:pt>
                <c:pt idx="12">
                  <c:v>4.7141633320182601</c:v>
                </c:pt>
                <c:pt idx="13">
                  <c:v>5.945161472129854</c:v>
                </c:pt>
                <c:pt idx="14">
                  <c:v>4.6442202558755561</c:v>
                </c:pt>
                <c:pt idx="15">
                  <c:v>7.6937383756974578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3-584C-B805-9AC447D26A49}"/>
            </c:ext>
          </c:extLst>
        </c:ser>
        <c:ser>
          <c:idx val="6"/>
          <c:order val="6"/>
          <c:tx>
            <c:v>Ave EXPT</c:v>
          </c:tx>
          <c:spPr>
            <a:ln w="25400" cap="flat" cmpd="dbl" algn="ctr">
              <a:noFill/>
              <a:round/>
            </a:ln>
            <a:effectLst/>
          </c:spPr>
          <c:marker>
            <c:symbol val="plus"/>
            <c:size val="40"/>
            <c:spPr>
              <a:noFill/>
              <a:ln w="63500" cap="flat" cmpd="dbl" algn="ctr">
                <a:solidFill>
                  <a:schemeClr val="accent1">
                    <a:lumMod val="60000"/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'two-endmember mixing'!$D$39</c:f>
              <c:numCache>
                <c:formatCode>0.000</c:formatCode>
                <c:ptCount val="1"/>
                <c:pt idx="0">
                  <c:v>0.5783716897264134</c:v>
                </c:pt>
              </c:numCache>
            </c:numRef>
          </c:xVal>
          <c:yVal>
            <c:numRef>
              <c:f>'two-endmember mixing'!$D$38</c:f>
              <c:numCache>
                <c:formatCode>0.000</c:formatCode>
                <c:ptCount val="1"/>
                <c:pt idx="0">
                  <c:v>4.8325669680598375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A3-584C-B805-9AC447D26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Physical mixing &amp;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 only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'two-endmember mixing'!$U$13:$U$34</c:f>
              <c:numCache>
                <c:formatCode>0.000</c:formatCode>
                <c:ptCount val="22"/>
                <c:pt idx="0">
                  <c:v>0.55738749899999995</c:v>
                </c:pt>
                <c:pt idx="1">
                  <c:v>0.53665929359413911</c:v>
                </c:pt>
                <c:pt idx="2">
                  <c:v>0.51593108818827826</c:v>
                </c:pt>
                <c:pt idx="3">
                  <c:v>0.49520288278241725</c:v>
                </c:pt>
                <c:pt idx="4">
                  <c:v>0.47447467737655641</c:v>
                </c:pt>
                <c:pt idx="5">
                  <c:v>0.45374647197069551</c:v>
                </c:pt>
                <c:pt idx="6">
                  <c:v>0.43301826656483472</c:v>
                </c:pt>
                <c:pt idx="7">
                  <c:v>0.41229006115897376</c:v>
                </c:pt>
                <c:pt idx="8">
                  <c:v>0.39156185575311292</c:v>
                </c:pt>
                <c:pt idx="9">
                  <c:v>0.37083365034725202</c:v>
                </c:pt>
                <c:pt idx="10">
                  <c:v>0.35010544494139112</c:v>
                </c:pt>
                <c:pt idx="11">
                  <c:v>0.32937723953553028</c:v>
                </c:pt>
                <c:pt idx="12">
                  <c:v>0.30864903412966938</c:v>
                </c:pt>
                <c:pt idx="13">
                  <c:v>0.28792082872380842</c:v>
                </c:pt>
                <c:pt idx="14">
                  <c:v>0.26719262331794758</c:v>
                </c:pt>
                <c:pt idx="15">
                  <c:v>0.24646441791208668</c:v>
                </c:pt>
                <c:pt idx="16">
                  <c:v>0.2257362125062258</c:v>
                </c:pt>
                <c:pt idx="17">
                  <c:v>0.20500800710036493</c:v>
                </c:pt>
                <c:pt idx="18">
                  <c:v>0.184279801694504</c:v>
                </c:pt>
                <c:pt idx="19">
                  <c:v>0.16355159628864316</c:v>
                </c:pt>
                <c:pt idx="20">
                  <c:v>0.14282339088278223</c:v>
                </c:pt>
                <c:pt idx="21">
                  <c:v>0.12209518547692136</c:v>
                </c:pt>
              </c:numCache>
            </c:numRef>
          </c:xVal>
          <c:yVal>
            <c:numRef>
              <c:f>'two-endmember mixing'!$S$13:$S$34</c:f>
              <c:numCache>
                <c:formatCode>0.000</c:formatCode>
                <c:ptCount val="22"/>
                <c:pt idx="0">
                  <c:v>8.6798077679999999</c:v>
                </c:pt>
                <c:pt idx="1">
                  <c:v>8.3460073980952405</c:v>
                </c:pt>
                <c:pt idx="2">
                  <c:v>8.0122070281904758</c:v>
                </c:pt>
                <c:pt idx="3">
                  <c:v>7.6784066582857147</c:v>
                </c:pt>
                <c:pt idx="4">
                  <c:v>7.3446062883809535</c:v>
                </c:pt>
                <c:pt idx="5">
                  <c:v>7.0108059184761915</c:v>
                </c:pt>
                <c:pt idx="6">
                  <c:v>6.6770055485714295</c:v>
                </c:pt>
                <c:pt idx="7">
                  <c:v>6.3432051786666683</c:v>
                </c:pt>
                <c:pt idx="8">
                  <c:v>6.0094048087619063</c:v>
                </c:pt>
                <c:pt idx="9">
                  <c:v>5.6756044388571443</c:v>
                </c:pt>
                <c:pt idx="10">
                  <c:v>5.3418040689523831</c:v>
                </c:pt>
                <c:pt idx="11">
                  <c:v>5.0080036990476211</c:v>
                </c:pt>
                <c:pt idx="12">
                  <c:v>4.6742033291428591</c:v>
                </c:pt>
                <c:pt idx="13">
                  <c:v>4.340402959238097</c:v>
                </c:pt>
                <c:pt idx="14">
                  <c:v>4.006602589333335</c:v>
                </c:pt>
                <c:pt idx="15">
                  <c:v>3.6728022194285734</c:v>
                </c:pt>
                <c:pt idx="16">
                  <c:v>3.3390018495238114</c:v>
                </c:pt>
                <c:pt idx="17">
                  <c:v>3.0052014796190498</c:v>
                </c:pt>
                <c:pt idx="18">
                  <c:v>2.6714011097142878</c:v>
                </c:pt>
                <c:pt idx="19">
                  <c:v>2.3376007398095262</c:v>
                </c:pt>
                <c:pt idx="20">
                  <c:v>2.0038003699047637</c:v>
                </c:pt>
                <c:pt idx="21">
                  <c:v>1.6700000000000021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E-9340-BD0F-39A01FAE6902}"/>
            </c:ext>
          </c:extLst>
        </c:ser>
        <c:ser>
          <c:idx val="3"/>
          <c:order val="1"/>
          <c:tx>
            <c:v>Congruent weath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mixing'!$BV$13:$BV$33</c:f>
              <c:numCache>
                <c:formatCode>0.000</c:formatCode>
                <c:ptCount val="21"/>
                <c:pt idx="0">
                  <c:v>0.33974134223846059</c:v>
                </c:pt>
                <c:pt idx="1">
                  <c:v>0.33416067155226725</c:v>
                </c:pt>
                <c:pt idx="2">
                  <c:v>0.32828628135627436</c:v>
                </c:pt>
                <c:pt idx="3">
                  <c:v>0.3220943565550925</c:v>
                </c:pt>
                <c:pt idx="4">
                  <c:v>0.31555843593162286</c:v>
                </c:pt>
                <c:pt idx="5">
                  <c:v>0.30864903412966926</c:v>
                </c:pt>
                <c:pt idx="6">
                  <c:v>0.30133319692760069</c:v>
                </c:pt>
                <c:pt idx="7">
                  <c:v>0.29357397565267951</c:v>
                </c:pt>
                <c:pt idx="8">
                  <c:v>0.28532980304807576</c:v>
                </c:pt>
                <c:pt idx="9">
                  <c:v>0.27655374833994911</c:v>
                </c:pt>
                <c:pt idx="10">
                  <c:v>0.26719262331794752</c:v>
                </c:pt>
                <c:pt idx="11">
                  <c:v>0.25718590346684217</c:v>
                </c:pt>
                <c:pt idx="12">
                  <c:v>0.24646441791208659</c:v>
                </c:pt>
                <c:pt idx="13">
                  <c:v>0.23494874824216383</c:v>
                </c:pt>
                <c:pt idx="14">
                  <c:v>0.22254725782840093</c:v>
                </c:pt>
                <c:pt idx="15">
                  <c:v>0.20915364818153689</c:v>
                </c:pt>
                <c:pt idx="16">
                  <c:v>0.19464390439743429</c:v>
                </c:pt>
                <c:pt idx="17">
                  <c:v>0.17887244376254008</c:v>
                </c:pt>
                <c:pt idx="18">
                  <c:v>0.16166721397901918</c:v>
                </c:pt>
                <c:pt idx="19">
                  <c:v>0.14282339088278195</c:v>
                </c:pt>
                <c:pt idx="20">
                  <c:v>0.12209518547692116</c:v>
                </c:pt>
              </c:numCache>
            </c:numRef>
          </c:xVal>
          <c:yVal>
            <c:numRef>
              <c:f>'two-endmember mixing'!$BT$13:$BT$33</c:f>
              <c:numCache>
                <c:formatCode>0.000</c:formatCode>
                <c:ptCount val="21"/>
                <c:pt idx="0">
                  <c:v>5.1749038839999999</c:v>
                </c:pt>
                <c:pt idx="1">
                  <c:v>5.0850345536410257</c:v>
                </c:pt>
                <c:pt idx="2">
                  <c:v>4.9904352585263148</c:v>
                </c:pt>
                <c:pt idx="3">
                  <c:v>4.8907224879999998</c:v>
                </c:pt>
                <c:pt idx="4">
                  <c:v>4.7854701191111104</c:v>
                </c:pt>
                <c:pt idx="5">
                  <c:v>4.6742033291428564</c:v>
                </c:pt>
                <c:pt idx="6">
                  <c:v>4.5563914338823528</c:v>
                </c:pt>
                <c:pt idx="7">
                  <c:v>4.4314394237575767</c:v>
                </c:pt>
                <c:pt idx="8">
                  <c:v>4.2986779129999997</c:v>
                </c:pt>
                <c:pt idx="9">
                  <c:v>4.1573511434838704</c:v>
                </c:pt>
                <c:pt idx="10">
                  <c:v>4.0066025893333332</c:v>
                </c:pt>
                <c:pt idx="11">
                  <c:v>3.8454575831724132</c:v>
                </c:pt>
                <c:pt idx="12">
                  <c:v>3.6728022194285717</c:v>
                </c:pt>
                <c:pt idx="13">
                  <c:v>3.4873575694814809</c:v>
                </c:pt>
                <c:pt idx="14">
                  <c:v>3.2876479464615382</c:v>
                </c:pt>
                <c:pt idx="15">
                  <c:v>3.0719615535999991</c:v>
                </c:pt>
                <c:pt idx="16">
                  <c:v>2.8383012946666657</c:v>
                </c:pt>
                <c:pt idx="17">
                  <c:v>2.5843227523478243</c:v>
                </c:pt>
                <c:pt idx="18">
                  <c:v>2.307255251636362</c:v>
                </c:pt>
                <c:pt idx="19">
                  <c:v>2.0038003699047606</c:v>
                </c:pt>
                <c:pt idx="20">
                  <c:v>1.6699999999999993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3E-9340-BD0F-39A01FAE6902}"/>
            </c:ext>
          </c:extLst>
        </c:ser>
        <c:ser>
          <c:idx val="5"/>
          <c:order val="2"/>
          <c:tx>
            <c:v>Incongruent weath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'two-endmember mixing'!$BT$43:$BT$62</c:f>
              <c:numCache>
                <c:formatCode>0.000</c:formatCode>
                <c:ptCount val="20"/>
                <c:pt idx="0">
                  <c:v>8.4206821118315762</c:v>
                </c:pt>
                <c:pt idx="1">
                  <c:v>8.368447981598786</c:v>
                </c:pt>
                <c:pt idx="2">
                  <c:v>8.3137667409585383</c:v>
                </c:pt>
                <c:pt idx="3">
                  <c:v>8.2564622985020542</c:v>
                </c:pt>
                <c:pt idx="4">
                  <c:v>8.1963412524806056</c:v>
                </c:pt>
                <c:pt idx="5">
                  <c:v>8.1331907101377414</c:v>
                </c:pt>
                <c:pt idx="6">
                  <c:v>8.0667757688700732</c:v>
                </c:pt>
                <c:pt idx="7">
                  <c:v>7.9968365964103167</c:v>
                </c:pt>
                <c:pt idx="8">
                  <c:v>7.9230850335318754</c:v>
                </c:pt>
                <c:pt idx="9">
                  <c:v>7.8452006256267319</c:v>
                </c:pt>
                <c:pt idx="10">
                  <c:v>7.7628259679120877</c:v>
                </c:pt>
                <c:pt idx="11">
                  <c:v>7.6755612216556388</c:v>
                </c:pt>
                <c:pt idx="12">
                  <c:v>7.5829576239099001</c:v>
                </c:pt>
                <c:pt idx="13">
                  <c:v>7.4845097684351591</c:v>
                </c:pt>
                <c:pt idx="14">
                  <c:v>7.3796463775388981</c:v>
                </c:pt>
                <c:pt idx="15">
                  <c:v>7.2677192090410996</c:v>
                </c:pt>
                <c:pt idx="16">
                  <c:v>7.1479896433668175</c:v>
                </c:pt>
                <c:pt idx="17">
                  <c:v>7.0196123643145372</c:v>
                </c:pt>
                <c:pt idx="18">
                  <c:v>6.881615371270172</c:v>
                </c:pt>
                <c:pt idx="19">
                  <c:v>6.7328753232784475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59-984C-BAE2-2D498BE2D011}"/>
            </c:ext>
          </c:extLst>
        </c:ser>
        <c:ser>
          <c:idx val="1"/>
          <c:order val="3"/>
          <c:tx>
            <c:v>H9 basalt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mixing'!$D$18</c:f>
              <c:numCache>
                <c:formatCode>0.000</c:formatCode>
                <c:ptCount val="1"/>
                <c:pt idx="0">
                  <c:v>0.55738749899999995</c:v>
                </c:pt>
              </c:numCache>
            </c:numRef>
          </c:xVal>
          <c:yVal>
            <c:numRef>
              <c:f>'two-endmember mixing'!$D$16</c:f>
              <c:numCache>
                <c:formatCode>0.000</c:formatCode>
                <c:ptCount val="1"/>
                <c:pt idx="0">
                  <c:v>8.6798077679999999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3E-9340-BD0F-39A01FAE6902}"/>
            </c:ext>
          </c:extLst>
        </c:ser>
        <c:ser>
          <c:idx val="2"/>
          <c:order val="4"/>
          <c:tx>
            <c:v>LFGL P6-A soil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'two-endmember mixing'!$G$16</c:f>
              <c:numCache>
                <c:formatCode>0.000</c:formatCode>
                <c:ptCount val="1"/>
                <c:pt idx="0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E-9340-BD0F-39A01FAE6902}"/>
            </c:ext>
          </c:extLst>
        </c:ser>
        <c:ser>
          <c:idx val="4"/>
          <c:order val="5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data'!$O$35:$O$50</c:f>
              <c:numCache>
                <c:formatCode>0.000</c:formatCode>
                <c:ptCount val="16"/>
                <c:pt idx="0">
                  <c:v>0.55739447818193211</c:v>
                </c:pt>
                <c:pt idx="1">
                  <c:v>0.59335541225818567</c:v>
                </c:pt>
                <c:pt idx="2">
                  <c:v>0.62931634633443934</c:v>
                </c:pt>
                <c:pt idx="3">
                  <c:v>0.52143354410567833</c:v>
                </c:pt>
                <c:pt idx="4">
                  <c:v>0.59335541225818567</c:v>
                </c:pt>
                <c:pt idx="5">
                  <c:v>0.59335541225818567</c:v>
                </c:pt>
                <c:pt idx="6">
                  <c:v>0.61732936830902141</c:v>
                </c:pt>
                <c:pt idx="7">
                  <c:v>1.006906154135103</c:v>
                </c:pt>
                <c:pt idx="8">
                  <c:v>0.5633879671946409</c:v>
                </c:pt>
                <c:pt idx="9">
                  <c:v>0.50345307706755149</c:v>
                </c:pt>
                <c:pt idx="10">
                  <c:v>0.54540750015651418</c:v>
                </c:pt>
                <c:pt idx="11">
                  <c:v>0.54540750015651418</c:v>
                </c:pt>
                <c:pt idx="12">
                  <c:v>0.59934890127089469</c:v>
                </c:pt>
                <c:pt idx="13">
                  <c:v>0.65329030238527519</c:v>
                </c:pt>
                <c:pt idx="14">
                  <c:v>0.58136843423276774</c:v>
                </c:pt>
                <c:pt idx="15">
                  <c:v>0.88703637388092405</c:v>
                </c:pt>
              </c:numCache>
            </c:numRef>
          </c:xVal>
          <c:yVal>
            <c:numRef>
              <c:f>'Morgan-Pompa solid data'!$D$35:$D$50</c:f>
              <c:numCache>
                <c:formatCode>0.000</c:formatCode>
                <c:ptCount val="16"/>
                <c:pt idx="0">
                  <c:v>6.0335775443551949</c:v>
                </c:pt>
                <c:pt idx="1">
                  <c:v>4.8162768117221288</c:v>
                </c:pt>
                <c:pt idx="2">
                  <c:v>6.2452820195957282</c:v>
                </c:pt>
                <c:pt idx="3">
                  <c:v>6.6157648512666603</c:v>
                </c:pt>
                <c:pt idx="4">
                  <c:v>5.9806514255450614</c:v>
                </c:pt>
                <c:pt idx="5">
                  <c:v>4.8744955424132765</c:v>
                </c:pt>
                <c:pt idx="6">
                  <c:v>4.9168364374613827</c:v>
                </c:pt>
                <c:pt idx="7">
                  <c:v>7.7272133462794601</c:v>
                </c:pt>
                <c:pt idx="8">
                  <c:v>4.8003989760790891</c:v>
                </c:pt>
                <c:pt idx="9">
                  <c:v>6.8274693265071935</c:v>
                </c:pt>
                <c:pt idx="10">
                  <c:v>5.170881807750022</c:v>
                </c:pt>
                <c:pt idx="11">
                  <c:v>4.9115438255803685</c:v>
                </c:pt>
                <c:pt idx="12">
                  <c:v>4.8956659899373287</c:v>
                </c:pt>
                <c:pt idx="13">
                  <c:v>8.5211051284314596</c:v>
                </c:pt>
                <c:pt idx="14">
                  <c:v>5.4513902374437286</c:v>
                </c:pt>
                <c:pt idx="15">
                  <c:v>7.7272133462794601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9-984C-BAE2-2D498BE2D011}"/>
            </c:ext>
          </c:extLst>
        </c:ser>
        <c:ser>
          <c:idx val="6"/>
          <c:order val="6"/>
          <c:tx>
            <c:v>Ave EXPT</c:v>
          </c:tx>
          <c:spPr>
            <a:ln w="25400" cap="flat" cmpd="dbl" algn="ctr">
              <a:noFill/>
              <a:round/>
            </a:ln>
            <a:effectLst/>
          </c:spPr>
          <c:marker>
            <c:symbol val="plus"/>
            <c:size val="40"/>
            <c:spPr>
              <a:noFill/>
              <a:ln w="63500" cap="flat" cmpd="dbl" algn="ctr">
                <a:solidFill>
                  <a:schemeClr val="accent1">
                    <a:lumMod val="60000"/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'two-endmember mixing'!$D$39</c:f>
              <c:numCache>
                <c:formatCode>0.000</c:formatCode>
                <c:ptCount val="1"/>
                <c:pt idx="0">
                  <c:v>0.5783716897264134</c:v>
                </c:pt>
              </c:numCache>
            </c:numRef>
          </c:xVal>
          <c:yVal>
            <c:numRef>
              <c:f>'two-endmember mixing'!$D$37</c:f>
              <c:numCache>
                <c:formatCode>0.000</c:formatCode>
                <c:ptCount val="1"/>
                <c:pt idx="0">
                  <c:v>5.7186671374349016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59-984C-BAE2-2D498BE2D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Al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Physical mixing &amp;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 only</c:v>
          </c:tx>
          <c:spPr>
            <a:ln w="25400" cap="flat" cmpd="dbl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'two-endmember mixing'!$U$13:$U$34</c:f>
              <c:numCache>
                <c:formatCode>0.000</c:formatCode>
                <c:ptCount val="22"/>
                <c:pt idx="0">
                  <c:v>0.55738749899999995</c:v>
                </c:pt>
                <c:pt idx="1">
                  <c:v>0.53665929359413911</c:v>
                </c:pt>
                <c:pt idx="2">
                  <c:v>0.51593108818827826</c:v>
                </c:pt>
                <c:pt idx="3">
                  <c:v>0.49520288278241725</c:v>
                </c:pt>
                <c:pt idx="4">
                  <c:v>0.47447467737655641</c:v>
                </c:pt>
                <c:pt idx="5">
                  <c:v>0.45374647197069551</c:v>
                </c:pt>
                <c:pt idx="6">
                  <c:v>0.43301826656483472</c:v>
                </c:pt>
                <c:pt idx="7">
                  <c:v>0.41229006115897376</c:v>
                </c:pt>
                <c:pt idx="8">
                  <c:v>0.39156185575311292</c:v>
                </c:pt>
                <c:pt idx="9">
                  <c:v>0.37083365034725202</c:v>
                </c:pt>
                <c:pt idx="10">
                  <c:v>0.35010544494139112</c:v>
                </c:pt>
                <c:pt idx="11">
                  <c:v>0.32937723953553028</c:v>
                </c:pt>
                <c:pt idx="12">
                  <c:v>0.30864903412966938</c:v>
                </c:pt>
                <c:pt idx="13">
                  <c:v>0.28792082872380842</c:v>
                </c:pt>
                <c:pt idx="14">
                  <c:v>0.26719262331794758</c:v>
                </c:pt>
                <c:pt idx="15">
                  <c:v>0.24646441791208668</c:v>
                </c:pt>
                <c:pt idx="16">
                  <c:v>0.2257362125062258</c:v>
                </c:pt>
                <c:pt idx="17">
                  <c:v>0.20500800710036493</c:v>
                </c:pt>
                <c:pt idx="18">
                  <c:v>0.184279801694504</c:v>
                </c:pt>
                <c:pt idx="19">
                  <c:v>0.16355159628864316</c:v>
                </c:pt>
                <c:pt idx="20">
                  <c:v>0.14282339088278223</c:v>
                </c:pt>
                <c:pt idx="21">
                  <c:v>0.12209518547692136</c:v>
                </c:pt>
              </c:numCache>
            </c:numRef>
          </c:xVal>
          <c:yVal>
            <c:numRef>
              <c:f>'two-endmember mixing'!$R$13:$R$34</c:f>
              <c:numCache>
                <c:formatCode>0.000</c:formatCode>
                <c:ptCount val="22"/>
                <c:pt idx="0">
                  <c:v>21.10389953</c:v>
                </c:pt>
                <c:pt idx="1">
                  <c:v>22.048951933333331</c:v>
                </c:pt>
                <c:pt idx="2">
                  <c:v>22.994004336666666</c:v>
                </c:pt>
                <c:pt idx="3">
                  <c:v>23.939056739999998</c:v>
                </c:pt>
                <c:pt idx="4">
                  <c:v>24.884109143333333</c:v>
                </c:pt>
                <c:pt idx="5">
                  <c:v>25.829161546666668</c:v>
                </c:pt>
                <c:pt idx="6">
                  <c:v>26.774213949999996</c:v>
                </c:pt>
                <c:pt idx="7">
                  <c:v>27.719266353333332</c:v>
                </c:pt>
                <c:pt idx="8">
                  <c:v>28.664318756666663</c:v>
                </c:pt>
                <c:pt idx="9">
                  <c:v>29.609371159999998</c:v>
                </c:pt>
                <c:pt idx="10">
                  <c:v>30.554423563333334</c:v>
                </c:pt>
                <c:pt idx="11">
                  <c:v>31.499475966666669</c:v>
                </c:pt>
                <c:pt idx="12">
                  <c:v>32.44452837</c:v>
                </c:pt>
                <c:pt idx="13">
                  <c:v>33.389580773333336</c:v>
                </c:pt>
                <c:pt idx="14">
                  <c:v>34.334633176666664</c:v>
                </c:pt>
                <c:pt idx="15">
                  <c:v>35.279685579999999</c:v>
                </c:pt>
                <c:pt idx="16">
                  <c:v>36.224737983333327</c:v>
                </c:pt>
                <c:pt idx="17">
                  <c:v>37.169790386666662</c:v>
                </c:pt>
                <c:pt idx="18">
                  <c:v>38.114842789999997</c:v>
                </c:pt>
                <c:pt idx="19">
                  <c:v>39.059895193333325</c:v>
                </c:pt>
                <c:pt idx="20">
                  <c:v>40.004947596666661</c:v>
                </c:pt>
                <c:pt idx="21">
                  <c:v>40.949999999999996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97-D642-96DD-AC99D9C9C291}"/>
            </c:ext>
          </c:extLst>
        </c:ser>
        <c:ser>
          <c:idx val="3"/>
          <c:order val="1"/>
          <c:tx>
            <c:v>Congruent weath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mixing'!$BV$13:$BV$33</c:f>
              <c:numCache>
                <c:formatCode>0.000</c:formatCode>
                <c:ptCount val="21"/>
                <c:pt idx="0">
                  <c:v>0.33974134223846059</c:v>
                </c:pt>
                <c:pt idx="1">
                  <c:v>0.33416067155226725</c:v>
                </c:pt>
                <c:pt idx="2">
                  <c:v>0.32828628135627436</c:v>
                </c:pt>
                <c:pt idx="3">
                  <c:v>0.3220943565550925</c:v>
                </c:pt>
                <c:pt idx="4">
                  <c:v>0.31555843593162286</c:v>
                </c:pt>
                <c:pt idx="5">
                  <c:v>0.30864903412966926</c:v>
                </c:pt>
                <c:pt idx="6">
                  <c:v>0.30133319692760069</c:v>
                </c:pt>
                <c:pt idx="7">
                  <c:v>0.29357397565267951</c:v>
                </c:pt>
                <c:pt idx="8">
                  <c:v>0.28532980304807576</c:v>
                </c:pt>
                <c:pt idx="9">
                  <c:v>0.27655374833994911</c:v>
                </c:pt>
                <c:pt idx="10">
                  <c:v>0.26719262331794752</c:v>
                </c:pt>
                <c:pt idx="11">
                  <c:v>0.25718590346684217</c:v>
                </c:pt>
                <c:pt idx="12">
                  <c:v>0.24646441791208659</c:v>
                </c:pt>
                <c:pt idx="13">
                  <c:v>0.23494874824216383</c:v>
                </c:pt>
                <c:pt idx="14">
                  <c:v>0.22254725782840093</c:v>
                </c:pt>
                <c:pt idx="15">
                  <c:v>0.20915364818153689</c:v>
                </c:pt>
                <c:pt idx="16">
                  <c:v>0.19464390439743429</c:v>
                </c:pt>
                <c:pt idx="17">
                  <c:v>0.17887244376254008</c:v>
                </c:pt>
                <c:pt idx="18">
                  <c:v>0.16166721397901918</c:v>
                </c:pt>
                <c:pt idx="19">
                  <c:v>0.14282339088278195</c:v>
                </c:pt>
                <c:pt idx="20">
                  <c:v>0.12209518547692116</c:v>
                </c:pt>
              </c:numCache>
            </c:numRef>
          </c:xVal>
          <c:yVal>
            <c:numRef>
              <c:f>'two-endmember mixing'!$BS$13:$BS$33</c:f>
              <c:numCache>
                <c:formatCode>0.000</c:formatCode>
                <c:ptCount val="21"/>
                <c:pt idx="0">
                  <c:v>31.026949765000001</c:v>
                </c:pt>
                <c:pt idx="1">
                  <c:v>31.281386950512825</c:v>
                </c:pt>
                <c:pt idx="2">
                  <c:v>31.549215566842104</c:v>
                </c:pt>
                <c:pt idx="3">
                  <c:v>31.831521405675677</c:v>
                </c:pt>
                <c:pt idx="4">
                  <c:v>32.129510902222222</c:v>
                </c:pt>
                <c:pt idx="5">
                  <c:v>32.44452837</c:v>
                </c:pt>
                <c:pt idx="6">
                  <c:v>32.77807627705883</c:v>
                </c:pt>
                <c:pt idx="7">
                  <c:v>33.131839208787881</c:v>
                </c:pt>
                <c:pt idx="8">
                  <c:v>33.507712323749999</c:v>
                </c:pt>
                <c:pt idx="9">
                  <c:v>33.907835317096783</c:v>
                </c:pt>
                <c:pt idx="10">
                  <c:v>34.334633176666671</c:v>
                </c:pt>
                <c:pt idx="11">
                  <c:v>34.790865371379311</c:v>
                </c:pt>
                <c:pt idx="12">
                  <c:v>35.279685579999999</c:v>
                </c:pt>
                <c:pt idx="13">
                  <c:v>35.80471469296296</c:v>
                </c:pt>
                <c:pt idx="14">
                  <c:v>36.370130660769235</c:v>
                </c:pt>
                <c:pt idx="15">
                  <c:v>36.980779906000002</c:v>
                </c:pt>
                <c:pt idx="16">
                  <c:v>37.642316588333344</c:v>
                </c:pt>
                <c:pt idx="17">
                  <c:v>38.361378199565216</c:v>
                </c:pt>
                <c:pt idx="18">
                  <c:v>39.145809048181832</c:v>
                </c:pt>
                <c:pt idx="19">
                  <c:v>40.004947596666668</c:v>
                </c:pt>
                <c:pt idx="20">
                  <c:v>40.949999999999996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97-D642-96DD-AC99D9C9C291}"/>
            </c:ext>
          </c:extLst>
        </c:ser>
        <c:ser>
          <c:idx val="5"/>
          <c:order val="2"/>
          <c:tx>
            <c:v>Incongruent weath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'two-endmember mixing'!$BS$43:$BS$62</c:f>
              <c:numCache>
                <c:formatCode>0.000</c:formatCode>
                <c:ptCount val="20"/>
                <c:pt idx="0">
                  <c:v>22.318724097259555</c:v>
                </c:pt>
                <c:pt idx="1">
                  <c:v>22.263529141613606</c:v>
                </c:pt>
                <c:pt idx="2">
                  <c:v>22.205748364210915</c:v>
                </c:pt>
                <c:pt idx="3">
                  <c:v>22.145195692124577</c:v>
                </c:pt>
                <c:pt idx="4">
                  <c:v>22.081666760873063</c:v>
                </c:pt>
                <c:pt idx="5">
                  <c:v>22.014936610144069</c:v>
                </c:pt>
                <c:pt idx="6">
                  <c:v>21.94475702217812</c:v>
                </c:pt>
                <c:pt idx="7">
                  <c:v>21.870853436445451</c:v>
                </c:pt>
                <c:pt idx="8">
                  <c:v>21.792921359779236</c:v>
                </c:pt>
                <c:pt idx="9">
                  <c:v>21.710622173008503</c:v>
                </c:pt>
                <c:pt idx="10">
                  <c:v>21.623578212313706</c:v>
                </c:pt>
                <c:pt idx="11">
                  <c:v>21.531366974611206</c:v>
                </c:pt>
                <c:pt idx="12">
                  <c:v>21.433514259395082</c:v>
                </c:pt>
                <c:pt idx="13">
                  <c:v>21.329486012114035</c:v>
                </c:pt>
                <c:pt idx="14">
                  <c:v>21.218678572924222</c:v>
                </c:pt>
                <c:pt idx="15">
                  <c:v>21.100406954859945</c:v>
                </c:pt>
                <c:pt idx="16">
                  <c:v>20.973890670632592</c:v>
                </c:pt>
                <c:pt idx="17">
                  <c:v>20.838236488364046</c:v>
                </c:pt>
                <c:pt idx="18">
                  <c:v>20.692417310818399</c:v>
                </c:pt>
                <c:pt idx="19">
                  <c:v>20.53524612188329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97-D642-96DD-AC99D9C9C291}"/>
            </c:ext>
          </c:extLst>
        </c:ser>
        <c:ser>
          <c:idx val="1"/>
          <c:order val="3"/>
          <c:tx>
            <c:v>H9 basalt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mixing'!$D$18</c:f>
              <c:numCache>
                <c:formatCode>0.000</c:formatCode>
                <c:ptCount val="1"/>
                <c:pt idx="0">
                  <c:v>0.55738749899999995</c:v>
                </c:pt>
              </c:numCache>
            </c:numRef>
          </c:xVal>
          <c:yVal>
            <c:numRef>
              <c:f>'two-endmember mixing'!$D$15</c:f>
              <c:numCache>
                <c:formatCode>0.000</c:formatCode>
                <c:ptCount val="1"/>
                <c:pt idx="0">
                  <c:v>21.10389953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97-D642-96DD-AC99D9C9C291}"/>
            </c:ext>
          </c:extLst>
        </c:ser>
        <c:ser>
          <c:idx val="2"/>
          <c:order val="4"/>
          <c:tx>
            <c:v>P6-A LFGL soil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'two-endmember mixing'!$G$15</c:f>
              <c:numCache>
                <c:formatCode>0.000</c:formatCode>
                <c:ptCount val="1"/>
                <c:pt idx="0">
                  <c:v>40.950000000000003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97-D642-96DD-AC99D9C9C291}"/>
            </c:ext>
          </c:extLst>
        </c:ser>
        <c:ser>
          <c:idx val="4"/>
          <c:order val="5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data'!$O$35:$O$50</c:f>
              <c:numCache>
                <c:formatCode>0.000</c:formatCode>
                <c:ptCount val="16"/>
                <c:pt idx="0">
                  <c:v>0.55739447818193211</c:v>
                </c:pt>
                <c:pt idx="1">
                  <c:v>0.59335541225818567</c:v>
                </c:pt>
                <c:pt idx="2">
                  <c:v>0.62931634633443934</c:v>
                </c:pt>
                <c:pt idx="3">
                  <c:v>0.52143354410567833</c:v>
                </c:pt>
                <c:pt idx="4">
                  <c:v>0.59335541225818567</c:v>
                </c:pt>
                <c:pt idx="5">
                  <c:v>0.59335541225818567</c:v>
                </c:pt>
                <c:pt idx="6">
                  <c:v>0.61732936830902141</c:v>
                </c:pt>
                <c:pt idx="7">
                  <c:v>1.006906154135103</c:v>
                </c:pt>
                <c:pt idx="8">
                  <c:v>0.5633879671946409</c:v>
                </c:pt>
                <c:pt idx="9">
                  <c:v>0.50345307706755149</c:v>
                </c:pt>
                <c:pt idx="10">
                  <c:v>0.54540750015651418</c:v>
                </c:pt>
                <c:pt idx="11">
                  <c:v>0.54540750015651418</c:v>
                </c:pt>
                <c:pt idx="12">
                  <c:v>0.59934890127089469</c:v>
                </c:pt>
                <c:pt idx="13">
                  <c:v>0.65329030238527519</c:v>
                </c:pt>
                <c:pt idx="14">
                  <c:v>0.58136843423276774</c:v>
                </c:pt>
                <c:pt idx="15">
                  <c:v>0.88703637388092405</c:v>
                </c:pt>
              </c:numCache>
            </c:numRef>
          </c:xVal>
          <c:yVal>
            <c:numRef>
              <c:f>'Morgan-Pompa solid data'!$M$35:$M$50</c:f>
              <c:numCache>
                <c:formatCode>0.000</c:formatCode>
                <c:ptCount val="16"/>
                <c:pt idx="0">
                  <c:v>28.372936222621657</c:v>
                </c:pt>
                <c:pt idx="1">
                  <c:v>28.793622262166302</c:v>
                </c:pt>
                <c:pt idx="2">
                  <c:v>28.559907795752615</c:v>
                </c:pt>
                <c:pt idx="3">
                  <c:v>25.942305771919312</c:v>
                </c:pt>
                <c:pt idx="4">
                  <c:v>24.820476333133616</c:v>
                </c:pt>
                <c:pt idx="5">
                  <c:v>27.017392317422274</c:v>
                </c:pt>
                <c:pt idx="6">
                  <c:v>26.690192064443114</c:v>
                </c:pt>
                <c:pt idx="7">
                  <c:v>21.735445376472935</c:v>
                </c:pt>
                <c:pt idx="8">
                  <c:v>28.606650689035344</c:v>
                </c:pt>
                <c:pt idx="9">
                  <c:v>27.204363890553228</c:v>
                </c:pt>
                <c:pt idx="10">
                  <c:v>28.419679115904401</c:v>
                </c:pt>
                <c:pt idx="11">
                  <c:v>28.887108048731776</c:v>
                </c:pt>
                <c:pt idx="12">
                  <c:v>28.700136475600825</c:v>
                </c:pt>
                <c:pt idx="13">
                  <c:v>24.166075827175288</c:v>
                </c:pt>
                <c:pt idx="14">
                  <c:v>28.232707542773451</c:v>
                </c:pt>
                <c:pt idx="15">
                  <c:v>21.268016443645564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97-D642-96DD-AC99D9C9C291}"/>
            </c:ext>
          </c:extLst>
        </c:ser>
        <c:ser>
          <c:idx val="6"/>
          <c:order val="6"/>
          <c:tx>
            <c:v>Ave EXPT</c:v>
          </c:tx>
          <c:spPr>
            <a:ln w="25400" cap="flat" cmpd="dbl" algn="ctr">
              <a:noFill/>
              <a:round/>
            </a:ln>
            <a:effectLst/>
          </c:spPr>
          <c:marker>
            <c:symbol val="plus"/>
            <c:size val="40"/>
            <c:spPr>
              <a:noFill/>
              <a:ln w="63500" cap="flat" cmpd="dbl" algn="ctr">
                <a:solidFill>
                  <a:schemeClr val="accent1">
                    <a:lumMod val="60000"/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'two-endmember mixing'!$D$39</c:f>
              <c:numCache>
                <c:formatCode>0.000</c:formatCode>
                <c:ptCount val="1"/>
                <c:pt idx="0">
                  <c:v>0.5783716897264134</c:v>
                </c:pt>
              </c:numCache>
            </c:numRef>
          </c:xVal>
          <c:yVal>
            <c:numRef>
              <c:f>'two-endmember mixing'!$D$36</c:f>
              <c:numCache>
                <c:formatCode>0.000</c:formatCode>
                <c:ptCount val="1"/>
                <c:pt idx="0">
                  <c:v>27.458111025516651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897-D642-96DD-AC99D9C9C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Residual</a:t>
            </a:r>
            <a:r>
              <a:rPr lang="en-US" baseline="0"/>
              <a:t> solid</a:t>
            </a:r>
            <a:r>
              <a:rPr lang="en-US"/>
              <a:t>: Elemental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Mixing only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'plot selective diss'!$AB$13:$AB$34</c:f>
              <c:numCache>
                <c:formatCode>0.00</c:formatCode>
                <c:ptCount val="22"/>
                <c:pt idx="0">
                  <c:v>64.532579102202547</c:v>
                </c:pt>
                <c:pt idx="1">
                  <c:v>70.02656637298692</c:v>
                </c:pt>
                <c:pt idx="2">
                  <c:v>75.962009874082625</c:v>
                </c:pt>
                <c:pt idx="3">
                  <c:v>82.394345038547939</c:v>
                </c:pt>
                <c:pt idx="4">
                  <c:v>89.388694451131144</c:v>
                </c:pt>
                <c:pt idx="5">
                  <c:v>97.022080507568404</c:v>
                </c:pt>
                <c:pt idx="6">
                  <c:v>105.3862735822651</c:v>
                </c:pt>
                <c:pt idx="7">
                  <c:v>114.591499359129</c:v>
                </c:pt>
                <c:pt idx="8">
                  <c:v>124.77132369765901</c:v>
                </c:pt>
                <c:pt idx="9">
                  <c:v>136.08917577281457</c:v>
                </c:pt>
                <c:pt idx="10">
                  <c:v>148.74718845361994</c:v>
                </c:pt>
                <c:pt idx="11">
                  <c:v>162.99837671175243</c:v>
                </c:pt>
                <c:pt idx="12">
                  <c:v>179.16372328452309</c:v>
                </c:pt>
                <c:pt idx="13">
                  <c:v>197.656644598604</c:v>
                </c:pt>
                <c:pt idx="14">
                  <c:v>219.01884476322064</c:v>
                </c:pt>
                <c:pt idx="15">
                  <c:v>243.97426196650326</c:v>
                </c:pt>
                <c:pt idx="16">
                  <c:v>273.51273660692016</c:v>
                </c:pt>
                <c:pt idx="17">
                  <c:v>309.02443715575362</c:v>
                </c:pt>
                <c:pt idx="18">
                  <c:v>352.52500915462196</c:v>
                </c:pt>
                <c:pt idx="19">
                  <c:v>407.05193384128216</c:v>
                </c:pt>
                <c:pt idx="20">
                  <c:v>477.40603204719633</c:v>
                </c:pt>
                <c:pt idx="21">
                  <c:v>571.64828264929065</c:v>
                </c:pt>
              </c:numCache>
            </c:numRef>
          </c:xVal>
          <c:yVal>
            <c:numRef>
              <c:f>'plot selective diss'!$AA$13:$AA$34</c:f>
              <c:numCache>
                <c:formatCode>0.00</c:formatCode>
                <c:ptCount val="22"/>
                <c:pt idx="0">
                  <c:v>21.594216257336697</c:v>
                </c:pt>
                <c:pt idx="1">
                  <c:v>21.378286202046827</c:v>
                </c:pt>
                <c:pt idx="2">
                  <c:v>21.145005602694699</c:v>
                </c:pt>
                <c:pt idx="3">
                  <c:v>20.892195681730382</c:v>
                </c:pt>
                <c:pt idx="4">
                  <c:v>20.617296927703929</c:v>
                </c:pt>
                <c:pt idx="5">
                  <c:v>20.317282131167985</c:v>
                </c:pt>
                <c:pt idx="6">
                  <c:v>19.988544443208873</c:v>
                </c:pt>
                <c:pt idx="7">
                  <c:v>19.626751666308209</c:v>
                </c:pt>
                <c:pt idx="8">
                  <c:v>19.226654264563379</c:v>
                </c:pt>
                <c:pt idx="9">
                  <c:v>18.781828984871378</c:v>
                </c:pt>
                <c:pt idx="10">
                  <c:v>18.284331403731915</c:v>
                </c:pt>
                <c:pt idx="11">
                  <c:v>17.724217279534898</c:v>
                </c:pt>
                <c:pt idx="12">
                  <c:v>17.088871035141434</c:v>
                </c:pt>
                <c:pt idx="13">
                  <c:v>16.362044174246535</c:v>
                </c:pt>
                <c:pt idx="14">
                  <c:v>15.522446112709623</c:v>
                </c:pt>
                <c:pt idx="15">
                  <c:v>14.54162392458006</c:v>
                </c:pt>
                <c:pt idx="16">
                  <c:v>13.380673935452561</c:v>
                </c:pt>
                <c:pt idx="17">
                  <c:v>11.984958385887353</c:v>
                </c:pt>
                <c:pt idx="18">
                  <c:v>10.275256405541175</c:v>
                </c:pt>
                <c:pt idx="19">
                  <c:v>8.1321859392172939</c:v>
                </c:pt>
                <c:pt idx="20">
                  <c:v>5.3670604362411352</c:v>
                </c:pt>
                <c:pt idx="21">
                  <c:v>1.6630594292917633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82-3B46-BBCA-55B14F2ADAD8}"/>
            </c:ext>
          </c:extLst>
        </c:ser>
        <c:ser>
          <c:idx val="1"/>
          <c:order val="1"/>
          <c:tx>
            <c:v>Mix + weath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diss'!$CC$13:$CC$33</c:f>
              <c:numCache>
                <c:formatCode>0.000</c:formatCode>
                <c:ptCount val="21"/>
                <c:pt idx="0">
                  <c:v>155.65541018730315</c:v>
                </c:pt>
                <c:pt idx="1">
                  <c:v>159.55271601099778</c:v>
                </c:pt>
                <c:pt idx="2">
                  <c:v>163.79829128077213</c:v>
                </c:pt>
                <c:pt idx="3">
                  <c:v>168.44100224684431</c:v>
                </c:pt>
                <c:pt idx="4">
                  <c:v>173.53930571871919</c:v>
                </c:pt>
                <c:pt idx="5">
                  <c:v>179.16372328452317</c:v>
                </c:pt>
                <c:pt idx="6">
                  <c:v>185.40012317583333</c:v>
                </c:pt>
                <c:pt idx="7">
                  <c:v>192.35413504840176</c:v>
                </c:pt>
                <c:pt idx="8">
                  <c:v>200.15718180189143</c:v>
                </c:pt>
                <c:pt idx="9">
                  <c:v>208.97486436525253</c:v>
                </c:pt>
                <c:pt idx="10">
                  <c:v>219.01884476322076</c:v>
                </c:pt>
                <c:pt idx="11">
                  <c:v>230.56405752176158</c:v>
                </c:pt>
                <c:pt idx="12">
                  <c:v>243.97426196650338</c:v>
                </c:pt>
                <c:pt idx="13">
                  <c:v>259.74106557420919</c:v>
                </c:pt>
                <c:pt idx="14">
                  <c:v>278.5455020444906</c:v>
                </c:pt>
                <c:pt idx="15">
                  <c:v>301.35899421345243</c:v>
                </c:pt>
                <c:pt idx="16">
                  <c:v>329.61659699339498</c:v>
                </c:pt>
                <c:pt idx="17">
                  <c:v>365.53106952240262</c:v>
                </c:pt>
                <c:pt idx="18">
                  <c:v>412.70226759055959</c:v>
                </c:pt>
                <c:pt idx="19">
                  <c:v>477.4060320471973</c:v>
                </c:pt>
                <c:pt idx="20">
                  <c:v>571.64828264929156</c:v>
                </c:pt>
              </c:numCache>
            </c:numRef>
          </c:xVal>
          <c:yVal>
            <c:numRef>
              <c:f>'plot selective diss'!$CB$13:$CB$33</c:f>
              <c:numCache>
                <c:formatCode>0.000</c:formatCode>
                <c:ptCount val="21"/>
                <c:pt idx="0">
                  <c:v>18.012817723887522</c:v>
                </c:pt>
                <c:pt idx="1">
                  <c:v>17.859642002773814</c:v>
                </c:pt>
                <c:pt idx="2">
                  <c:v>17.692778255634334</c:v>
                </c:pt>
                <c:pt idx="3">
                  <c:v>17.510305893361139</c:v>
                </c:pt>
                <c:pt idx="4">
                  <c:v>17.30992738931533</c:v>
                </c:pt>
                <c:pt idx="5">
                  <c:v>17.088871035141434</c:v>
                </c:pt>
                <c:pt idx="6">
                  <c:v>16.843761953709564</c:v>
                </c:pt>
                <c:pt idx="7">
                  <c:v>16.570448585090173</c:v>
                </c:pt>
                <c:pt idx="8">
                  <c:v>16.263765618081774</c:v>
                </c:pt>
                <c:pt idx="9">
                  <c:v>15.917204443184248</c:v>
                </c:pt>
                <c:pt idx="10">
                  <c:v>15.522446112709618</c:v>
                </c:pt>
                <c:pt idx="11">
                  <c:v>15.068684881309979</c:v>
                </c:pt>
                <c:pt idx="12">
                  <c:v>14.541623924580055</c:v>
                </c:pt>
                <c:pt idx="13">
                  <c:v>13.921941605172274</c:v>
                </c:pt>
                <c:pt idx="14">
                  <c:v>13.182871271261019</c:v>
                </c:pt>
                <c:pt idx="15">
                  <c:v>12.2862331134708</c:v>
                </c:pt>
                <c:pt idx="16">
                  <c:v>11.175625201603333</c:v>
                </c:pt>
                <c:pt idx="17">
                  <c:v>9.764079514168909</c:v>
                </c:pt>
                <c:pt idx="18">
                  <c:v>7.9101110018806651</c:v>
                </c:pt>
                <c:pt idx="19">
                  <c:v>5.367060436241105</c:v>
                </c:pt>
                <c:pt idx="20">
                  <c:v>1.6630594292917269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82-3B46-BBCA-55B14F2ADAD8}"/>
            </c:ext>
          </c:extLst>
        </c:ser>
        <c:ser>
          <c:idx val="2"/>
          <c:order val="2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data'!$AA$35:$AA$50</c:f>
              <c:numCache>
                <c:formatCode>0.000</c:formatCode>
                <c:ptCount val="16"/>
                <c:pt idx="0">
                  <c:v>86.75677528163078</c:v>
                </c:pt>
                <c:pt idx="1">
                  <c:v>82.707172920873745</c:v>
                </c:pt>
                <c:pt idx="2">
                  <c:v>77.348085695898746</c:v>
                </c:pt>
                <c:pt idx="3">
                  <c:v>84.795223468752923</c:v>
                </c:pt>
                <c:pt idx="4">
                  <c:v>71.294657176922016</c:v>
                </c:pt>
                <c:pt idx="5">
                  <c:v>77.605107058871766</c:v>
                </c:pt>
                <c:pt idx="6">
                  <c:v>73.687961449440039</c:v>
                </c:pt>
                <c:pt idx="7">
                  <c:v>36.790977750197328</c:v>
                </c:pt>
                <c:pt idx="8">
                  <c:v>86.54086406690206</c:v>
                </c:pt>
                <c:pt idx="9">
                  <c:v>92.096124948881098</c:v>
                </c:pt>
                <c:pt idx="10">
                  <c:v>88.809585993528444</c:v>
                </c:pt>
                <c:pt idx="11">
                  <c:v>90.27026997368516</c:v>
                </c:pt>
                <c:pt idx="12">
                  <c:v>81.614256707276454</c:v>
                </c:pt>
                <c:pt idx="13">
                  <c:v>63.046604783883595</c:v>
                </c:pt>
                <c:pt idx="14">
                  <c:v>82.768076582818438</c:v>
                </c:pt>
                <c:pt idx="15">
                  <c:v>40.864608242154681</c:v>
                </c:pt>
              </c:numCache>
            </c:numRef>
          </c:xVal>
          <c:yVal>
            <c:numRef>
              <c:f>'Morgan-Pompa solid data'!$T$35:$T$50</c:f>
              <c:numCache>
                <c:formatCode>0.000</c:formatCode>
                <c:ptCount val="16"/>
                <c:pt idx="0">
                  <c:v>10.382895178116264</c:v>
                </c:pt>
                <c:pt idx="1">
                  <c:v>8.1136381198795373</c:v>
                </c:pt>
                <c:pt idx="2">
                  <c:v>8.7215444410194483</c:v>
                </c:pt>
                <c:pt idx="3">
                  <c:v>12.94878306696109</c:v>
                </c:pt>
                <c:pt idx="4">
                  <c:v>9.9550311683628365</c:v>
                </c:pt>
                <c:pt idx="5">
                  <c:v>8.1855675358359168</c:v>
                </c:pt>
                <c:pt idx="6">
                  <c:v>8.2824976614159702</c:v>
                </c:pt>
                <c:pt idx="7">
                  <c:v>9.833778724322082</c:v>
                </c:pt>
                <c:pt idx="8">
                  <c:v>8.7876320515218627</c:v>
                </c:pt>
                <c:pt idx="9">
                  <c:v>13.258646486930811</c:v>
                </c:pt>
                <c:pt idx="10">
                  <c:v>10.329380304592956</c:v>
                </c:pt>
                <c:pt idx="11">
                  <c:v>8.7799732589040129</c:v>
                </c:pt>
                <c:pt idx="12">
                  <c:v>8.3743103233054548</c:v>
                </c:pt>
                <c:pt idx="13">
                  <c:v>11.942394738034679</c:v>
                </c:pt>
                <c:pt idx="14">
                  <c:v>8.7654521057110539</c:v>
                </c:pt>
                <c:pt idx="15">
                  <c:v>11.162667741122366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82-3B46-BBCA-55B14F2ADAD8}"/>
            </c:ext>
          </c:extLst>
        </c:ser>
        <c:ser>
          <c:idx val="3"/>
          <c:order val="3"/>
          <c:tx>
            <c:v>Basalt control</c:v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20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data'!$AA$42,'Morgan-Pompa solid data'!$AA$50)</c:f>
              <c:numCache>
                <c:formatCode>0.000</c:formatCode>
                <c:ptCount val="2"/>
                <c:pt idx="0">
                  <c:v>36.790977750197328</c:v>
                </c:pt>
                <c:pt idx="1">
                  <c:v>40.864608242154681</c:v>
                </c:pt>
              </c:numCache>
            </c:numRef>
          </c:xVal>
          <c:yVal>
            <c:numRef>
              <c:f>('Morgan-Pompa solid data'!$T$42,'Morgan-Pompa solid data'!$T$50)</c:f>
              <c:numCache>
                <c:formatCode>0.000</c:formatCode>
                <c:ptCount val="2"/>
                <c:pt idx="0">
                  <c:v>9.833778724322082</c:v>
                </c:pt>
                <c:pt idx="1">
                  <c:v>11.162667741122366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82-3B46-BBCA-55B14F2AD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Residual solid: Elemental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'two-endmember mixing'!$AB$13:$AB$34</c:f>
              <c:numCache>
                <c:formatCode>0.00</c:formatCode>
                <c:ptCount val="22"/>
                <c:pt idx="0">
                  <c:v>64.532579102202547</c:v>
                </c:pt>
                <c:pt idx="1">
                  <c:v>70.02656637298692</c:v>
                </c:pt>
                <c:pt idx="2">
                  <c:v>75.962009874082625</c:v>
                </c:pt>
                <c:pt idx="3">
                  <c:v>82.394345038547939</c:v>
                </c:pt>
                <c:pt idx="4">
                  <c:v>89.388694451131144</c:v>
                </c:pt>
                <c:pt idx="5">
                  <c:v>97.022080507568404</c:v>
                </c:pt>
                <c:pt idx="6">
                  <c:v>105.3862735822651</c:v>
                </c:pt>
                <c:pt idx="7">
                  <c:v>114.591499359129</c:v>
                </c:pt>
                <c:pt idx="8">
                  <c:v>124.77132369765901</c:v>
                </c:pt>
                <c:pt idx="9">
                  <c:v>136.08917577281457</c:v>
                </c:pt>
                <c:pt idx="10">
                  <c:v>148.74718845361994</c:v>
                </c:pt>
                <c:pt idx="11">
                  <c:v>162.99837671175243</c:v>
                </c:pt>
                <c:pt idx="12">
                  <c:v>179.16372328452309</c:v>
                </c:pt>
                <c:pt idx="13">
                  <c:v>197.656644598604</c:v>
                </c:pt>
                <c:pt idx="14">
                  <c:v>219.01884476322064</c:v>
                </c:pt>
                <c:pt idx="15">
                  <c:v>243.97426196650326</c:v>
                </c:pt>
                <c:pt idx="16">
                  <c:v>273.51273660692016</c:v>
                </c:pt>
                <c:pt idx="17">
                  <c:v>309.02443715575362</c:v>
                </c:pt>
                <c:pt idx="18">
                  <c:v>352.52500915462196</c:v>
                </c:pt>
                <c:pt idx="19">
                  <c:v>407.05193384128216</c:v>
                </c:pt>
                <c:pt idx="20">
                  <c:v>477.40603204719633</c:v>
                </c:pt>
                <c:pt idx="21">
                  <c:v>571.64828264929065</c:v>
                </c:pt>
              </c:numCache>
            </c:numRef>
          </c:xVal>
          <c:yVal>
            <c:numRef>
              <c:f>'two-endmember mixing'!$Y$13:$Y$34</c:f>
              <c:numCache>
                <c:formatCode>0.00</c:formatCode>
                <c:ptCount val="22"/>
                <c:pt idx="0">
                  <c:v>12.934285235590384</c:v>
                </c:pt>
                <c:pt idx="1">
                  <c:v>12.813381794596609</c:v>
                </c:pt>
                <c:pt idx="2">
                  <c:v>12.682763446257379</c:v>
                </c:pt>
                <c:pt idx="3">
                  <c:v>12.541210250612993</c:v>
                </c:pt>
                <c:pt idx="4">
                  <c:v>12.387289087382237</c:v>
                </c:pt>
                <c:pt idx="5">
                  <c:v>12.219304963071481</c:v>
                </c:pt>
                <c:pt idx="6">
                  <c:v>12.03523833276734</c:v>
                </c:pt>
                <c:pt idx="7">
                  <c:v>11.832663514753873</c:v>
                </c:pt>
                <c:pt idx="8">
                  <c:v>11.608641191698013</c:v>
                </c:pt>
                <c:pt idx="9">
                  <c:v>11.359574859159991</c:v>
                </c:pt>
                <c:pt idx="10">
                  <c:v>11.081016279785324</c:v>
                </c:pt>
                <c:pt idx="11">
                  <c:v>10.767397479133772</c:v>
                </c:pt>
                <c:pt idx="12">
                  <c:v>10.411654750005489</c:v>
                </c:pt>
                <c:pt idx="13">
                  <c:v>10.004690243045452</c:v>
                </c:pt>
                <c:pt idx="14">
                  <c:v>9.5345829457762328</c:v>
                </c:pt>
                <c:pt idx="15">
                  <c:v>8.9854015111273444</c:v>
                </c:pt>
                <c:pt idx="16">
                  <c:v>8.3353630145467257</c:v>
                </c:pt>
                <c:pt idx="17">
                  <c:v>7.5538747110105771</c:v>
                </c:pt>
                <c:pt idx="18">
                  <c:v>6.5965792931947087</c:v>
                </c:pt>
                <c:pt idx="19">
                  <c:v>5.3966324246457411</c:v>
                </c:pt>
                <c:pt idx="20">
                  <c:v>3.8483848328935788</c:v>
                </c:pt>
                <c:pt idx="21">
                  <c:v>1.7744425714358019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1-4344-9038-7DE24B024F2B}"/>
            </c:ext>
          </c:extLst>
        </c:ser>
        <c:ser>
          <c:idx val="1"/>
          <c:order val="1"/>
          <c:tx>
            <c:v>Mix + weath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mixing'!$CC$13:$CC$33</c:f>
              <c:numCache>
                <c:formatCode>0.000</c:formatCode>
                <c:ptCount val="21"/>
                <c:pt idx="0">
                  <c:v>155.65541018730315</c:v>
                </c:pt>
                <c:pt idx="1">
                  <c:v>159.55271601099778</c:v>
                </c:pt>
                <c:pt idx="2">
                  <c:v>163.79829128077213</c:v>
                </c:pt>
                <c:pt idx="3">
                  <c:v>168.44100224684431</c:v>
                </c:pt>
                <c:pt idx="4">
                  <c:v>173.53930571871919</c:v>
                </c:pt>
                <c:pt idx="5">
                  <c:v>179.16372328452317</c:v>
                </c:pt>
                <c:pt idx="6">
                  <c:v>185.40012317583333</c:v>
                </c:pt>
                <c:pt idx="7">
                  <c:v>192.35413504840176</c:v>
                </c:pt>
                <c:pt idx="8">
                  <c:v>200.15718180189143</c:v>
                </c:pt>
                <c:pt idx="9">
                  <c:v>208.97486436525253</c:v>
                </c:pt>
                <c:pt idx="10">
                  <c:v>219.01884476322076</c:v>
                </c:pt>
                <c:pt idx="11">
                  <c:v>230.56405752176158</c:v>
                </c:pt>
                <c:pt idx="12">
                  <c:v>243.97426196650338</c:v>
                </c:pt>
                <c:pt idx="13">
                  <c:v>259.74106557420919</c:v>
                </c:pt>
                <c:pt idx="14">
                  <c:v>278.5455020444906</c:v>
                </c:pt>
                <c:pt idx="15">
                  <c:v>301.35899421345243</c:v>
                </c:pt>
                <c:pt idx="16">
                  <c:v>329.61659699339498</c:v>
                </c:pt>
                <c:pt idx="17">
                  <c:v>365.53106952240262</c:v>
                </c:pt>
                <c:pt idx="18">
                  <c:v>412.70226759055959</c:v>
                </c:pt>
                <c:pt idx="19">
                  <c:v>477.4060320471973</c:v>
                </c:pt>
                <c:pt idx="20">
                  <c:v>571.64828264929156</c:v>
                </c:pt>
              </c:numCache>
            </c:numRef>
          </c:xVal>
          <c:yVal>
            <c:numRef>
              <c:f>'two-endmember mixing'!$BZ$13:$BZ$33</c:f>
              <c:numCache>
                <c:formatCode>0.000</c:formatCode>
                <c:ptCount val="21"/>
                <c:pt idx="0">
                  <c:v>10.92899048547892</c:v>
                </c:pt>
                <c:pt idx="1">
                  <c:v>10.843224417691422</c:v>
                </c:pt>
                <c:pt idx="2">
                  <c:v>10.749794157697297</c:v>
                </c:pt>
                <c:pt idx="3">
                  <c:v>10.647624330271119</c:v>
                </c:pt>
                <c:pt idx="4">
                  <c:v>10.535428505526847</c:v>
                </c:pt>
                <c:pt idx="5">
                  <c:v>10.411654750005491</c:v>
                </c:pt>
                <c:pt idx="6">
                  <c:v>10.274413404310684</c:v>
                </c:pt>
                <c:pt idx="7">
                  <c:v>10.121379929228558</c:v>
                </c:pt>
                <c:pt idx="8">
                  <c:v>9.9496621664756209</c:v>
                </c:pt>
                <c:pt idx="9">
                  <c:v>9.7556158189039159</c:v>
                </c:pt>
                <c:pt idx="10">
                  <c:v>9.5345829457762346</c:v>
                </c:pt>
                <c:pt idx="11">
                  <c:v>9.2805131999405255</c:v>
                </c:pt>
                <c:pt idx="12">
                  <c:v>8.9854015111273444</c:v>
                </c:pt>
                <c:pt idx="13">
                  <c:v>8.6384293184938272</c:v>
                </c:pt>
                <c:pt idx="14">
                  <c:v>8.2246094526750895</c:v>
                </c:pt>
                <c:pt idx="15">
                  <c:v>7.722564295239148</c:v>
                </c:pt>
                <c:pt idx="16">
                  <c:v>7.1007133076152682</c:v>
                </c:pt>
                <c:pt idx="17">
                  <c:v>6.310361401755558</c:v>
                </c:pt>
                <c:pt idx="18">
                  <c:v>5.2722883445850401</c:v>
                </c:pt>
                <c:pt idx="19">
                  <c:v>3.848384832893565</c:v>
                </c:pt>
                <c:pt idx="20">
                  <c:v>1.7744425714357919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1-8A44-AE3B-005924080109}"/>
            </c:ext>
          </c:extLst>
        </c:ser>
        <c:ser>
          <c:idx val="2"/>
          <c:order val="2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data'!$AA$35:$AA$50</c:f>
              <c:numCache>
                <c:formatCode>0.000</c:formatCode>
                <c:ptCount val="16"/>
                <c:pt idx="0">
                  <c:v>86.75677528163078</c:v>
                </c:pt>
                <c:pt idx="1">
                  <c:v>82.707172920873745</c:v>
                </c:pt>
                <c:pt idx="2">
                  <c:v>77.348085695898746</c:v>
                </c:pt>
                <c:pt idx="3">
                  <c:v>84.795223468752923</c:v>
                </c:pt>
                <c:pt idx="4">
                  <c:v>71.294657176922016</c:v>
                </c:pt>
                <c:pt idx="5">
                  <c:v>77.605107058871766</c:v>
                </c:pt>
                <c:pt idx="6">
                  <c:v>73.687961449440039</c:v>
                </c:pt>
                <c:pt idx="7">
                  <c:v>36.790977750197328</c:v>
                </c:pt>
                <c:pt idx="8">
                  <c:v>86.54086406690206</c:v>
                </c:pt>
                <c:pt idx="9">
                  <c:v>92.096124948881098</c:v>
                </c:pt>
                <c:pt idx="10">
                  <c:v>88.809585993528444</c:v>
                </c:pt>
                <c:pt idx="11">
                  <c:v>90.27026997368516</c:v>
                </c:pt>
                <c:pt idx="12">
                  <c:v>81.614256707276454</c:v>
                </c:pt>
                <c:pt idx="13">
                  <c:v>63.046604783883595</c:v>
                </c:pt>
                <c:pt idx="14">
                  <c:v>82.768076582818438</c:v>
                </c:pt>
                <c:pt idx="15">
                  <c:v>40.864608242154681</c:v>
                </c:pt>
              </c:numCache>
            </c:numRef>
          </c:xVal>
          <c:yVal>
            <c:numRef>
              <c:f>'Morgan-Pompa solid data'!$W$35:$W$50</c:f>
              <c:numCache>
                <c:formatCode>0.000</c:formatCode>
                <c:ptCount val="16"/>
                <c:pt idx="0">
                  <c:v>9.481682492625934</c:v>
                </c:pt>
                <c:pt idx="1">
                  <c:v>8.9670824962607423</c:v>
                </c:pt>
                <c:pt idx="2">
                  <c:v>9.3605361159946305</c:v>
                </c:pt>
                <c:pt idx="3">
                  <c:v>9.9533787468115893</c:v>
                </c:pt>
                <c:pt idx="4">
                  <c:v>9.7877306711417447</c:v>
                </c:pt>
                <c:pt idx="5">
                  <c:v>9.2673196334123293</c:v>
                </c:pt>
                <c:pt idx="6">
                  <c:v>9.4653401141614975</c:v>
                </c:pt>
                <c:pt idx="7">
                  <c:v>10.804247835497835</c:v>
                </c:pt>
                <c:pt idx="8">
                  <c:v>9.5072964089937742</c:v>
                </c:pt>
                <c:pt idx="9">
                  <c:v>9.7898752221213989</c:v>
                </c:pt>
                <c:pt idx="10">
                  <c:v>9.5158675931055843</c:v>
                </c:pt>
                <c:pt idx="11">
                  <c:v>9.5811939152550494</c:v>
                </c:pt>
                <c:pt idx="12">
                  <c:v>9.2935403433902337</c:v>
                </c:pt>
                <c:pt idx="13">
                  <c:v>9.5078766056866897</c:v>
                </c:pt>
                <c:pt idx="14">
                  <c:v>9.4992554012187806</c:v>
                </c:pt>
                <c:pt idx="15">
                  <c:v>10.804885404708003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C-6C47-9954-E09E22AFE603}"/>
            </c:ext>
          </c:extLst>
        </c:ser>
        <c:ser>
          <c:idx val="3"/>
          <c:order val="3"/>
          <c:tx>
            <c:v>Basalt control</c:v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20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data'!$AA$42,'Morgan-Pompa solid data'!$AA$50)</c:f>
              <c:numCache>
                <c:formatCode>0.000</c:formatCode>
                <c:ptCount val="2"/>
                <c:pt idx="0">
                  <c:v>36.790977750197328</c:v>
                </c:pt>
                <c:pt idx="1">
                  <c:v>40.864608242154681</c:v>
                </c:pt>
              </c:numCache>
            </c:numRef>
          </c:xVal>
          <c:yVal>
            <c:numRef>
              <c:f>('Morgan-Pompa solid data'!$W$42,'Morgan-Pompa solid data'!$W$50)</c:f>
              <c:numCache>
                <c:formatCode>0.000</c:formatCode>
                <c:ptCount val="2"/>
                <c:pt idx="0">
                  <c:v>10.804247835497835</c:v>
                </c:pt>
                <c:pt idx="1">
                  <c:v>10.804885404708003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0-834F-A1C8-4DB71833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Mg/Ti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Residual solid: Elemental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'plot selective diss'!$AB$13:$AB$34</c:f>
              <c:numCache>
                <c:formatCode>0.00</c:formatCode>
                <c:ptCount val="22"/>
                <c:pt idx="0">
                  <c:v>64.532579102202547</c:v>
                </c:pt>
                <c:pt idx="1">
                  <c:v>70.02656637298692</c:v>
                </c:pt>
                <c:pt idx="2">
                  <c:v>75.962009874082625</c:v>
                </c:pt>
                <c:pt idx="3">
                  <c:v>82.394345038547939</c:v>
                </c:pt>
                <c:pt idx="4">
                  <c:v>89.388694451131144</c:v>
                </c:pt>
                <c:pt idx="5">
                  <c:v>97.022080507568404</c:v>
                </c:pt>
                <c:pt idx="6">
                  <c:v>105.3862735822651</c:v>
                </c:pt>
                <c:pt idx="7">
                  <c:v>114.591499359129</c:v>
                </c:pt>
                <c:pt idx="8">
                  <c:v>124.77132369765901</c:v>
                </c:pt>
                <c:pt idx="9">
                  <c:v>136.08917577281457</c:v>
                </c:pt>
                <c:pt idx="10">
                  <c:v>148.74718845361994</c:v>
                </c:pt>
                <c:pt idx="11">
                  <c:v>162.99837671175243</c:v>
                </c:pt>
                <c:pt idx="12">
                  <c:v>179.16372328452309</c:v>
                </c:pt>
                <c:pt idx="13">
                  <c:v>197.656644598604</c:v>
                </c:pt>
                <c:pt idx="14">
                  <c:v>219.01884476322064</c:v>
                </c:pt>
                <c:pt idx="15">
                  <c:v>243.97426196650326</c:v>
                </c:pt>
                <c:pt idx="16">
                  <c:v>273.51273660692016</c:v>
                </c:pt>
                <c:pt idx="17">
                  <c:v>309.02443715575362</c:v>
                </c:pt>
                <c:pt idx="18">
                  <c:v>352.52500915462196</c:v>
                </c:pt>
                <c:pt idx="19">
                  <c:v>407.05193384128216</c:v>
                </c:pt>
                <c:pt idx="20">
                  <c:v>477.40603204719633</c:v>
                </c:pt>
                <c:pt idx="21">
                  <c:v>571.64828264929065</c:v>
                </c:pt>
              </c:numCache>
            </c:numRef>
          </c:xVal>
          <c:yVal>
            <c:numRef>
              <c:f>'plot selective diss'!$Y$13:$Y$34</c:f>
              <c:numCache>
                <c:formatCode>0.00</c:formatCode>
                <c:ptCount val="22"/>
                <c:pt idx="0">
                  <c:v>12.934285235590384</c:v>
                </c:pt>
                <c:pt idx="1">
                  <c:v>12.813381794596609</c:v>
                </c:pt>
                <c:pt idx="2">
                  <c:v>12.682763446257379</c:v>
                </c:pt>
                <c:pt idx="3">
                  <c:v>12.541210250612993</c:v>
                </c:pt>
                <c:pt idx="4">
                  <c:v>12.387289087382237</c:v>
                </c:pt>
                <c:pt idx="5">
                  <c:v>12.219304963071481</c:v>
                </c:pt>
                <c:pt idx="6">
                  <c:v>12.03523833276734</c:v>
                </c:pt>
                <c:pt idx="7">
                  <c:v>11.832663514753873</c:v>
                </c:pt>
                <c:pt idx="8">
                  <c:v>11.608641191698013</c:v>
                </c:pt>
                <c:pt idx="9">
                  <c:v>11.359574859159991</c:v>
                </c:pt>
                <c:pt idx="10">
                  <c:v>11.081016279785324</c:v>
                </c:pt>
                <c:pt idx="11">
                  <c:v>10.767397479133772</c:v>
                </c:pt>
                <c:pt idx="12">
                  <c:v>10.411654750005489</c:v>
                </c:pt>
                <c:pt idx="13">
                  <c:v>10.004690243045452</c:v>
                </c:pt>
                <c:pt idx="14">
                  <c:v>9.5345829457762328</c:v>
                </c:pt>
                <c:pt idx="15">
                  <c:v>8.9854015111273444</c:v>
                </c:pt>
                <c:pt idx="16">
                  <c:v>8.3353630145467257</c:v>
                </c:pt>
                <c:pt idx="17">
                  <c:v>7.5538747110105771</c:v>
                </c:pt>
                <c:pt idx="18">
                  <c:v>6.5965792931947087</c:v>
                </c:pt>
                <c:pt idx="19">
                  <c:v>5.3966324246457411</c:v>
                </c:pt>
                <c:pt idx="20">
                  <c:v>3.8483848328935788</c:v>
                </c:pt>
                <c:pt idx="21">
                  <c:v>1.7744425714358019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C-1147-9415-D802C49A50F4}"/>
            </c:ext>
          </c:extLst>
        </c:ser>
        <c:ser>
          <c:idx val="1"/>
          <c:order val="1"/>
          <c:tx>
            <c:v>Mix + weath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diss'!$CC$13:$CC$33</c:f>
              <c:numCache>
                <c:formatCode>0.000</c:formatCode>
                <c:ptCount val="21"/>
                <c:pt idx="0">
                  <c:v>155.65541018730315</c:v>
                </c:pt>
                <c:pt idx="1">
                  <c:v>159.55271601099778</c:v>
                </c:pt>
                <c:pt idx="2">
                  <c:v>163.79829128077213</c:v>
                </c:pt>
                <c:pt idx="3">
                  <c:v>168.44100224684431</c:v>
                </c:pt>
                <c:pt idx="4">
                  <c:v>173.53930571871919</c:v>
                </c:pt>
                <c:pt idx="5">
                  <c:v>179.16372328452317</c:v>
                </c:pt>
                <c:pt idx="6">
                  <c:v>185.40012317583333</c:v>
                </c:pt>
                <c:pt idx="7">
                  <c:v>192.35413504840176</c:v>
                </c:pt>
                <c:pt idx="8">
                  <c:v>200.15718180189143</c:v>
                </c:pt>
                <c:pt idx="9">
                  <c:v>208.97486436525253</c:v>
                </c:pt>
                <c:pt idx="10">
                  <c:v>219.01884476322076</c:v>
                </c:pt>
                <c:pt idx="11">
                  <c:v>230.56405752176158</c:v>
                </c:pt>
                <c:pt idx="12">
                  <c:v>243.97426196650338</c:v>
                </c:pt>
                <c:pt idx="13">
                  <c:v>259.74106557420919</c:v>
                </c:pt>
                <c:pt idx="14">
                  <c:v>278.5455020444906</c:v>
                </c:pt>
                <c:pt idx="15">
                  <c:v>301.35899421345243</c:v>
                </c:pt>
                <c:pt idx="16">
                  <c:v>329.61659699339498</c:v>
                </c:pt>
                <c:pt idx="17">
                  <c:v>365.53106952240262</c:v>
                </c:pt>
                <c:pt idx="18">
                  <c:v>412.70226759055959</c:v>
                </c:pt>
                <c:pt idx="19">
                  <c:v>477.4060320471973</c:v>
                </c:pt>
                <c:pt idx="20">
                  <c:v>571.64828264929156</c:v>
                </c:pt>
              </c:numCache>
            </c:numRef>
          </c:xVal>
          <c:yVal>
            <c:numRef>
              <c:f>'plot selective diss'!$BZ$13:$BZ$33</c:f>
              <c:numCache>
                <c:formatCode>0.000</c:formatCode>
                <c:ptCount val="21"/>
                <c:pt idx="0">
                  <c:v>10.92899048547892</c:v>
                </c:pt>
                <c:pt idx="1">
                  <c:v>10.843224417691422</c:v>
                </c:pt>
                <c:pt idx="2">
                  <c:v>10.749794157697297</c:v>
                </c:pt>
                <c:pt idx="3">
                  <c:v>10.647624330271119</c:v>
                </c:pt>
                <c:pt idx="4">
                  <c:v>10.535428505526847</c:v>
                </c:pt>
                <c:pt idx="5">
                  <c:v>10.411654750005491</c:v>
                </c:pt>
                <c:pt idx="6">
                  <c:v>10.274413404310684</c:v>
                </c:pt>
                <c:pt idx="7">
                  <c:v>10.121379929228558</c:v>
                </c:pt>
                <c:pt idx="8">
                  <c:v>9.9496621664756209</c:v>
                </c:pt>
                <c:pt idx="9">
                  <c:v>9.7556158189039159</c:v>
                </c:pt>
                <c:pt idx="10">
                  <c:v>9.5345829457762346</c:v>
                </c:pt>
                <c:pt idx="11">
                  <c:v>9.2805131999405255</c:v>
                </c:pt>
                <c:pt idx="12">
                  <c:v>8.9854015111273444</c:v>
                </c:pt>
                <c:pt idx="13">
                  <c:v>8.6384293184938272</c:v>
                </c:pt>
                <c:pt idx="14">
                  <c:v>8.2246094526750895</c:v>
                </c:pt>
                <c:pt idx="15">
                  <c:v>7.722564295239148</c:v>
                </c:pt>
                <c:pt idx="16">
                  <c:v>7.1007133076152682</c:v>
                </c:pt>
                <c:pt idx="17">
                  <c:v>6.310361401755558</c:v>
                </c:pt>
                <c:pt idx="18">
                  <c:v>5.2722883445850401</c:v>
                </c:pt>
                <c:pt idx="19">
                  <c:v>3.848384832893565</c:v>
                </c:pt>
                <c:pt idx="20">
                  <c:v>1.7744425714357919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7C-1147-9415-D802C49A50F4}"/>
            </c:ext>
          </c:extLst>
        </c:ser>
        <c:ser>
          <c:idx val="2"/>
          <c:order val="2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data'!$AA$35:$AA$50</c:f>
              <c:numCache>
                <c:formatCode>0.000</c:formatCode>
                <c:ptCount val="16"/>
                <c:pt idx="0">
                  <c:v>86.75677528163078</c:v>
                </c:pt>
                <c:pt idx="1">
                  <c:v>82.707172920873745</c:v>
                </c:pt>
                <c:pt idx="2">
                  <c:v>77.348085695898746</c:v>
                </c:pt>
                <c:pt idx="3">
                  <c:v>84.795223468752923</c:v>
                </c:pt>
                <c:pt idx="4">
                  <c:v>71.294657176922016</c:v>
                </c:pt>
                <c:pt idx="5">
                  <c:v>77.605107058871766</c:v>
                </c:pt>
                <c:pt idx="6">
                  <c:v>73.687961449440039</c:v>
                </c:pt>
                <c:pt idx="7">
                  <c:v>36.790977750197328</c:v>
                </c:pt>
                <c:pt idx="8">
                  <c:v>86.54086406690206</c:v>
                </c:pt>
                <c:pt idx="9">
                  <c:v>92.096124948881098</c:v>
                </c:pt>
                <c:pt idx="10">
                  <c:v>88.809585993528444</c:v>
                </c:pt>
                <c:pt idx="11">
                  <c:v>90.27026997368516</c:v>
                </c:pt>
                <c:pt idx="12">
                  <c:v>81.614256707276454</c:v>
                </c:pt>
                <c:pt idx="13">
                  <c:v>63.046604783883595</c:v>
                </c:pt>
                <c:pt idx="14">
                  <c:v>82.768076582818438</c:v>
                </c:pt>
                <c:pt idx="15">
                  <c:v>40.864608242154681</c:v>
                </c:pt>
              </c:numCache>
            </c:numRef>
          </c:xVal>
          <c:yVal>
            <c:numRef>
              <c:f>'Morgan-Pompa solid data'!$W$35:$W$50</c:f>
              <c:numCache>
                <c:formatCode>0.000</c:formatCode>
                <c:ptCount val="16"/>
                <c:pt idx="0">
                  <c:v>9.481682492625934</c:v>
                </c:pt>
                <c:pt idx="1">
                  <c:v>8.9670824962607423</c:v>
                </c:pt>
                <c:pt idx="2">
                  <c:v>9.3605361159946305</c:v>
                </c:pt>
                <c:pt idx="3">
                  <c:v>9.9533787468115893</c:v>
                </c:pt>
                <c:pt idx="4">
                  <c:v>9.7877306711417447</c:v>
                </c:pt>
                <c:pt idx="5">
                  <c:v>9.2673196334123293</c:v>
                </c:pt>
                <c:pt idx="6">
                  <c:v>9.4653401141614975</c:v>
                </c:pt>
                <c:pt idx="7">
                  <c:v>10.804247835497835</c:v>
                </c:pt>
                <c:pt idx="8">
                  <c:v>9.5072964089937742</c:v>
                </c:pt>
                <c:pt idx="9">
                  <c:v>9.7898752221213989</c:v>
                </c:pt>
                <c:pt idx="10">
                  <c:v>9.5158675931055843</c:v>
                </c:pt>
                <c:pt idx="11">
                  <c:v>9.5811939152550494</c:v>
                </c:pt>
                <c:pt idx="12">
                  <c:v>9.2935403433902337</c:v>
                </c:pt>
                <c:pt idx="13">
                  <c:v>9.5078766056866897</c:v>
                </c:pt>
                <c:pt idx="14">
                  <c:v>9.4992554012187806</c:v>
                </c:pt>
                <c:pt idx="15">
                  <c:v>10.804885404708003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7C-1147-9415-D802C49A50F4}"/>
            </c:ext>
          </c:extLst>
        </c:ser>
        <c:ser>
          <c:idx val="3"/>
          <c:order val="3"/>
          <c:tx>
            <c:v>Basalt control</c:v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20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data'!$AA$42,'Morgan-Pompa solid data'!$AA$50)</c:f>
              <c:numCache>
                <c:formatCode>0.000</c:formatCode>
                <c:ptCount val="2"/>
                <c:pt idx="0">
                  <c:v>36.790977750197328</c:v>
                </c:pt>
                <c:pt idx="1">
                  <c:v>40.864608242154681</c:v>
                </c:pt>
              </c:numCache>
            </c:numRef>
          </c:xVal>
          <c:yVal>
            <c:numRef>
              <c:f>('Morgan-Pompa solid data'!$W$42,'Morgan-Pompa solid data'!$W$50)</c:f>
              <c:numCache>
                <c:formatCode>0.000</c:formatCode>
                <c:ptCount val="2"/>
                <c:pt idx="0">
                  <c:v>10.804247835497835</c:v>
                </c:pt>
                <c:pt idx="1">
                  <c:v>10.804885404708003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7C-1147-9415-D802C49A5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Mg/Ti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Physical mixing &amp;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Phys mix only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selective diss'!$U$13:$U$34</c:f>
              <c:numCache>
                <c:formatCode>0.000</c:formatCode>
                <c:ptCount val="22"/>
                <c:pt idx="0">
                  <c:v>0.55738749899999995</c:v>
                </c:pt>
                <c:pt idx="1">
                  <c:v>0.53665929359413911</c:v>
                </c:pt>
                <c:pt idx="2">
                  <c:v>0.51593108818827826</c:v>
                </c:pt>
                <c:pt idx="3">
                  <c:v>0.49520288278241725</c:v>
                </c:pt>
                <c:pt idx="4">
                  <c:v>0.47447467737655641</c:v>
                </c:pt>
                <c:pt idx="5">
                  <c:v>0.45374647197069551</c:v>
                </c:pt>
                <c:pt idx="6">
                  <c:v>0.43301826656483472</c:v>
                </c:pt>
                <c:pt idx="7">
                  <c:v>0.41229006115897376</c:v>
                </c:pt>
                <c:pt idx="8">
                  <c:v>0.39156185575311292</c:v>
                </c:pt>
                <c:pt idx="9">
                  <c:v>0.37083365034725202</c:v>
                </c:pt>
                <c:pt idx="10">
                  <c:v>0.35010544494139112</c:v>
                </c:pt>
                <c:pt idx="11">
                  <c:v>0.32937723953553028</c:v>
                </c:pt>
                <c:pt idx="12">
                  <c:v>0.30864903412966938</c:v>
                </c:pt>
                <c:pt idx="13">
                  <c:v>0.28792082872380842</c:v>
                </c:pt>
                <c:pt idx="14">
                  <c:v>0.26719262331794758</c:v>
                </c:pt>
                <c:pt idx="15">
                  <c:v>0.24646441791208668</c:v>
                </c:pt>
                <c:pt idx="16">
                  <c:v>0.2257362125062258</c:v>
                </c:pt>
                <c:pt idx="17">
                  <c:v>0.20500800710036493</c:v>
                </c:pt>
                <c:pt idx="18">
                  <c:v>0.184279801694504</c:v>
                </c:pt>
                <c:pt idx="19">
                  <c:v>0.16355159628864316</c:v>
                </c:pt>
                <c:pt idx="20">
                  <c:v>0.14282339088278223</c:v>
                </c:pt>
                <c:pt idx="21">
                  <c:v>0.12209518547692136</c:v>
                </c:pt>
              </c:numCache>
            </c:numRef>
          </c:xVal>
          <c:yVal>
            <c:numRef>
              <c:f>'plot selective diss'!$Q$13:$Q$34</c:f>
              <c:numCache>
                <c:formatCode>0.000</c:formatCode>
                <c:ptCount val="22"/>
                <c:pt idx="0">
                  <c:v>10.07713981</c:v>
                </c:pt>
                <c:pt idx="1">
                  <c:v>9.6053712476190487</c:v>
                </c:pt>
                <c:pt idx="2">
                  <c:v>9.1336026852380954</c:v>
                </c:pt>
                <c:pt idx="3">
                  <c:v>8.6618341228571438</c:v>
                </c:pt>
                <c:pt idx="4">
                  <c:v>8.1900655604761905</c:v>
                </c:pt>
                <c:pt idx="5">
                  <c:v>7.7182969980952389</c:v>
                </c:pt>
                <c:pt idx="6">
                  <c:v>7.2465284357142874</c:v>
                </c:pt>
                <c:pt idx="7">
                  <c:v>6.7747598733333341</c:v>
                </c:pt>
                <c:pt idx="8">
                  <c:v>6.3029913109523825</c:v>
                </c:pt>
                <c:pt idx="9">
                  <c:v>5.8312227485714301</c:v>
                </c:pt>
                <c:pt idx="10">
                  <c:v>5.3594541861904776</c:v>
                </c:pt>
                <c:pt idx="11">
                  <c:v>4.8876856238095261</c:v>
                </c:pt>
                <c:pt idx="12">
                  <c:v>4.4159170614285745</c:v>
                </c:pt>
                <c:pt idx="13">
                  <c:v>3.9441484990476212</c:v>
                </c:pt>
                <c:pt idx="14">
                  <c:v>3.4723799366666697</c:v>
                </c:pt>
                <c:pt idx="15">
                  <c:v>3.0006113742857163</c:v>
                </c:pt>
                <c:pt idx="16">
                  <c:v>2.5288428119047648</c:v>
                </c:pt>
                <c:pt idx="17">
                  <c:v>2.0570742495238128</c:v>
                </c:pt>
                <c:pt idx="18">
                  <c:v>1.5853056871428599</c:v>
                </c:pt>
                <c:pt idx="19">
                  <c:v>1.1135371247619081</c:v>
                </c:pt>
                <c:pt idx="20">
                  <c:v>0.64176856238095525</c:v>
                </c:pt>
                <c:pt idx="21">
                  <c:v>0.17000000000000332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4D-3C40-81BC-0D1C98BD9B74}"/>
            </c:ext>
          </c:extLst>
        </c:ser>
        <c:ser>
          <c:idx val="3"/>
          <c:order val="1"/>
          <c:tx>
            <c:v>Congruent weath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diss'!$BV$13:$BV$33</c:f>
              <c:numCache>
                <c:formatCode>0.000</c:formatCode>
                <c:ptCount val="21"/>
                <c:pt idx="0">
                  <c:v>0.33974134223846059</c:v>
                </c:pt>
                <c:pt idx="1">
                  <c:v>0.33416067155226725</c:v>
                </c:pt>
                <c:pt idx="2">
                  <c:v>0.32828628135627436</c:v>
                </c:pt>
                <c:pt idx="3">
                  <c:v>0.3220943565550925</c:v>
                </c:pt>
                <c:pt idx="4">
                  <c:v>0.31555843593162286</c:v>
                </c:pt>
                <c:pt idx="5">
                  <c:v>0.30864903412966926</c:v>
                </c:pt>
                <c:pt idx="6">
                  <c:v>0.30133319692760069</c:v>
                </c:pt>
                <c:pt idx="7">
                  <c:v>0.29357397565267951</c:v>
                </c:pt>
                <c:pt idx="8">
                  <c:v>0.28532980304807576</c:v>
                </c:pt>
                <c:pt idx="9">
                  <c:v>0.27655374833994911</c:v>
                </c:pt>
                <c:pt idx="10">
                  <c:v>0.26719262331794752</c:v>
                </c:pt>
                <c:pt idx="11">
                  <c:v>0.25718590346684217</c:v>
                </c:pt>
                <c:pt idx="12">
                  <c:v>0.24646441791208659</c:v>
                </c:pt>
                <c:pt idx="13">
                  <c:v>0.23494874824216383</c:v>
                </c:pt>
                <c:pt idx="14">
                  <c:v>0.22254725782840093</c:v>
                </c:pt>
                <c:pt idx="15">
                  <c:v>0.20915364818153689</c:v>
                </c:pt>
                <c:pt idx="16">
                  <c:v>0.19464390439743429</c:v>
                </c:pt>
                <c:pt idx="17">
                  <c:v>0.17887244376254008</c:v>
                </c:pt>
                <c:pt idx="18">
                  <c:v>0.16166721397901918</c:v>
                </c:pt>
                <c:pt idx="19">
                  <c:v>0.14282339088278195</c:v>
                </c:pt>
                <c:pt idx="20">
                  <c:v>0.12209518547692116</c:v>
                </c:pt>
              </c:numCache>
            </c:numRef>
          </c:xVal>
          <c:yVal>
            <c:numRef>
              <c:f>'plot selective diss'!$BR$13:$BR$33</c:f>
              <c:numCache>
                <c:formatCode>0.000</c:formatCode>
                <c:ptCount val="21"/>
                <c:pt idx="0">
                  <c:v>5.1235699050000001</c:v>
                </c:pt>
                <c:pt idx="1">
                  <c:v>4.9965552920512826</c:v>
                </c:pt>
                <c:pt idx="2">
                  <c:v>4.8628556994736849</c:v>
                </c:pt>
                <c:pt idx="3">
                  <c:v>4.7219291018918907</c:v>
                </c:pt>
                <c:pt idx="4">
                  <c:v>4.5731732488888888</c:v>
                </c:pt>
                <c:pt idx="5">
                  <c:v>4.415917061428571</c:v>
                </c:pt>
                <c:pt idx="6">
                  <c:v>4.2494105099999997</c:v>
                </c:pt>
                <c:pt idx="7">
                  <c:v>4.0728126524242425</c:v>
                </c:pt>
                <c:pt idx="8">
                  <c:v>3.8851774287499996</c:v>
                </c:pt>
                <c:pt idx="9">
                  <c:v>3.6854367067741935</c:v>
                </c:pt>
                <c:pt idx="10">
                  <c:v>3.4723799366666674</c:v>
                </c:pt>
                <c:pt idx="11">
                  <c:v>3.2446295962068965</c:v>
                </c:pt>
                <c:pt idx="12">
                  <c:v>3.0006113742857141</c:v>
                </c:pt>
                <c:pt idx="13">
                  <c:v>2.7385177285185183</c:v>
                </c:pt>
                <c:pt idx="14">
                  <c:v>2.4562630330769228</c:v>
                </c:pt>
                <c:pt idx="15">
                  <c:v>2.1514279619999988</c:v>
                </c:pt>
                <c:pt idx="16">
                  <c:v>1.8211899683333324</c:v>
                </c:pt>
                <c:pt idx="17">
                  <c:v>1.4622356273913022</c:v>
                </c:pt>
                <c:pt idx="18">
                  <c:v>1.0706490736363619</c:v>
                </c:pt>
                <c:pt idx="19">
                  <c:v>0.64176856238095037</c:v>
                </c:pt>
                <c:pt idx="20">
                  <c:v>0.16999999999999932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4D-3C40-81BC-0D1C98BD9B74}"/>
            </c:ext>
          </c:extLst>
        </c:ser>
        <c:ser>
          <c:idx val="5"/>
          <c:order val="2"/>
          <c:tx>
            <c:v>Incongruent weath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'plot selective diss'!$BR$43:$BR$62</c:f>
              <c:numCache>
                <c:formatCode>0.000</c:formatCode>
                <c:ptCount val="20"/>
                <c:pt idx="0">
                  <c:v>8.5193032485431672</c:v>
                </c:pt>
                <c:pt idx="1">
                  <c:v>8.510774692920192</c:v>
                </c:pt>
                <c:pt idx="2">
                  <c:v>8.50184658403324</c:v>
                </c:pt>
                <c:pt idx="3">
                  <c:v>8.4924901704631175</c:v>
                </c:pt>
                <c:pt idx="4">
                  <c:v>8.4826738744355943</c:v>
                </c:pt>
                <c:pt idx="5">
                  <c:v>8.4723629357717023</c:v>
                </c:pt>
                <c:pt idx="6">
                  <c:v>8.4615190006229124</c:v>
                </c:pt>
                <c:pt idx="7">
                  <c:v>8.4500996447364543</c:v>
                </c:pt>
                <c:pt idx="8">
                  <c:v>8.4380578187600879</c:v>
                </c:pt>
                <c:pt idx="9">
                  <c:v>8.4253412002958576</c:v>
                </c:pt>
                <c:pt idx="10">
                  <c:v>8.411891433886197</c:v>
                </c:pt>
                <c:pt idx="11">
                  <c:v>8.3976432356476902</c:v>
                </c:pt>
                <c:pt idx="12">
                  <c:v>8.3825233335694449</c:v>
                </c:pt>
                <c:pt idx="13">
                  <c:v>8.3664492071766645</c:v>
                </c:pt>
                <c:pt idx="14">
                  <c:v>8.3493275807977696</c:v>
                </c:pt>
                <c:pt idx="15">
                  <c:v>8.331052612343214</c:v>
                </c:pt>
                <c:pt idx="16">
                  <c:v>8.3115037033058314</c:v>
                </c:pt>
                <c:pt idx="17">
                  <c:v>8.2905428342295409</c:v>
                </c:pt>
                <c:pt idx="18">
                  <c:v>8.2680113011928658</c:v>
                </c:pt>
                <c:pt idx="19">
                  <c:v>8.2437256900989766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4D-3C40-81BC-0D1C98BD9B74}"/>
            </c:ext>
          </c:extLst>
        </c:ser>
        <c:ser>
          <c:idx val="1"/>
          <c:order val="3"/>
          <c:tx>
            <c:v>H9 basalt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diss'!$D$18</c:f>
              <c:numCache>
                <c:formatCode>0.000</c:formatCode>
                <c:ptCount val="1"/>
                <c:pt idx="0">
                  <c:v>0.55738749899999995</c:v>
                </c:pt>
              </c:numCache>
            </c:numRef>
          </c:xVal>
          <c:yVal>
            <c:numRef>
              <c:f>'plot selective diss'!$D$14</c:f>
              <c:numCache>
                <c:formatCode>0.000</c:formatCode>
                <c:ptCount val="1"/>
                <c:pt idx="0">
                  <c:v>10.07713981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4D-3C40-81BC-0D1C98BD9B74}"/>
            </c:ext>
          </c:extLst>
        </c:ser>
        <c:ser>
          <c:idx val="2"/>
          <c:order val="4"/>
          <c:tx>
            <c:v>P6-A LFGL soil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'plot selective diss'!$G$14</c:f>
              <c:numCache>
                <c:formatCode>0.000</c:formatCode>
                <c:ptCount val="1"/>
                <c:pt idx="0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4D-3C40-81BC-0D1C98BD9B74}"/>
            </c:ext>
          </c:extLst>
        </c:ser>
        <c:ser>
          <c:idx val="4"/>
          <c:order val="5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data'!$O$35:$O$50</c:f>
              <c:numCache>
                <c:formatCode>0.000</c:formatCode>
                <c:ptCount val="16"/>
                <c:pt idx="0">
                  <c:v>0.55739447818193211</c:v>
                </c:pt>
                <c:pt idx="1">
                  <c:v>0.59335541225818567</c:v>
                </c:pt>
                <c:pt idx="2">
                  <c:v>0.62931634633443934</c:v>
                </c:pt>
                <c:pt idx="3">
                  <c:v>0.52143354410567833</c:v>
                </c:pt>
                <c:pt idx="4">
                  <c:v>0.59335541225818567</c:v>
                </c:pt>
                <c:pt idx="5">
                  <c:v>0.59335541225818567</c:v>
                </c:pt>
                <c:pt idx="6">
                  <c:v>0.61732936830902141</c:v>
                </c:pt>
                <c:pt idx="7">
                  <c:v>1.006906154135103</c:v>
                </c:pt>
                <c:pt idx="8">
                  <c:v>0.5633879671946409</c:v>
                </c:pt>
                <c:pt idx="9">
                  <c:v>0.50345307706755149</c:v>
                </c:pt>
                <c:pt idx="10">
                  <c:v>0.54540750015651418</c:v>
                </c:pt>
                <c:pt idx="11">
                  <c:v>0.54540750015651418</c:v>
                </c:pt>
                <c:pt idx="12">
                  <c:v>0.59934890127089469</c:v>
                </c:pt>
                <c:pt idx="13">
                  <c:v>0.65329030238527519</c:v>
                </c:pt>
                <c:pt idx="14">
                  <c:v>0.58136843423276774</c:v>
                </c:pt>
                <c:pt idx="15">
                  <c:v>0.88703637388092405</c:v>
                </c:pt>
              </c:numCache>
            </c:numRef>
          </c:xVal>
          <c:yVal>
            <c:numRef>
              <c:f>'Morgan-Pompa solid data'!$F$35:$F$50</c:f>
              <c:numCache>
                <c:formatCode>0.000</c:formatCode>
                <c:ptCount val="16"/>
                <c:pt idx="0">
                  <c:v>4.845637962087844</c:v>
                </c:pt>
                <c:pt idx="1">
                  <c:v>4.0308846764270561</c:v>
                </c:pt>
                <c:pt idx="2">
                  <c:v>4.5954944094726891</c:v>
                </c:pt>
                <c:pt idx="3">
                  <c:v>5.653244289102485</c:v>
                </c:pt>
                <c:pt idx="4">
                  <c:v>4.9456953831339048</c:v>
                </c:pt>
                <c:pt idx="5">
                  <c:v>4.066619469657792</c:v>
                </c:pt>
                <c:pt idx="6">
                  <c:v>4.281028229042211</c:v>
                </c:pt>
                <c:pt idx="7">
                  <c:v>8.2904720295308234</c:v>
                </c:pt>
                <c:pt idx="8">
                  <c:v>4.1452360147654117</c:v>
                </c:pt>
                <c:pt idx="9">
                  <c:v>5.5889216612871602</c:v>
                </c:pt>
                <c:pt idx="10">
                  <c:v>4.7169927064571935</c:v>
                </c:pt>
                <c:pt idx="11">
                  <c:v>4.0094438004886142</c:v>
                </c:pt>
                <c:pt idx="12">
                  <c:v>4.2024116839345904</c:v>
                </c:pt>
                <c:pt idx="13">
                  <c:v>6.5323202025785978</c:v>
                </c:pt>
                <c:pt idx="14">
                  <c:v>4.2667343117499152</c:v>
                </c:pt>
                <c:pt idx="15">
                  <c:v>8.2904720295308234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4D-3C40-81BC-0D1C98BD9B74}"/>
            </c:ext>
          </c:extLst>
        </c:ser>
        <c:ser>
          <c:idx val="6"/>
          <c:order val="6"/>
          <c:tx>
            <c:v>Ave EXPT</c:v>
          </c:tx>
          <c:spPr>
            <a:ln w="25400" cap="flat" cmpd="dbl" algn="ctr">
              <a:noFill/>
              <a:round/>
            </a:ln>
            <a:effectLst/>
          </c:spPr>
          <c:marker>
            <c:symbol val="plus"/>
            <c:size val="40"/>
            <c:spPr>
              <a:noFill/>
              <a:ln w="63500" cap="flat" cmpd="dbl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'plot selective diss'!$D$39</c:f>
              <c:numCache>
                <c:formatCode>0.000</c:formatCode>
                <c:ptCount val="1"/>
                <c:pt idx="0">
                  <c:v>0.5783716897264134</c:v>
                </c:pt>
              </c:numCache>
            </c:numRef>
          </c:xVal>
          <c:yVal>
            <c:numRef>
              <c:f>'plot selective diss'!$D$35</c:f>
              <c:numCache>
                <c:formatCode>0.000</c:formatCode>
                <c:ptCount val="1"/>
                <c:pt idx="0">
                  <c:v>4.7057617714418187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4D-3C40-81BC-0D1C98BD9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Physical mixing &amp;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Phys mix only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selective diss'!$U$13:$U$34</c:f>
              <c:numCache>
                <c:formatCode>0.000</c:formatCode>
                <c:ptCount val="22"/>
                <c:pt idx="0">
                  <c:v>0.55738749899999995</c:v>
                </c:pt>
                <c:pt idx="1">
                  <c:v>0.53665929359413911</c:v>
                </c:pt>
                <c:pt idx="2">
                  <c:v>0.51593108818827826</c:v>
                </c:pt>
                <c:pt idx="3">
                  <c:v>0.49520288278241725</c:v>
                </c:pt>
                <c:pt idx="4">
                  <c:v>0.47447467737655641</c:v>
                </c:pt>
                <c:pt idx="5">
                  <c:v>0.45374647197069551</c:v>
                </c:pt>
                <c:pt idx="6">
                  <c:v>0.43301826656483472</c:v>
                </c:pt>
                <c:pt idx="7">
                  <c:v>0.41229006115897376</c:v>
                </c:pt>
                <c:pt idx="8">
                  <c:v>0.39156185575311292</c:v>
                </c:pt>
                <c:pt idx="9">
                  <c:v>0.37083365034725202</c:v>
                </c:pt>
                <c:pt idx="10">
                  <c:v>0.35010544494139112</c:v>
                </c:pt>
                <c:pt idx="11">
                  <c:v>0.32937723953553028</c:v>
                </c:pt>
                <c:pt idx="12">
                  <c:v>0.30864903412966938</c:v>
                </c:pt>
                <c:pt idx="13">
                  <c:v>0.28792082872380842</c:v>
                </c:pt>
                <c:pt idx="14">
                  <c:v>0.26719262331794758</c:v>
                </c:pt>
                <c:pt idx="15">
                  <c:v>0.24646441791208668</c:v>
                </c:pt>
                <c:pt idx="16">
                  <c:v>0.2257362125062258</c:v>
                </c:pt>
                <c:pt idx="17">
                  <c:v>0.20500800710036493</c:v>
                </c:pt>
                <c:pt idx="18">
                  <c:v>0.184279801694504</c:v>
                </c:pt>
                <c:pt idx="19">
                  <c:v>0.16355159628864316</c:v>
                </c:pt>
                <c:pt idx="20">
                  <c:v>0.14282339088278223</c:v>
                </c:pt>
                <c:pt idx="21">
                  <c:v>0.12209518547692136</c:v>
                </c:pt>
              </c:numCache>
            </c:numRef>
          </c:xVal>
          <c:yVal>
            <c:numRef>
              <c:f>'plot selective diss'!$O$13:$O$34</c:f>
              <c:numCache>
                <c:formatCode>0.000</c:formatCode>
                <c:ptCount val="22"/>
                <c:pt idx="0">
                  <c:v>3.6604278939999997</c:v>
                </c:pt>
                <c:pt idx="1">
                  <c:v>3.4913598990476191</c:v>
                </c:pt>
                <c:pt idx="2">
                  <c:v>3.3222919040952386</c:v>
                </c:pt>
                <c:pt idx="3">
                  <c:v>3.1532239091428571</c:v>
                </c:pt>
                <c:pt idx="4">
                  <c:v>2.9841559141904761</c:v>
                </c:pt>
                <c:pt idx="5">
                  <c:v>2.8150879192380955</c:v>
                </c:pt>
                <c:pt idx="6">
                  <c:v>2.646019924285715</c:v>
                </c:pt>
                <c:pt idx="7">
                  <c:v>2.4769519293333335</c:v>
                </c:pt>
                <c:pt idx="8">
                  <c:v>2.3078839343809525</c:v>
                </c:pt>
                <c:pt idx="9">
                  <c:v>2.138815939428572</c:v>
                </c:pt>
                <c:pt idx="10">
                  <c:v>1.9697479444761907</c:v>
                </c:pt>
                <c:pt idx="11">
                  <c:v>1.8006799495238102</c:v>
                </c:pt>
                <c:pt idx="12">
                  <c:v>1.6316119545714298</c:v>
                </c:pt>
                <c:pt idx="13">
                  <c:v>1.4625439596190484</c:v>
                </c:pt>
                <c:pt idx="14">
                  <c:v>1.2934759646666674</c:v>
                </c:pt>
                <c:pt idx="15">
                  <c:v>1.1244079697142864</c:v>
                </c:pt>
                <c:pt idx="16">
                  <c:v>0.9553399747619058</c:v>
                </c:pt>
                <c:pt idx="17">
                  <c:v>0.7862719798095249</c:v>
                </c:pt>
                <c:pt idx="18">
                  <c:v>0.61720398485714389</c:v>
                </c:pt>
                <c:pt idx="19">
                  <c:v>0.44813598990476305</c:v>
                </c:pt>
                <c:pt idx="20">
                  <c:v>0.27906799495238194</c:v>
                </c:pt>
                <c:pt idx="21">
                  <c:v>0.11000000000000118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0-204C-A168-D9ADFDA61C36}"/>
            </c:ext>
          </c:extLst>
        </c:ser>
        <c:ser>
          <c:idx val="3"/>
          <c:order val="1"/>
          <c:tx>
            <c:v>Congruent weath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diss'!$BV$13:$BV$33</c:f>
              <c:numCache>
                <c:formatCode>0.000</c:formatCode>
                <c:ptCount val="21"/>
                <c:pt idx="0">
                  <c:v>0.33974134223846059</c:v>
                </c:pt>
                <c:pt idx="1">
                  <c:v>0.33416067155226725</c:v>
                </c:pt>
                <c:pt idx="2">
                  <c:v>0.32828628135627436</c:v>
                </c:pt>
                <c:pt idx="3">
                  <c:v>0.3220943565550925</c:v>
                </c:pt>
                <c:pt idx="4">
                  <c:v>0.31555843593162286</c:v>
                </c:pt>
                <c:pt idx="5">
                  <c:v>0.30864903412966926</c:v>
                </c:pt>
                <c:pt idx="6">
                  <c:v>0.30133319692760069</c:v>
                </c:pt>
                <c:pt idx="7">
                  <c:v>0.29357397565267951</c:v>
                </c:pt>
                <c:pt idx="8">
                  <c:v>0.28532980304807576</c:v>
                </c:pt>
                <c:pt idx="9">
                  <c:v>0.27655374833994911</c:v>
                </c:pt>
                <c:pt idx="10">
                  <c:v>0.26719262331794752</c:v>
                </c:pt>
                <c:pt idx="11">
                  <c:v>0.25718590346684217</c:v>
                </c:pt>
                <c:pt idx="12">
                  <c:v>0.24646441791208659</c:v>
                </c:pt>
                <c:pt idx="13">
                  <c:v>0.23494874824216383</c:v>
                </c:pt>
                <c:pt idx="14">
                  <c:v>0.22254725782840093</c:v>
                </c:pt>
                <c:pt idx="15">
                  <c:v>0.20915364818153689</c:v>
                </c:pt>
                <c:pt idx="16">
                  <c:v>0.19464390439743429</c:v>
                </c:pt>
                <c:pt idx="17">
                  <c:v>0.17887244376254008</c:v>
                </c:pt>
                <c:pt idx="18">
                  <c:v>0.16166721397901918</c:v>
                </c:pt>
                <c:pt idx="19">
                  <c:v>0.14282339088278195</c:v>
                </c:pt>
                <c:pt idx="20">
                  <c:v>0.12209518547692116</c:v>
                </c:pt>
              </c:numCache>
            </c:numRef>
          </c:xVal>
          <c:yVal>
            <c:numRef>
              <c:f>'plot selective diss'!$BP$13:$BP$33</c:f>
              <c:numCache>
                <c:formatCode>0.000</c:formatCode>
                <c:ptCount val="21"/>
                <c:pt idx="0">
                  <c:v>1.8852139469999998</c:v>
                </c:pt>
                <c:pt idx="1">
                  <c:v>1.8396956406666669</c:v>
                </c:pt>
                <c:pt idx="2">
                  <c:v>1.7917816340000003</c:v>
                </c:pt>
                <c:pt idx="3">
                  <c:v>1.741277681027027</c:v>
                </c:pt>
                <c:pt idx="4">
                  <c:v>1.6879679528888889</c:v>
                </c:pt>
                <c:pt idx="5">
                  <c:v>1.6316119545714287</c:v>
                </c:pt>
                <c:pt idx="6">
                  <c:v>1.571940897529412</c:v>
                </c:pt>
                <c:pt idx="7">
                  <c:v>1.508653412787879</c:v>
                </c:pt>
                <c:pt idx="8">
                  <c:v>1.4414104602500002</c:v>
                </c:pt>
                <c:pt idx="9">
                  <c:v>1.3698292527096776</c:v>
                </c:pt>
                <c:pt idx="10">
                  <c:v>1.2934759646666669</c:v>
                </c:pt>
                <c:pt idx="11">
                  <c:v>1.2118569326206898</c:v>
                </c:pt>
                <c:pt idx="12">
                  <c:v>1.1244079697142859</c:v>
                </c:pt>
                <c:pt idx="13">
                  <c:v>1.0304813058518518</c:v>
                </c:pt>
                <c:pt idx="14">
                  <c:v>0.92932951400000008</c:v>
                </c:pt>
                <c:pt idx="15">
                  <c:v>0.82008557879999966</c:v>
                </c:pt>
                <c:pt idx="16">
                  <c:v>0.70173798233333318</c:v>
                </c:pt>
                <c:pt idx="17">
                  <c:v>0.57309929052173858</c:v>
                </c:pt>
                <c:pt idx="18">
                  <c:v>0.4327661721818174</c:v>
                </c:pt>
                <c:pt idx="19">
                  <c:v>0.27906799495238038</c:v>
                </c:pt>
                <c:pt idx="20">
                  <c:v>0.11000000000000038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0-204C-A168-D9ADFDA61C36}"/>
            </c:ext>
          </c:extLst>
        </c:ser>
        <c:ser>
          <c:idx val="5"/>
          <c:order val="2"/>
          <c:tx>
            <c:v>Incongruent weath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'plot selective diss'!$BP$43:$BP$62</c:f>
              <c:numCache>
                <c:formatCode>0.000</c:formatCode>
                <c:ptCount val="20"/>
                <c:pt idx="0">
                  <c:v>4.3803060498698665</c:v>
                </c:pt>
                <c:pt idx="1">
                  <c:v>4.452312973697846</c:v>
                </c:pt>
                <c:pt idx="2">
                  <c:v>4.5276933411329701</c:v>
                </c:pt>
                <c:pt idx="3">
                  <c:v>4.6066899015156055</c:v>
                </c:pt>
                <c:pt idx="4">
                  <c:v>4.6895692672106302</c:v>
                </c:pt>
                <c:pt idx="5">
                  <c:v>4.7766249197487838</c:v>
                </c:pt>
                <c:pt idx="6">
                  <c:v>4.8681806821514026</c:v>
                </c:pt>
                <c:pt idx="7">
                  <c:v>4.9645947440197142</c:v>
                </c:pt>
                <c:pt idx="8">
                  <c:v>5.066264344848042</c:v>
                </c:pt>
                <c:pt idx="9">
                  <c:v>5.1736312446589352</c:v>
                </c:pt>
                <c:pt idx="10">
                  <c:v>5.2871881408296852</c:v>
                </c:pt>
                <c:pt idx="11">
                  <c:v>5.4074862277041511</c:v>
                </c:pt>
                <c:pt idx="12">
                  <c:v>5.5351441436942697</c:v>
                </c:pt>
                <c:pt idx="13">
                  <c:v>5.6708586123492388</c:v>
                </c:pt>
                <c:pt idx="14">
                  <c:v>5.8154171637591912</c:v>
                </c:pt>
                <c:pt idx="15">
                  <c:v>5.9697134267654679</c:v>
                </c:pt>
                <c:pt idx="16">
                  <c:v>6.1347656192121072</c:v>
                </c:pt>
                <c:pt idx="17">
                  <c:v>6.311739044686286</c:v>
                </c:pt>
                <c:pt idx="18">
                  <c:v>6.5019736465136955</c:v>
                </c:pt>
                <c:pt idx="19">
                  <c:v>6.7070179969829811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D0-204C-A168-D9ADFDA61C36}"/>
            </c:ext>
          </c:extLst>
        </c:ser>
        <c:ser>
          <c:idx val="1"/>
          <c:order val="3"/>
          <c:tx>
            <c:v>H9 basalt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8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diss'!$D$18</c:f>
              <c:numCache>
                <c:formatCode>0.000</c:formatCode>
                <c:ptCount val="1"/>
                <c:pt idx="0">
                  <c:v>0.55738749899999995</c:v>
                </c:pt>
              </c:numCache>
            </c:numRef>
          </c:xVal>
          <c:yVal>
            <c:numRef>
              <c:f>'plot selective diss'!$D$13</c:f>
              <c:numCache>
                <c:formatCode>0.000</c:formatCode>
                <c:ptCount val="1"/>
                <c:pt idx="0">
                  <c:v>3.6604278940000001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D0-204C-A168-D9ADFDA61C36}"/>
            </c:ext>
          </c:extLst>
        </c:ser>
        <c:ser>
          <c:idx val="2"/>
          <c:order val="4"/>
          <c:tx>
            <c:v>P6-A LFGL soil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8"/>
            <c:spPr>
              <a:noFill/>
              <a:ln w="34925" cap="flat" cmpd="dbl" algn="ctr">
                <a:solidFill>
                  <a:schemeClr val="accent6"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'plot selective diss'!$G$13</c:f>
              <c:numCache>
                <c:formatCode>0.000</c:formatCode>
                <c:ptCount val="1"/>
                <c:pt idx="0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D0-204C-A168-D9ADFDA61C36}"/>
            </c:ext>
          </c:extLst>
        </c:ser>
        <c:ser>
          <c:idx val="4"/>
          <c:order val="5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'Morgan-Pompa solid data'!$O$35:$O$50</c:f>
              <c:numCache>
                <c:formatCode>0.000</c:formatCode>
                <c:ptCount val="16"/>
                <c:pt idx="0">
                  <c:v>0.55739447818193211</c:v>
                </c:pt>
                <c:pt idx="1">
                  <c:v>0.59335541225818567</c:v>
                </c:pt>
                <c:pt idx="2">
                  <c:v>0.62931634633443934</c:v>
                </c:pt>
                <c:pt idx="3">
                  <c:v>0.52143354410567833</c:v>
                </c:pt>
                <c:pt idx="4">
                  <c:v>0.59335541225818567</c:v>
                </c:pt>
                <c:pt idx="5">
                  <c:v>0.59335541225818567</c:v>
                </c:pt>
                <c:pt idx="6">
                  <c:v>0.61732936830902141</c:v>
                </c:pt>
                <c:pt idx="7">
                  <c:v>1.006906154135103</c:v>
                </c:pt>
                <c:pt idx="8">
                  <c:v>0.5633879671946409</c:v>
                </c:pt>
                <c:pt idx="9">
                  <c:v>0.50345307706755149</c:v>
                </c:pt>
                <c:pt idx="10">
                  <c:v>0.54540750015651418</c:v>
                </c:pt>
                <c:pt idx="11">
                  <c:v>0.54540750015651418</c:v>
                </c:pt>
                <c:pt idx="12">
                  <c:v>0.59934890127089469</c:v>
                </c:pt>
                <c:pt idx="13">
                  <c:v>0.65329030238527519</c:v>
                </c:pt>
                <c:pt idx="14">
                  <c:v>0.58136843423276774</c:v>
                </c:pt>
                <c:pt idx="15">
                  <c:v>0.88703637388092405</c:v>
                </c:pt>
              </c:numCache>
            </c:numRef>
          </c:xVal>
          <c:yVal>
            <c:numRef>
              <c:f>'Morgan-Pompa solid data'!$I$35:$I$50</c:f>
              <c:numCache>
                <c:formatCode>0.000</c:formatCode>
                <c:ptCount val="16"/>
                <c:pt idx="0">
                  <c:v>2.683536373560937</c:v>
                </c:pt>
                <c:pt idx="1">
                  <c:v>2.7016276300119095</c:v>
                </c:pt>
                <c:pt idx="2">
                  <c:v>2.991087733227471</c:v>
                </c:pt>
                <c:pt idx="3">
                  <c:v>2.6352930230250102</c:v>
                </c:pt>
                <c:pt idx="4">
                  <c:v>2.9488748015085346</c:v>
                </c:pt>
                <c:pt idx="5">
                  <c:v>2.7920839122667727</c:v>
                </c:pt>
                <c:pt idx="6">
                  <c:v>2.9669660579595076</c:v>
                </c:pt>
                <c:pt idx="7">
                  <c:v>5.523863636363636</c:v>
                </c:pt>
                <c:pt idx="8">
                  <c:v>2.7197188864628816</c:v>
                </c:pt>
                <c:pt idx="9">
                  <c:v>2.5026238090512103</c:v>
                </c:pt>
                <c:pt idx="10">
                  <c:v>2.6352930230250102</c:v>
                </c:pt>
                <c:pt idx="11">
                  <c:v>2.6533842794759828</c:v>
                </c:pt>
                <c:pt idx="12">
                  <c:v>2.8282664251687182</c:v>
                </c:pt>
                <c:pt idx="13">
                  <c:v>3.1539090412862252</c:v>
                </c:pt>
                <c:pt idx="14">
                  <c:v>2.8041447499007548</c:v>
                </c:pt>
                <c:pt idx="15">
                  <c:v>4.866547985311632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D0-204C-A168-D9ADFDA61C36}"/>
            </c:ext>
          </c:extLst>
        </c:ser>
        <c:ser>
          <c:idx val="6"/>
          <c:order val="6"/>
          <c:tx>
            <c:v>Ave EXPT</c:v>
          </c:tx>
          <c:spPr>
            <a:ln w="63500" cap="flat" cmpd="dbl" algn="ctr">
              <a:noFill/>
              <a:round/>
            </a:ln>
            <a:effectLst/>
          </c:spPr>
          <c:marker>
            <c:symbol val="plus"/>
            <c:size val="40"/>
            <c:spPr>
              <a:noFill/>
              <a:ln w="63500" cap="flat" cmpd="dbl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'plot selective diss'!$D$39</c:f>
              <c:numCache>
                <c:formatCode>0.000</c:formatCode>
                <c:ptCount val="1"/>
                <c:pt idx="0">
                  <c:v>0.5783716897264134</c:v>
                </c:pt>
              </c:numCache>
            </c:numRef>
          </c:xVal>
          <c:yVal>
            <c:numRef>
              <c:f>'plot selective diss'!$D$34</c:f>
              <c:numCache>
                <c:formatCode>0.000</c:formatCode>
                <c:ptCount val="1"/>
                <c:pt idx="0">
                  <c:v>2.7869149818522092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D0-204C-A168-D9ADFDA61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Mg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Physical mixing &amp;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Phys mix only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selective diss'!$U$13:$U$34</c:f>
              <c:numCache>
                <c:formatCode>0.000</c:formatCode>
                <c:ptCount val="22"/>
                <c:pt idx="0">
                  <c:v>0.55738749899999995</c:v>
                </c:pt>
                <c:pt idx="1">
                  <c:v>0.53665929359413911</c:v>
                </c:pt>
                <c:pt idx="2">
                  <c:v>0.51593108818827826</c:v>
                </c:pt>
                <c:pt idx="3">
                  <c:v>0.49520288278241725</c:v>
                </c:pt>
                <c:pt idx="4">
                  <c:v>0.47447467737655641</c:v>
                </c:pt>
                <c:pt idx="5">
                  <c:v>0.45374647197069551</c:v>
                </c:pt>
                <c:pt idx="6">
                  <c:v>0.43301826656483472</c:v>
                </c:pt>
                <c:pt idx="7">
                  <c:v>0.41229006115897376</c:v>
                </c:pt>
                <c:pt idx="8">
                  <c:v>0.39156185575311292</c:v>
                </c:pt>
                <c:pt idx="9">
                  <c:v>0.37083365034725202</c:v>
                </c:pt>
                <c:pt idx="10">
                  <c:v>0.35010544494139112</c:v>
                </c:pt>
                <c:pt idx="11">
                  <c:v>0.32937723953553028</c:v>
                </c:pt>
                <c:pt idx="12">
                  <c:v>0.30864903412966938</c:v>
                </c:pt>
                <c:pt idx="13">
                  <c:v>0.28792082872380842</c:v>
                </c:pt>
                <c:pt idx="14">
                  <c:v>0.26719262331794758</c:v>
                </c:pt>
                <c:pt idx="15">
                  <c:v>0.24646441791208668</c:v>
                </c:pt>
                <c:pt idx="16">
                  <c:v>0.2257362125062258</c:v>
                </c:pt>
                <c:pt idx="17">
                  <c:v>0.20500800710036493</c:v>
                </c:pt>
                <c:pt idx="18">
                  <c:v>0.184279801694504</c:v>
                </c:pt>
                <c:pt idx="19">
                  <c:v>0.16355159628864316</c:v>
                </c:pt>
                <c:pt idx="20">
                  <c:v>0.14282339088278223</c:v>
                </c:pt>
                <c:pt idx="21">
                  <c:v>0.12209518547692136</c:v>
                </c:pt>
              </c:numCache>
            </c:numRef>
          </c:xVal>
          <c:yVal>
            <c:numRef>
              <c:f>'plot selective diss'!$N$13:$N$34</c:f>
              <c:numCache>
                <c:formatCode>0.000</c:formatCode>
                <c:ptCount val="22"/>
                <c:pt idx="0">
                  <c:v>2.7077732910000001</c:v>
                </c:pt>
                <c:pt idx="1">
                  <c:v>2.5811864676190477</c:v>
                </c:pt>
                <c:pt idx="2">
                  <c:v>2.4545996442380953</c:v>
                </c:pt>
                <c:pt idx="3">
                  <c:v>2.3280128208571429</c:v>
                </c:pt>
                <c:pt idx="4">
                  <c:v>2.2014259974761905</c:v>
                </c:pt>
                <c:pt idx="5">
                  <c:v>2.0748391740952381</c:v>
                </c:pt>
                <c:pt idx="6">
                  <c:v>1.9482523507142862</c:v>
                </c:pt>
                <c:pt idx="7">
                  <c:v>1.8216655273333333</c:v>
                </c:pt>
                <c:pt idx="8">
                  <c:v>1.6950787039523814</c:v>
                </c:pt>
                <c:pt idx="9">
                  <c:v>1.568491880571429</c:v>
                </c:pt>
                <c:pt idx="10">
                  <c:v>1.4419050571904766</c:v>
                </c:pt>
                <c:pt idx="11">
                  <c:v>1.3153182338095244</c:v>
                </c:pt>
                <c:pt idx="12">
                  <c:v>1.1887314104285722</c:v>
                </c:pt>
                <c:pt idx="13">
                  <c:v>1.0621445870476196</c:v>
                </c:pt>
                <c:pt idx="14">
                  <c:v>0.93555776366666743</c:v>
                </c:pt>
                <c:pt idx="15">
                  <c:v>0.8089709402857147</c:v>
                </c:pt>
                <c:pt idx="16">
                  <c:v>0.68238411690476264</c:v>
                </c:pt>
                <c:pt idx="17">
                  <c:v>0.55579729352381035</c:v>
                </c:pt>
                <c:pt idx="18">
                  <c:v>0.42921047014285779</c:v>
                </c:pt>
                <c:pt idx="19">
                  <c:v>0.30262364676190562</c:v>
                </c:pt>
                <c:pt idx="20">
                  <c:v>0.17603682338095311</c:v>
                </c:pt>
                <c:pt idx="21">
                  <c:v>4.9450000000000882E-2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4-B841-A2DF-13923BCF6C3F}"/>
            </c:ext>
          </c:extLst>
        </c:ser>
        <c:ser>
          <c:idx val="3"/>
          <c:order val="1"/>
          <c:tx>
            <c:v>Congruent weath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diss'!$BV$13:$BV$33</c:f>
              <c:numCache>
                <c:formatCode>0.000</c:formatCode>
                <c:ptCount val="21"/>
                <c:pt idx="0">
                  <c:v>0.33974134223846059</c:v>
                </c:pt>
                <c:pt idx="1">
                  <c:v>0.33416067155226725</c:v>
                </c:pt>
                <c:pt idx="2">
                  <c:v>0.32828628135627436</c:v>
                </c:pt>
                <c:pt idx="3">
                  <c:v>0.3220943565550925</c:v>
                </c:pt>
                <c:pt idx="4">
                  <c:v>0.31555843593162286</c:v>
                </c:pt>
                <c:pt idx="5">
                  <c:v>0.30864903412966926</c:v>
                </c:pt>
                <c:pt idx="6">
                  <c:v>0.30133319692760069</c:v>
                </c:pt>
                <c:pt idx="7">
                  <c:v>0.29357397565267951</c:v>
                </c:pt>
                <c:pt idx="8">
                  <c:v>0.28532980304807576</c:v>
                </c:pt>
                <c:pt idx="9">
                  <c:v>0.27655374833994911</c:v>
                </c:pt>
                <c:pt idx="10">
                  <c:v>0.26719262331794752</c:v>
                </c:pt>
                <c:pt idx="11">
                  <c:v>0.25718590346684217</c:v>
                </c:pt>
                <c:pt idx="12">
                  <c:v>0.24646441791208659</c:v>
                </c:pt>
                <c:pt idx="13">
                  <c:v>0.23494874824216383</c:v>
                </c:pt>
                <c:pt idx="14">
                  <c:v>0.22254725782840093</c:v>
                </c:pt>
                <c:pt idx="15">
                  <c:v>0.20915364818153689</c:v>
                </c:pt>
                <c:pt idx="16">
                  <c:v>0.19464390439743429</c:v>
                </c:pt>
                <c:pt idx="17">
                  <c:v>0.17887244376254008</c:v>
                </c:pt>
                <c:pt idx="18">
                  <c:v>0.16166721397901918</c:v>
                </c:pt>
                <c:pt idx="19">
                  <c:v>0.14282339088278195</c:v>
                </c:pt>
                <c:pt idx="20">
                  <c:v>0.12209518547692116</c:v>
                </c:pt>
              </c:numCache>
            </c:numRef>
          </c:xVal>
          <c:yVal>
            <c:numRef>
              <c:f>'plot selective diss'!$BO$13:$BO$33</c:f>
              <c:numCache>
                <c:formatCode>0.000</c:formatCode>
                <c:ptCount val="21"/>
                <c:pt idx="0">
                  <c:v>1.3786116454999999</c:v>
                </c:pt>
                <c:pt idx="1">
                  <c:v>1.3445305776666667</c:v>
                </c:pt>
                <c:pt idx="2">
                  <c:v>1.3086557694210526</c:v>
                </c:pt>
                <c:pt idx="3">
                  <c:v>1.2708417823513511</c:v>
                </c:pt>
                <c:pt idx="4">
                  <c:v>1.2309270182222221</c:v>
                </c:pt>
                <c:pt idx="5">
                  <c:v>1.1887314104285713</c:v>
                </c:pt>
                <c:pt idx="6">
                  <c:v>1.1440537080588236</c:v>
                </c:pt>
                <c:pt idx="7">
                  <c:v>1.0966682661515152</c:v>
                </c:pt>
                <c:pt idx="8">
                  <c:v>1.0463212341250001</c:v>
                </c:pt>
                <c:pt idx="9">
                  <c:v>0.99272600648387088</c:v>
                </c:pt>
                <c:pt idx="10">
                  <c:v>0.93555776366666654</c:v>
                </c:pt>
                <c:pt idx="11">
                  <c:v>0.87444688341379284</c:v>
                </c:pt>
                <c:pt idx="12">
                  <c:v>0.80897094028571404</c:v>
                </c:pt>
                <c:pt idx="13">
                  <c:v>0.73864492729629605</c:v>
                </c:pt>
                <c:pt idx="14">
                  <c:v>0.6629092209999996</c:v>
                </c:pt>
                <c:pt idx="15">
                  <c:v>0.58111465819999952</c:v>
                </c:pt>
                <c:pt idx="16">
                  <c:v>0.49250388183333277</c:v>
                </c:pt>
                <c:pt idx="17">
                  <c:v>0.39618782056521651</c:v>
                </c:pt>
                <c:pt idx="18">
                  <c:v>0.29111575372727222</c:v>
                </c:pt>
                <c:pt idx="19">
                  <c:v>0.17603682338095153</c:v>
                </c:pt>
                <c:pt idx="20">
                  <c:v>4.9449999999999841E-2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64-B841-A2DF-13923BCF6C3F}"/>
            </c:ext>
          </c:extLst>
        </c:ser>
        <c:ser>
          <c:idx val="5"/>
          <c:order val="2"/>
          <c:tx>
            <c:v>Incongruent weath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'plot selective diss'!$BO$43:$BO$62</c:f>
              <c:numCache>
                <c:formatCode>0.000</c:formatCode>
                <c:ptCount val="20"/>
                <c:pt idx="0">
                  <c:v>2.3742127437152565</c:v>
                </c:pt>
                <c:pt idx="1">
                  <c:v>2.3706566638212387</c:v>
                </c:pt>
                <c:pt idx="2">
                  <c:v>2.3669339855732394</c:v>
                </c:pt>
                <c:pt idx="3">
                  <c:v>2.3630327207345365</c:v>
                </c:pt>
                <c:pt idx="4">
                  <c:v>2.3589397025869889</c:v>
                </c:pt>
                <c:pt idx="5">
                  <c:v>2.3546404374719971</c:v>
                </c:pt>
                <c:pt idx="6">
                  <c:v>2.3501189333088801</c:v>
                </c:pt>
                <c:pt idx="7">
                  <c:v>2.3453575008148384</c:v>
                </c:pt>
                <c:pt idx="8">
                  <c:v>2.3403365222183616</c:v>
                </c:pt>
                <c:pt idx="9">
                  <c:v>2.3350341810905468</c:v>
                </c:pt>
                <c:pt idx="10">
                  <c:v>2.3294261454485219</c:v>
                </c:pt>
                <c:pt idx="11">
                  <c:v>2.3234851944221315</c:v>
                </c:pt>
                <c:pt idx="12">
                  <c:v>2.3171807763990926</c:v>
                </c:pt>
                <c:pt idx="13">
                  <c:v>2.3104784835131444</c:v>
                </c:pt>
                <c:pt idx="14">
                  <c:v>2.3033394233943518</c:v>
                </c:pt>
                <c:pt idx="15">
                  <c:v>2.2957194639594856</c:v>
                </c:pt>
                <c:pt idx="16">
                  <c:v>2.2875683202663426</c:v>
                </c:pt>
                <c:pt idx="17">
                  <c:v>2.2788284435066077</c:v>
                </c:pt>
                <c:pt idx="18">
                  <c:v>2.2694336602449168</c:v>
                </c:pt>
                <c:pt idx="19">
                  <c:v>2.2593074938525337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64-B841-A2DF-13923BCF6C3F}"/>
            </c:ext>
          </c:extLst>
        </c:ser>
        <c:ser>
          <c:idx val="1"/>
          <c:order val="3"/>
          <c:tx>
            <c:v>H9 basalt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diss'!$D$18</c:f>
              <c:numCache>
                <c:formatCode>0.000</c:formatCode>
                <c:ptCount val="1"/>
                <c:pt idx="0">
                  <c:v>0.55738749899999995</c:v>
                </c:pt>
              </c:numCache>
            </c:numRef>
          </c:xVal>
          <c:yVal>
            <c:numRef>
              <c:f>'plot selective diss'!$D$19</c:f>
              <c:numCache>
                <c:formatCode>0.000</c:formatCode>
                <c:ptCount val="1"/>
                <c:pt idx="0">
                  <c:v>2.7077732910000001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64-B841-A2DF-13923BCF6C3F}"/>
            </c:ext>
          </c:extLst>
        </c:ser>
        <c:ser>
          <c:idx val="2"/>
          <c:order val="4"/>
          <c:tx>
            <c:v>P6-A LFGL soil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'plot selective diss'!$G$19</c:f>
              <c:numCache>
                <c:formatCode>0.000</c:formatCode>
                <c:ptCount val="1"/>
                <c:pt idx="0">
                  <c:v>4.9450000000000001E-2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564-B841-A2DF-13923BCF6C3F}"/>
            </c:ext>
          </c:extLst>
        </c:ser>
        <c:ser>
          <c:idx val="4"/>
          <c:order val="5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data'!$O$35:$O$50</c:f>
              <c:numCache>
                <c:formatCode>0.000</c:formatCode>
                <c:ptCount val="16"/>
                <c:pt idx="0">
                  <c:v>0.55739447818193211</c:v>
                </c:pt>
                <c:pt idx="1">
                  <c:v>0.59335541225818567</c:v>
                </c:pt>
                <c:pt idx="2">
                  <c:v>0.62931634633443934</c:v>
                </c:pt>
                <c:pt idx="3">
                  <c:v>0.52143354410567833</c:v>
                </c:pt>
                <c:pt idx="4">
                  <c:v>0.59335541225818567</c:v>
                </c:pt>
                <c:pt idx="5">
                  <c:v>0.59335541225818567</c:v>
                </c:pt>
                <c:pt idx="6">
                  <c:v>0.61732936830902141</c:v>
                </c:pt>
                <c:pt idx="7">
                  <c:v>1.006906154135103</c:v>
                </c:pt>
                <c:pt idx="8">
                  <c:v>0.5633879671946409</c:v>
                </c:pt>
                <c:pt idx="9">
                  <c:v>0.50345307706755149</c:v>
                </c:pt>
                <c:pt idx="10">
                  <c:v>0.54540750015651418</c:v>
                </c:pt>
                <c:pt idx="11">
                  <c:v>0.54540750015651418</c:v>
                </c:pt>
                <c:pt idx="12">
                  <c:v>0.59934890127089469</c:v>
                </c:pt>
                <c:pt idx="13">
                  <c:v>0.65329030238527519</c:v>
                </c:pt>
                <c:pt idx="14">
                  <c:v>0.58136843423276774</c:v>
                </c:pt>
                <c:pt idx="15">
                  <c:v>0.88703637388092405</c:v>
                </c:pt>
              </c:numCache>
            </c:numRef>
          </c:xVal>
          <c:yVal>
            <c:numRef>
              <c:f>'Morgan-Pompa solid data'!$K$35:$K$50</c:f>
              <c:numCache>
                <c:formatCode>0.000</c:formatCode>
                <c:ptCount val="16"/>
                <c:pt idx="0">
                  <c:v>1.3575523967795546</c:v>
                </c:pt>
                <c:pt idx="1">
                  <c:v>1.0904929088884945</c:v>
                </c:pt>
                <c:pt idx="2">
                  <c:v>1.4762455025089143</c:v>
                </c:pt>
                <c:pt idx="3">
                  <c:v>1.3872256732118944</c:v>
                </c:pt>
                <c:pt idx="4">
                  <c:v>1.2240226528340246</c:v>
                </c:pt>
                <c:pt idx="5">
                  <c:v>1.1646760999693446</c:v>
                </c:pt>
                <c:pt idx="6">
                  <c:v>1.1869310572935996</c:v>
                </c:pt>
                <c:pt idx="7">
                  <c:v>2.2551690088578389</c:v>
                </c:pt>
                <c:pt idx="8">
                  <c:v>1.0830745897804095</c:v>
                </c:pt>
                <c:pt idx="9">
                  <c:v>1.3798073541038094</c:v>
                </c:pt>
                <c:pt idx="10">
                  <c:v>1.1201661853208347</c:v>
                </c:pt>
                <c:pt idx="11">
                  <c:v>1.1424211426450896</c:v>
                </c:pt>
                <c:pt idx="12">
                  <c:v>1.1646760999693446</c:v>
                </c:pt>
                <c:pt idx="13">
                  <c:v>1.9510179254263544</c:v>
                </c:pt>
                <c:pt idx="14">
                  <c:v>1.1795127381855146</c:v>
                </c:pt>
                <c:pt idx="15">
                  <c:v>2.2774239661820936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564-B841-A2DF-13923BCF6C3F}"/>
            </c:ext>
          </c:extLst>
        </c:ser>
        <c:ser>
          <c:idx val="6"/>
          <c:order val="6"/>
          <c:tx>
            <c:v>Ave EXPT</c:v>
          </c:tx>
          <c:spPr>
            <a:ln w="25400" cap="flat" cmpd="dbl" algn="ctr">
              <a:noFill/>
              <a:round/>
            </a:ln>
            <a:effectLst/>
          </c:spPr>
          <c:marker>
            <c:symbol val="plus"/>
            <c:size val="40"/>
            <c:spPr>
              <a:noFill/>
              <a:ln w="63500" cap="flat" cmpd="dbl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'plot selective diss'!$D$39</c:f>
              <c:numCache>
                <c:formatCode>0.000</c:formatCode>
                <c:ptCount val="1"/>
                <c:pt idx="0">
                  <c:v>0.5783716897264134</c:v>
                </c:pt>
              </c:numCache>
            </c:numRef>
          </c:xVal>
          <c:yVal>
            <c:numRef>
              <c:f>'plot selective diss'!$D$40</c:f>
              <c:numCache>
                <c:formatCode>0.000</c:formatCode>
                <c:ptCount val="1"/>
                <c:pt idx="0">
                  <c:v>1.2791301662083703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564-B841-A2DF-13923BCF6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Na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Residual solid: Elemental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 only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'plot selective diss'!$AB$13:$AB$34</c:f>
              <c:numCache>
                <c:formatCode>0.00</c:formatCode>
                <c:ptCount val="22"/>
                <c:pt idx="0">
                  <c:v>64.532579102202547</c:v>
                </c:pt>
                <c:pt idx="1">
                  <c:v>70.02656637298692</c:v>
                </c:pt>
                <c:pt idx="2">
                  <c:v>75.962009874082625</c:v>
                </c:pt>
                <c:pt idx="3">
                  <c:v>82.394345038547939</c:v>
                </c:pt>
                <c:pt idx="4">
                  <c:v>89.388694451131144</c:v>
                </c:pt>
                <c:pt idx="5">
                  <c:v>97.022080507568404</c:v>
                </c:pt>
                <c:pt idx="6">
                  <c:v>105.3862735822651</c:v>
                </c:pt>
                <c:pt idx="7">
                  <c:v>114.591499359129</c:v>
                </c:pt>
                <c:pt idx="8">
                  <c:v>124.77132369765901</c:v>
                </c:pt>
                <c:pt idx="9">
                  <c:v>136.08917577281457</c:v>
                </c:pt>
                <c:pt idx="10">
                  <c:v>148.74718845361994</c:v>
                </c:pt>
                <c:pt idx="11">
                  <c:v>162.99837671175243</c:v>
                </c:pt>
                <c:pt idx="12">
                  <c:v>179.16372328452309</c:v>
                </c:pt>
                <c:pt idx="13">
                  <c:v>197.656644598604</c:v>
                </c:pt>
                <c:pt idx="14">
                  <c:v>219.01884476322064</c:v>
                </c:pt>
                <c:pt idx="15">
                  <c:v>243.97426196650326</c:v>
                </c:pt>
                <c:pt idx="16">
                  <c:v>273.51273660692016</c:v>
                </c:pt>
                <c:pt idx="17">
                  <c:v>309.02443715575362</c:v>
                </c:pt>
                <c:pt idx="18">
                  <c:v>352.52500915462196</c:v>
                </c:pt>
                <c:pt idx="19">
                  <c:v>407.05193384128216</c:v>
                </c:pt>
                <c:pt idx="20">
                  <c:v>477.40603204719633</c:v>
                </c:pt>
                <c:pt idx="21">
                  <c:v>571.64828264929065</c:v>
                </c:pt>
              </c:numCache>
            </c:numRef>
          </c:xVal>
          <c:yVal>
            <c:numRef>
              <c:f>'plot selective diss'!$X$13:$X$34</c:f>
              <c:numCache>
                <c:formatCode>0.00</c:formatCode>
                <c:ptCount val="22"/>
                <c:pt idx="0">
                  <c:v>10.115317806557586</c:v>
                </c:pt>
                <c:pt idx="1">
                  <c:v>10.014866884684238</c:v>
                </c:pt>
                <c:pt idx="2">
                  <c:v>9.9063444688092002</c:v>
                </c:pt>
                <c:pt idx="3">
                  <c:v>9.7887369889912446</c:v>
                </c:pt>
                <c:pt idx="4">
                  <c:v>9.6608537574201634</c:v>
                </c:pt>
                <c:pt idx="5">
                  <c:v>9.5212865126138624</c:v>
                </c:pt>
                <c:pt idx="6">
                  <c:v>9.3683573441121677</c:v>
                </c:pt>
                <c:pt idx="7">
                  <c:v>9.2000509084100948</c:v>
                </c:pt>
                <c:pt idx="8">
                  <c:v>9.013925115081113</c:v>
                </c:pt>
                <c:pt idx="9">
                  <c:v>8.8069918590429648</c:v>
                </c:pt>
                <c:pt idx="10">
                  <c:v>8.575555384911878</c:v>
                </c:pt>
                <c:pt idx="11">
                  <c:v>8.3149896195100119</c:v>
                </c:pt>
                <c:pt idx="12">
                  <c:v>8.0194257811531173</c:v>
                </c:pt>
                <c:pt idx="13">
                  <c:v>7.6813050497839193</c:v>
                </c:pt>
                <c:pt idx="14">
                  <c:v>7.2907230200093327</c:v>
                </c:pt>
                <c:pt idx="15">
                  <c:v>6.8344433563970357</c:v>
                </c:pt>
                <c:pt idx="16">
                  <c:v>6.2943680227425558</c:v>
                </c:pt>
                <c:pt idx="17">
                  <c:v>5.6450794675269407</c:v>
                </c:pt>
                <c:pt idx="18">
                  <c:v>4.8497240464212137</c:v>
                </c:pt>
                <c:pt idx="19">
                  <c:v>3.8527650835163749</c:v>
                </c:pt>
                <c:pt idx="20">
                  <c:v>2.5664253681090838</c:v>
                </c:pt>
                <c:pt idx="21">
                  <c:v>0.84331963709639068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C-1E44-995F-39742042871D}"/>
            </c:ext>
          </c:extLst>
        </c:ser>
        <c:ser>
          <c:idx val="1"/>
          <c:order val="1"/>
          <c:tx>
            <c:v>Mix + weath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diss'!$CC$13:$CC$33</c:f>
              <c:numCache>
                <c:formatCode>0.000</c:formatCode>
                <c:ptCount val="21"/>
                <c:pt idx="0">
                  <c:v>155.65541018730315</c:v>
                </c:pt>
                <c:pt idx="1">
                  <c:v>159.55271601099778</c:v>
                </c:pt>
                <c:pt idx="2">
                  <c:v>163.79829128077213</c:v>
                </c:pt>
                <c:pt idx="3">
                  <c:v>168.44100224684431</c:v>
                </c:pt>
                <c:pt idx="4">
                  <c:v>173.53930571871919</c:v>
                </c:pt>
                <c:pt idx="5">
                  <c:v>179.16372328452317</c:v>
                </c:pt>
                <c:pt idx="6">
                  <c:v>185.40012317583333</c:v>
                </c:pt>
                <c:pt idx="7">
                  <c:v>192.35413504840176</c:v>
                </c:pt>
                <c:pt idx="8">
                  <c:v>200.15718180189143</c:v>
                </c:pt>
                <c:pt idx="9">
                  <c:v>208.97486436525253</c:v>
                </c:pt>
                <c:pt idx="10">
                  <c:v>219.01884476322076</c:v>
                </c:pt>
                <c:pt idx="11">
                  <c:v>230.56405752176158</c:v>
                </c:pt>
                <c:pt idx="12">
                  <c:v>243.97426196650338</c:v>
                </c:pt>
                <c:pt idx="13">
                  <c:v>259.74106557420919</c:v>
                </c:pt>
                <c:pt idx="14">
                  <c:v>278.5455020444906</c:v>
                </c:pt>
                <c:pt idx="15">
                  <c:v>301.35899421345243</c:v>
                </c:pt>
                <c:pt idx="16">
                  <c:v>329.61659699339498</c:v>
                </c:pt>
                <c:pt idx="17">
                  <c:v>365.53106952240262</c:v>
                </c:pt>
                <c:pt idx="18">
                  <c:v>412.70226759055959</c:v>
                </c:pt>
                <c:pt idx="19">
                  <c:v>477.4060320471973</c:v>
                </c:pt>
                <c:pt idx="20">
                  <c:v>571.64828264929156</c:v>
                </c:pt>
              </c:numCache>
            </c:numRef>
          </c:xVal>
          <c:yVal>
            <c:numRef>
              <c:f>'plot selective diss'!$BY$13:$BY$33</c:f>
              <c:numCache>
                <c:formatCode>0.000</c:formatCode>
                <c:ptCount val="21"/>
                <c:pt idx="0">
                  <c:v>8.4492468939286258</c:v>
                </c:pt>
                <c:pt idx="1">
                  <c:v>8.3779893639204452</c:v>
                </c:pt>
                <c:pt idx="2">
                  <c:v>8.3003641477137382</c:v>
                </c:pt>
                <c:pt idx="3">
                  <c:v>8.2154777849415765</c:v>
                </c:pt>
                <c:pt idx="4">
                  <c:v>8.1222614634434738</c:v>
                </c:pt>
                <c:pt idx="5">
                  <c:v>8.0194257811531173</c:v>
                </c:pt>
                <c:pt idx="6">
                  <c:v>7.9054007411636267</c:v>
                </c:pt>
                <c:pt idx="7">
                  <c:v>7.7782550327939814</c:v>
                </c:pt>
                <c:pt idx="8">
                  <c:v>7.6355857470500847</c:v>
                </c:pt>
                <c:pt idx="9">
                  <c:v>7.4743650709509026</c:v>
                </c:pt>
                <c:pt idx="10">
                  <c:v>7.2907230200093274</c:v>
                </c:pt>
                <c:pt idx="11">
                  <c:v>7.0796327484707522</c:v>
                </c:pt>
                <c:pt idx="12">
                  <c:v>6.8344433563970339</c:v>
                </c:pt>
                <c:pt idx="13">
                  <c:v>6.546166394815371</c:v>
                </c:pt>
                <c:pt idx="14">
                  <c:v>6.202349985048027</c:v>
                </c:pt>
                <c:pt idx="15">
                  <c:v>5.7852328337745043</c:v>
                </c:pt>
                <c:pt idx="16">
                  <c:v>5.2685766951135147</c:v>
                </c:pt>
                <c:pt idx="17">
                  <c:v>4.6119239406889934</c:v>
                </c:pt>
                <c:pt idx="18">
                  <c:v>3.749455555111525</c:v>
                </c:pt>
                <c:pt idx="19">
                  <c:v>2.5664253681090656</c:v>
                </c:pt>
                <c:pt idx="20">
                  <c:v>0.84331963709637436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0C-1E44-995F-39742042871D}"/>
            </c:ext>
          </c:extLst>
        </c:ser>
        <c:ser>
          <c:idx val="2"/>
          <c:order val="2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data'!$AA$35:$AA$50</c:f>
              <c:numCache>
                <c:formatCode>0.000</c:formatCode>
                <c:ptCount val="16"/>
                <c:pt idx="0">
                  <c:v>86.75677528163078</c:v>
                </c:pt>
                <c:pt idx="1">
                  <c:v>82.707172920873745</c:v>
                </c:pt>
                <c:pt idx="2">
                  <c:v>77.348085695898746</c:v>
                </c:pt>
                <c:pt idx="3">
                  <c:v>84.795223468752923</c:v>
                </c:pt>
                <c:pt idx="4">
                  <c:v>71.294657176922016</c:v>
                </c:pt>
                <c:pt idx="5">
                  <c:v>77.605107058871766</c:v>
                </c:pt>
                <c:pt idx="6">
                  <c:v>73.687961449440039</c:v>
                </c:pt>
                <c:pt idx="7">
                  <c:v>36.790977750197328</c:v>
                </c:pt>
                <c:pt idx="8">
                  <c:v>86.54086406690206</c:v>
                </c:pt>
                <c:pt idx="9">
                  <c:v>92.096124948881098</c:v>
                </c:pt>
                <c:pt idx="10">
                  <c:v>88.809585993528444</c:v>
                </c:pt>
                <c:pt idx="11">
                  <c:v>90.27026997368516</c:v>
                </c:pt>
                <c:pt idx="12">
                  <c:v>81.614256707276454</c:v>
                </c:pt>
                <c:pt idx="13">
                  <c:v>63.046604783883595</c:v>
                </c:pt>
                <c:pt idx="14">
                  <c:v>82.768076582818438</c:v>
                </c:pt>
                <c:pt idx="15">
                  <c:v>40.864608242154681</c:v>
                </c:pt>
              </c:numCache>
            </c:numRef>
          </c:xVal>
          <c:yVal>
            <c:numRef>
              <c:f>'Morgan-Pompa solid data'!$Y$35:$Y$50</c:f>
              <c:numCache>
                <c:formatCode>0.000</c:formatCode>
                <c:ptCount val="16"/>
                <c:pt idx="0">
                  <c:v>5.0711921675864193</c:v>
                </c:pt>
                <c:pt idx="1">
                  <c:v>3.826696921293478</c:v>
                </c:pt>
                <c:pt idx="2">
                  <c:v>4.884337936274882</c:v>
                </c:pt>
                <c:pt idx="3">
                  <c:v>5.5394198220272219</c:v>
                </c:pt>
                <c:pt idx="4">
                  <c:v>4.295272054513088</c:v>
                </c:pt>
                <c:pt idx="5">
                  <c:v>4.0870164397488171</c:v>
                </c:pt>
                <c:pt idx="6">
                  <c:v>4.0033603614879265</c:v>
                </c:pt>
                <c:pt idx="7">
                  <c:v>4.6634382306142088</c:v>
                </c:pt>
                <c:pt idx="8">
                  <c:v>4.0028279997377281</c:v>
                </c:pt>
                <c:pt idx="9">
                  <c:v>5.7065757295673878</c:v>
                </c:pt>
                <c:pt idx="10">
                  <c:v>4.276391737789953</c:v>
                </c:pt>
                <c:pt idx="11">
                  <c:v>4.3613531630440585</c:v>
                </c:pt>
                <c:pt idx="12">
                  <c:v>4.0461462753513286</c:v>
                </c:pt>
                <c:pt idx="13">
                  <c:v>6.2182929376345433</c:v>
                </c:pt>
                <c:pt idx="14">
                  <c:v>4.2244222061912229</c:v>
                </c:pt>
                <c:pt idx="15">
                  <c:v>5.3458723813602074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0C-1E44-995F-39742042871D}"/>
            </c:ext>
          </c:extLst>
        </c:ser>
        <c:ser>
          <c:idx val="4"/>
          <c:order val="3"/>
          <c:tx>
            <c:v>Basalt control</c:v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x"/>
            <c:size val="20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data'!$AA$42,'Morgan-Pompa solid data'!$AA$50)</c:f>
              <c:numCache>
                <c:formatCode>0.000</c:formatCode>
                <c:ptCount val="2"/>
                <c:pt idx="0">
                  <c:v>36.790977750197328</c:v>
                </c:pt>
                <c:pt idx="1">
                  <c:v>40.864608242154681</c:v>
                </c:pt>
              </c:numCache>
            </c:numRef>
          </c:xVal>
          <c:yVal>
            <c:numRef>
              <c:f>('Morgan-Pompa solid data'!$Y$42,'Morgan-Pompa solid data'!$Y$50)</c:f>
              <c:numCache>
                <c:formatCode>0.000</c:formatCode>
                <c:ptCount val="2"/>
                <c:pt idx="0">
                  <c:v>4.6634382306142088</c:v>
                </c:pt>
                <c:pt idx="1">
                  <c:v>5.3458723813602074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0C-1E44-995F-397420428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Na/Ti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Physical mixing &amp;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 only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selective diss'!$U$13:$U$34</c:f>
              <c:numCache>
                <c:formatCode>0.000</c:formatCode>
                <c:ptCount val="22"/>
                <c:pt idx="0">
                  <c:v>0.55738749899999995</c:v>
                </c:pt>
                <c:pt idx="1">
                  <c:v>0.53665929359413911</c:v>
                </c:pt>
                <c:pt idx="2">
                  <c:v>0.51593108818827826</c:v>
                </c:pt>
                <c:pt idx="3">
                  <c:v>0.49520288278241725</c:v>
                </c:pt>
                <c:pt idx="4">
                  <c:v>0.47447467737655641</c:v>
                </c:pt>
                <c:pt idx="5">
                  <c:v>0.45374647197069551</c:v>
                </c:pt>
                <c:pt idx="6">
                  <c:v>0.43301826656483472</c:v>
                </c:pt>
                <c:pt idx="7">
                  <c:v>0.41229006115897376</c:v>
                </c:pt>
                <c:pt idx="8">
                  <c:v>0.39156185575311292</c:v>
                </c:pt>
                <c:pt idx="9">
                  <c:v>0.37083365034725202</c:v>
                </c:pt>
                <c:pt idx="10">
                  <c:v>0.35010544494139112</c:v>
                </c:pt>
                <c:pt idx="11">
                  <c:v>0.32937723953553028</c:v>
                </c:pt>
                <c:pt idx="12">
                  <c:v>0.30864903412966938</c:v>
                </c:pt>
                <c:pt idx="13">
                  <c:v>0.28792082872380842</c:v>
                </c:pt>
                <c:pt idx="14">
                  <c:v>0.26719262331794758</c:v>
                </c:pt>
                <c:pt idx="15">
                  <c:v>0.24646441791208668</c:v>
                </c:pt>
                <c:pt idx="16">
                  <c:v>0.2257362125062258</c:v>
                </c:pt>
                <c:pt idx="17">
                  <c:v>0.20500800710036493</c:v>
                </c:pt>
                <c:pt idx="18">
                  <c:v>0.184279801694504</c:v>
                </c:pt>
                <c:pt idx="19">
                  <c:v>0.16355159628864316</c:v>
                </c:pt>
                <c:pt idx="20">
                  <c:v>0.14282339088278223</c:v>
                </c:pt>
                <c:pt idx="21">
                  <c:v>0.12209518547692136</c:v>
                </c:pt>
              </c:numCache>
            </c:numRef>
          </c:xVal>
          <c:yVal>
            <c:numRef>
              <c:f>'plot selective diss'!$P$13:$P$34</c:f>
              <c:numCache>
                <c:formatCode>0.000</c:formatCode>
                <c:ptCount val="22"/>
                <c:pt idx="0">
                  <c:v>0.65578889600000001</c:v>
                </c:pt>
                <c:pt idx="1">
                  <c:v>0.64263704380952391</c:v>
                </c:pt>
                <c:pt idx="2">
                  <c:v>0.6294851916190477</c:v>
                </c:pt>
                <c:pt idx="3">
                  <c:v>0.61633333942857138</c:v>
                </c:pt>
                <c:pt idx="4">
                  <c:v>0.60318148723809517</c:v>
                </c:pt>
                <c:pt idx="5">
                  <c:v>0.59002963504761907</c:v>
                </c:pt>
                <c:pt idx="6">
                  <c:v>0.57687778285714286</c:v>
                </c:pt>
                <c:pt idx="7">
                  <c:v>0.56372593066666665</c:v>
                </c:pt>
                <c:pt idx="8">
                  <c:v>0.55057407847619055</c:v>
                </c:pt>
                <c:pt idx="9">
                  <c:v>0.53742222628571434</c:v>
                </c:pt>
                <c:pt idx="10">
                  <c:v>0.52427037409523813</c:v>
                </c:pt>
                <c:pt idx="11">
                  <c:v>0.51111852190476192</c:v>
                </c:pt>
                <c:pt idx="12">
                  <c:v>0.49796666971428583</c:v>
                </c:pt>
                <c:pt idx="13">
                  <c:v>0.48481481752380956</c:v>
                </c:pt>
                <c:pt idx="14">
                  <c:v>0.47166296533333335</c:v>
                </c:pt>
                <c:pt idx="15">
                  <c:v>0.4585111131428572</c:v>
                </c:pt>
                <c:pt idx="16">
                  <c:v>0.4453592609523811</c:v>
                </c:pt>
                <c:pt idx="17">
                  <c:v>0.43220740876190489</c:v>
                </c:pt>
                <c:pt idx="18">
                  <c:v>0.41905555657142868</c:v>
                </c:pt>
                <c:pt idx="19">
                  <c:v>0.40590370438095241</c:v>
                </c:pt>
                <c:pt idx="20">
                  <c:v>0.39275185219047631</c:v>
                </c:pt>
                <c:pt idx="21">
                  <c:v>0.37960000000000005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D0-C24E-A262-5E370D1BF5FB}"/>
            </c:ext>
          </c:extLst>
        </c:ser>
        <c:ser>
          <c:idx val="3"/>
          <c:order val="1"/>
          <c:tx>
            <c:v>Congruent weath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diss'!$BV$13:$BV$33</c:f>
              <c:numCache>
                <c:formatCode>0.000</c:formatCode>
                <c:ptCount val="21"/>
                <c:pt idx="0">
                  <c:v>0.33974134223846059</c:v>
                </c:pt>
                <c:pt idx="1">
                  <c:v>0.33416067155226725</c:v>
                </c:pt>
                <c:pt idx="2">
                  <c:v>0.32828628135627436</c:v>
                </c:pt>
                <c:pt idx="3">
                  <c:v>0.3220943565550925</c:v>
                </c:pt>
                <c:pt idx="4">
                  <c:v>0.31555843593162286</c:v>
                </c:pt>
                <c:pt idx="5">
                  <c:v>0.30864903412966926</c:v>
                </c:pt>
                <c:pt idx="6">
                  <c:v>0.30133319692760069</c:v>
                </c:pt>
                <c:pt idx="7">
                  <c:v>0.29357397565267951</c:v>
                </c:pt>
                <c:pt idx="8">
                  <c:v>0.28532980304807576</c:v>
                </c:pt>
                <c:pt idx="9">
                  <c:v>0.27655374833994911</c:v>
                </c:pt>
                <c:pt idx="10">
                  <c:v>0.26719262331794752</c:v>
                </c:pt>
                <c:pt idx="11">
                  <c:v>0.25718590346684217</c:v>
                </c:pt>
                <c:pt idx="12">
                  <c:v>0.24646441791208659</c:v>
                </c:pt>
                <c:pt idx="13">
                  <c:v>0.23494874824216383</c:v>
                </c:pt>
                <c:pt idx="14">
                  <c:v>0.22254725782840093</c:v>
                </c:pt>
                <c:pt idx="15">
                  <c:v>0.20915364818153689</c:v>
                </c:pt>
                <c:pt idx="16">
                  <c:v>0.19464390439743429</c:v>
                </c:pt>
                <c:pt idx="17">
                  <c:v>0.17887244376254008</c:v>
                </c:pt>
                <c:pt idx="18">
                  <c:v>0.16166721397901918</c:v>
                </c:pt>
                <c:pt idx="19">
                  <c:v>0.14282339088278195</c:v>
                </c:pt>
                <c:pt idx="20">
                  <c:v>0.12209518547692116</c:v>
                </c:pt>
              </c:numCache>
            </c:numRef>
          </c:xVal>
          <c:yVal>
            <c:numRef>
              <c:f>'plot selective diss'!$BQ$13:$BQ$33</c:f>
              <c:numCache>
                <c:formatCode>0.000</c:formatCode>
                <c:ptCount val="21"/>
                <c:pt idx="0">
                  <c:v>0.51769444799999997</c:v>
                </c:pt>
                <c:pt idx="1">
                  <c:v>0.51415356471794871</c:v>
                </c:pt>
                <c:pt idx="2">
                  <c:v>0.51042631915789471</c:v>
                </c:pt>
                <c:pt idx="3">
                  <c:v>0.50649760086486484</c:v>
                </c:pt>
                <c:pt idx="4">
                  <c:v>0.50235062044444445</c:v>
                </c:pt>
                <c:pt idx="5">
                  <c:v>0.49796666971428571</c:v>
                </c:pt>
                <c:pt idx="6">
                  <c:v>0.4933248395294117</c:v>
                </c:pt>
                <c:pt idx="7">
                  <c:v>0.48840168630303021</c:v>
                </c:pt>
                <c:pt idx="8">
                  <c:v>0.48317083599999999</c:v>
                </c:pt>
                <c:pt idx="9">
                  <c:v>0.47760251148387095</c:v>
                </c:pt>
                <c:pt idx="10">
                  <c:v>0.47166296533333335</c:v>
                </c:pt>
                <c:pt idx="11">
                  <c:v>0.46531379531034484</c:v>
                </c:pt>
                <c:pt idx="12">
                  <c:v>0.4585111131428572</c:v>
                </c:pt>
                <c:pt idx="13">
                  <c:v>0.45120452859259252</c:v>
                </c:pt>
                <c:pt idx="14">
                  <c:v>0.44333589907692317</c:v>
                </c:pt>
                <c:pt idx="15">
                  <c:v>0.43483777919999989</c:v>
                </c:pt>
                <c:pt idx="16">
                  <c:v>0.42563148266666662</c:v>
                </c:pt>
                <c:pt idx="17">
                  <c:v>0.41562463860869564</c:v>
                </c:pt>
                <c:pt idx="18">
                  <c:v>0.40470808145454545</c:v>
                </c:pt>
                <c:pt idx="19">
                  <c:v>0.39275185219047604</c:v>
                </c:pt>
                <c:pt idx="20">
                  <c:v>0.37959999999999999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0-C24E-A262-5E370D1BF5FB}"/>
            </c:ext>
          </c:extLst>
        </c:ser>
        <c:ser>
          <c:idx val="5"/>
          <c:order val="2"/>
          <c:tx>
            <c:v>Incongruent weath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'plot selective diss'!$BQ$43:$BQ$62</c:f>
              <c:numCache>
                <c:formatCode>0.000</c:formatCode>
                <c:ptCount val="20"/>
                <c:pt idx="0">
                  <c:v>0.52433056778504694</c:v>
                </c:pt>
                <c:pt idx="1">
                  <c:v>0.5197763928745841</c:v>
                </c:pt>
                <c:pt idx="2">
                  <c:v>0.51500885997823898</c:v>
                </c:pt>
                <c:pt idx="3">
                  <c:v>0.51001261608693038</c:v>
                </c:pt>
                <c:pt idx="4">
                  <c:v>0.50477079894244214</c:v>
                </c:pt>
                <c:pt idx="5">
                  <c:v>0.4992648469099632</c:v>
                </c:pt>
                <c:pt idx="6">
                  <c:v>0.49347427936623095</c:v>
                </c:pt>
                <c:pt idx="7">
                  <c:v>0.4873764421273365</c:v>
                </c:pt>
                <c:pt idx="8">
                  <c:v>0.4809462112462719</c:v>
                </c:pt>
                <c:pt idx="9">
                  <c:v>0.47415564701523971</c:v>
                </c:pt>
                <c:pt idx="10">
                  <c:v>0.46697358812481521</c:v>
                </c:pt>
                <c:pt idx="11">
                  <c:v>0.45936517354611195</c:v>
                </c:pt>
                <c:pt idx="12">
                  <c:v>0.45129127665929247</c:v>
                </c:pt>
                <c:pt idx="13">
                  <c:v>0.44270783224481092</c:v>
                </c:pt>
                <c:pt idx="14">
                  <c:v>0.43356503190109957</c:v>
                </c:pt>
                <c:pt idx="15">
                  <c:v>0.42380635686812551</c:v>
                </c:pt>
                <c:pt idx="16">
                  <c:v>0.41336740858652582</c:v>
                </c:pt>
                <c:pt idx="17">
                  <c:v>0.40217448586094762</c:v>
                </c:pt>
                <c:pt idx="18">
                  <c:v>0.3901428421704885</c:v>
                </c:pt>
                <c:pt idx="19">
                  <c:v>0.3771745359744042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0-C24E-A262-5E370D1BF5FB}"/>
            </c:ext>
          </c:extLst>
        </c:ser>
        <c:ser>
          <c:idx val="1"/>
          <c:order val="3"/>
          <c:tx>
            <c:v>H9 basalt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diss'!$D$18</c:f>
              <c:numCache>
                <c:formatCode>0.000</c:formatCode>
                <c:ptCount val="1"/>
                <c:pt idx="0">
                  <c:v>0.55738749899999995</c:v>
                </c:pt>
              </c:numCache>
            </c:numRef>
          </c:xVal>
          <c:yVal>
            <c:numRef>
              <c:f>'plot selective diss'!$D$20</c:f>
              <c:numCache>
                <c:formatCode>0.000</c:formatCode>
                <c:ptCount val="1"/>
                <c:pt idx="0">
                  <c:v>0.65578889600000001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D0-C24E-A262-5E370D1BF5FB}"/>
            </c:ext>
          </c:extLst>
        </c:ser>
        <c:ser>
          <c:idx val="2"/>
          <c:order val="4"/>
          <c:tx>
            <c:v>P6-A LFGL soil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'plot selective diss'!$G$20</c:f>
              <c:numCache>
                <c:formatCode>0.000</c:formatCode>
                <c:ptCount val="1"/>
                <c:pt idx="0">
                  <c:v>0.37959999999999999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D0-C24E-A262-5E370D1BF5FB}"/>
            </c:ext>
          </c:extLst>
        </c:ser>
        <c:ser>
          <c:idx val="4"/>
          <c:order val="5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data'!$O$35:$O$50</c:f>
              <c:numCache>
                <c:formatCode>0.000</c:formatCode>
                <c:ptCount val="16"/>
                <c:pt idx="0">
                  <c:v>0.55739447818193211</c:v>
                </c:pt>
                <c:pt idx="1">
                  <c:v>0.59335541225818567</c:v>
                </c:pt>
                <c:pt idx="2">
                  <c:v>0.62931634633443934</c:v>
                </c:pt>
                <c:pt idx="3">
                  <c:v>0.52143354410567833</c:v>
                </c:pt>
                <c:pt idx="4">
                  <c:v>0.59335541225818567</c:v>
                </c:pt>
                <c:pt idx="5">
                  <c:v>0.59335541225818567</c:v>
                </c:pt>
                <c:pt idx="6">
                  <c:v>0.61732936830902141</c:v>
                </c:pt>
                <c:pt idx="7">
                  <c:v>1.006906154135103</c:v>
                </c:pt>
                <c:pt idx="8">
                  <c:v>0.5633879671946409</c:v>
                </c:pt>
                <c:pt idx="9">
                  <c:v>0.50345307706755149</c:v>
                </c:pt>
                <c:pt idx="10">
                  <c:v>0.54540750015651418</c:v>
                </c:pt>
                <c:pt idx="11">
                  <c:v>0.54540750015651418</c:v>
                </c:pt>
                <c:pt idx="12">
                  <c:v>0.59934890127089469</c:v>
                </c:pt>
                <c:pt idx="13">
                  <c:v>0.65329030238527519</c:v>
                </c:pt>
                <c:pt idx="14">
                  <c:v>0.58136843423276774</c:v>
                </c:pt>
                <c:pt idx="15">
                  <c:v>0.88703637388092405</c:v>
                </c:pt>
              </c:numCache>
            </c:numRef>
          </c:xVal>
          <c:yVal>
            <c:numRef>
              <c:f>'Morgan-Pompa solid data'!$H$35:$H$50</c:f>
              <c:numCache>
                <c:formatCode>0.000</c:formatCode>
                <c:ptCount val="16"/>
                <c:pt idx="0">
                  <c:v>0.92146674451934818</c:v>
                </c:pt>
                <c:pt idx="1">
                  <c:v>0.85505472689633211</c:v>
                </c:pt>
                <c:pt idx="2">
                  <c:v>0.97957725993948719</c:v>
                </c:pt>
                <c:pt idx="3">
                  <c:v>0.95467275333085622</c:v>
                </c:pt>
                <c:pt idx="4">
                  <c:v>0.87165773130208624</c:v>
                </c:pt>
                <c:pt idx="5">
                  <c:v>0.83845172249057809</c:v>
                </c:pt>
                <c:pt idx="6">
                  <c:v>0.83845172249057809</c:v>
                </c:pt>
                <c:pt idx="7">
                  <c:v>0.41507511014385057</c:v>
                </c:pt>
                <c:pt idx="8">
                  <c:v>0.81354721588194712</c:v>
                </c:pt>
                <c:pt idx="9">
                  <c:v>1.0293862731567494</c:v>
                </c:pt>
                <c:pt idx="10">
                  <c:v>0.81354721588194712</c:v>
                </c:pt>
                <c:pt idx="11">
                  <c:v>0.82184871808482396</c:v>
                </c:pt>
                <c:pt idx="12">
                  <c:v>0.82184871808482396</c:v>
                </c:pt>
                <c:pt idx="13">
                  <c:v>1.2203208238229206</c:v>
                </c:pt>
                <c:pt idx="14">
                  <c:v>0.84675322469345504</c:v>
                </c:pt>
                <c:pt idx="15">
                  <c:v>0.48148712776686658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D0-C24E-A262-5E370D1BF5FB}"/>
            </c:ext>
          </c:extLst>
        </c:ser>
        <c:ser>
          <c:idx val="6"/>
          <c:order val="6"/>
          <c:tx>
            <c:v>Ave EXPT</c:v>
          </c:tx>
          <c:spPr>
            <a:ln w="25400" cap="flat" cmpd="dbl" algn="ctr">
              <a:noFill/>
              <a:round/>
            </a:ln>
            <a:effectLst/>
          </c:spPr>
          <c:marker>
            <c:symbol val="plus"/>
            <c:size val="40"/>
            <c:spPr>
              <a:noFill/>
              <a:ln w="63500" cap="flat" cmpd="dbl" algn="ctr">
                <a:solidFill>
                  <a:schemeClr val="accent1">
                    <a:lumMod val="60000"/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'plot selective diss'!$D$39</c:f>
              <c:numCache>
                <c:formatCode>0.000</c:formatCode>
                <c:ptCount val="1"/>
                <c:pt idx="0">
                  <c:v>0.5783716897264134</c:v>
                </c:pt>
              </c:numCache>
            </c:numRef>
          </c:xVal>
          <c:yVal>
            <c:numRef>
              <c:f>'plot selective diss'!$D$41</c:f>
              <c:numCache>
                <c:formatCode>0.000</c:formatCode>
                <c:ptCount val="1"/>
                <c:pt idx="0">
                  <c:v>0.90189891789828092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D0-C24E-A262-5E370D1BF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Residual solid: Elemental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Mixing only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'plot selective diss'!$AB$13:$AB$34</c:f>
              <c:numCache>
                <c:formatCode>0.00</c:formatCode>
                <c:ptCount val="22"/>
                <c:pt idx="0">
                  <c:v>64.532579102202547</c:v>
                </c:pt>
                <c:pt idx="1">
                  <c:v>70.02656637298692</c:v>
                </c:pt>
                <c:pt idx="2">
                  <c:v>75.962009874082625</c:v>
                </c:pt>
                <c:pt idx="3">
                  <c:v>82.394345038547939</c:v>
                </c:pt>
                <c:pt idx="4">
                  <c:v>89.388694451131144</c:v>
                </c:pt>
                <c:pt idx="5">
                  <c:v>97.022080507568404</c:v>
                </c:pt>
                <c:pt idx="6">
                  <c:v>105.3862735822651</c:v>
                </c:pt>
                <c:pt idx="7">
                  <c:v>114.591499359129</c:v>
                </c:pt>
                <c:pt idx="8">
                  <c:v>124.77132369765901</c:v>
                </c:pt>
                <c:pt idx="9">
                  <c:v>136.08917577281457</c:v>
                </c:pt>
                <c:pt idx="10">
                  <c:v>148.74718845361994</c:v>
                </c:pt>
                <c:pt idx="11">
                  <c:v>162.99837671175243</c:v>
                </c:pt>
                <c:pt idx="12">
                  <c:v>179.16372328452309</c:v>
                </c:pt>
                <c:pt idx="13">
                  <c:v>197.656644598604</c:v>
                </c:pt>
                <c:pt idx="14">
                  <c:v>219.01884476322064</c:v>
                </c:pt>
                <c:pt idx="15">
                  <c:v>243.97426196650326</c:v>
                </c:pt>
                <c:pt idx="16">
                  <c:v>273.51273660692016</c:v>
                </c:pt>
                <c:pt idx="17">
                  <c:v>309.02443715575362</c:v>
                </c:pt>
                <c:pt idx="18">
                  <c:v>352.52500915462196</c:v>
                </c:pt>
                <c:pt idx="19">
                  <c:v>407.05193384128216</c:v>
                </c:pt>
                <c:pt idx="20">
                  <c:v>477.40603204719633</c:v>
                </c:pt>
                <c:pt idx="21">
                  <c:v>571.64828264929065</c:v>
                </c:pt>
              </c:numCache>
            </c:numRef>
          </c:xVal>
          <c:yVal>
            <c:numRef>
              <c:f>'plot selective diss'!$AC$13:$AC$34</c:f>
              <c:numCache>
                <c:formatCode>0.00</c:formatCode>
                <c:ptCount val="22"/>
                <c:pt idx="0">
                  <c:v>27.62753719540477</c:v>
                </c:pt>
                <c:pt idx="1">
                  <c:v>27.591124457838813</c:v>
                </c:pt>
                <c:pt idx="2">
                  <c:v>27.551785861680731</c:v>
                </c:pt>
                <c:pt idx="3">
                  <c:v>27.509153995108079</c:v>
                </c:pt>
                <c:pt idx="4">
                  <c:v>27.462797242343221</c:v>
                </c:pt>
                <c:pt idx="5">
                  <c:v>27.412205118715491</c:v>
                </c:pt>
                <c:pt idx="6">
                  <c:v>27.356769393736737</c:v>
                </c:pt>
                <c:pt idx="7">
                  <c:v>27.295759519864117</c:v>
                </c:pt>
                <c:pt idx="8">
                  <c:v>27.228290256861335</c:v>
                </c:pt>
                <c:pt idx="9">
                  <c:v>27.15327843810185</c:v>
                </c:pt>
                <c:pt idx="10">
                  <c:v>27.06938437880838</c:v>
                </c:pt>
                <c:pt idx="11">
                  <c:v>26.974931160686445</c:v>
                </c:pt>
                <c:pt idx="12">
                  <c:v>26.867791392535317</c:v>
                </c:pt>
                <c:pt idx="13">
                  <c:v>26.745225056384811</c:v>
                </c:pt>
                <c:pt idx="14">
                  <c:v>26.603641876430583</c:v>
                </c:pt>
                <c:pt idx="15">
                  <c:v>26.438243776164789</c:v>
                </c:pt>
                <c:pt idx="16">
                  <c:v>26.24247034747486</c:v>
                </c:pt>
                <c:pt idx="17">
                  <c:v>26.007107910528212</c:v>
                </c:pt>
                <c:pt idx="18">
                  <c:v>25.718797284002537</c:v>
                </c:pt>
                <c:pt idx="19">
                  <c:v>25.357406821841746</c:v>
                </c:pt>
                <c:pt idx="20">
                  <c:v>24.891117915734391</c:v>
                </c:pt>
                <c:pt idx="21">
                  <c:v>24.266504466582798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9-FA40-9077-1B5034815B68}"/>
            </c:ext>
          </c:extLst>
        </c:ser>
        <c:ser>
          <c:idx val="1"/>
          <c:order val="1"/>
          <c:tx>
            <c:v>Mix + weath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diss'!$CC$13:$CC$33</c:f>
              <c:numCache>
                <c:formatCode>0.000</c:formatCode>
                <c:ptCount val="21"/>
                <c:pt idx="0">
                  <c:v>155.65541018730315</c:v>
                </c:pt>
                <c:pt idx="1">
                  <c:v>159.55271601099778</c:v>
                </c:pt>
                <c:pt idx="2">
                  <c:v>163.79829128077213</c:v>
                </c:pt>
                <c:pt idx="3">
                  <c:v>168.44100224684431</c:v>
                </c:pt>
                <c:pt idx="4">
                  <c:v>173.53930571871919</c:v>
                </c:pt>
                <c:pt idx="5">
                  <c:v>179.16372328452317</c:v>
                </c:pt>
                <c:pt idx="6">
                  <c:v>185.40012317583333</c:v>
                </c:pt>
                <c:pt idx="7">
                  <c:v>192.35413504840176</c:v>
                </c:pt>
                <c:pt idx="8">
                  <c:v>200.15718180189143</c:v>
                </c:pt>
                <c:pt idx="9">
                  <c:v>208.97486436525253</c:v>
                </c:pt>
                <c:pt idx="10">
                  <c:v>219.01884476322076</c:v>
                </c:pt>
                <c:pt idx="11">
                  <c:v>230.56405752176158</c:v>
                </c:pt>
                <c:pt idx="12">
                  <c:v>243.97426196650338</c:v>
                </c:pt>
                <c:pt idx="13">
                  <c:v>259.74106557420919</c:v>
                </c:pt>
                <c:pt idx="14">
                  <c:v>278.5455020444906</c:v>
                </c:pt>
                <c:pt idx="15">
                  <c:v>301.35899421345243</c:v>
                </c:pt>
                <c:pt idx="16">
                  <c:v>329.61659699339498</c:v>
                </c:pt>
                <c:pt idx="17">
                  <c:v>365.53106952240262</c:v>
                </c:pt>
                <c:pt idx="18">
                  <c:v>412.70226759055959</c:v>
                </c:pt>
                <c:pt idx="19">
                  <c:v>477.4060320471973</c:v>
                </c:pt>
                <c:pt idx="20">
                  <c:v>571.64828264929156</c:v>
                </c:pt>
              </c:numCache>
            </c:numRef>
          </c:xVal>
          <c:yVal>
            <c:numRef>
              <c:f>'plot selective diss'!$CD$13:$CD$33</c:f>
              <c:numCache>
                <c:formatCode>0.000</c:formatCode>
                <c:ptCount val="21"/>
                <c:pt idx="0">
                  <c:v>27.023598458194083</c:v>
                </c:pt>
                <c:pt idx="1">
                  <c:v>26.997768115461561</c:v>
                </c:pt>
                <c:pt idx="2">
                  <c:v>26.969629532225852</c:v>
                </c:pt>
                <c:pt idx="3">
                  <c:v>26.938858835522364</c:v>
                </c:pt>
                <c:pt idx="4">
                  <c:v>26.905068588620946</c:v>
                </c:pt>
                <c:pt idx="5">
                  <c:v>26.86779139253532</c:v>
                </c:pt>
                <c:pt idx="6">
                  <c:v>26.82645813466517</c:v>
                </c:pt>
                <c:pt idx="7">
                  <c:v>26.780368728762664</c:v>
                </c:pt>
                <c:pt idx="8">
                  <c:v>26.728652137579296</c:v>
                </c:pt>
                <c:pt idx="9">
                  <c:v>26.670210800660481</c:v>
                </c:pt>
                <c:pt idx="10">
                  <c:v>26.603641876430576</c:v>
                </c:pt>
                <c:pt idx="11">
                  <c:v>26.527123169415098</c:v>
                </c:pt>
                <c:pt idx="12">
                  <c:v>26.438243776164786</c:v>
                </c:pt>
                <c:pt idx="13">
                  <c:v>26.333745448497666</c:v>
                </c:pt>
                <c:pt idx="14">
                  <c:v>26.209114469844085</c:v>
                </c:pt>
                <c:pt idx="15">
                  <c:v>26.05791249896787</c:v>
                </c:pt>
                <c:pt idx="16">
                  <c:v>25.870628360225712</c:v>
                </c:pt>
                <c:pt idx="17">
                  <c:v>25.632596453968308</c:v>
                </c:pt>
                <c:pt idx="18">
                  <c:v>25.319957859943592</c:v>
                </c:pt>
                <c:pt idx="19">
                  <c:v>24.891117915734402</c:v>
                </c:pt>
                <c:pt idx="20">
                  <c:v>24.266504466582802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D9-FA40-9077-1B5034815B68}"/>
            </c:ext>
          </c:extLst>
        </c:ser>
        <c:ser>
          <c:idx val="2"/>
          <c:order val="2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data'!$AA$35:$AA$50</c:f>
              <c:numCache>
                <c:formatCode>0.000</c:formatCode>
                <c:ptCount val="16"/>
                <c:pt idx="0">
                  <c:v>86.75677528163078</c:v>
                </c:pt>
                <c:pt idx="1">
                  <c:v>82.707172920873745</c:v>
                </c:pt>
                <c:pt idx="2">
                  <c:v>77.348085695898746</c:v>
                </c:pt>
                <c:pt idx="3">
                  <c:v>84.795223468752923</c:v>
                </c:pt>
                <c:pt idx="4">
                  <c:v>71.294657176922016</c:v>
                </c:pt>
                <c:pt idx="5">
                  <c:v>77.605107058871766</c:v>
                </c:pt>
                <c:pt idx="6">
                  <c:v>73.687961449440039</c:v>
                </c:pt>
                <c:pt idx="7">
                  <c:v>36.790977750197328</c:v>
                </c:pt>
                <c:pt idx="8">
                  <c:v>86.54086406690206</c:v>
                </c:pt>
                <c:pt idx="9">
                  <c:v>92.096124948881098</c:v>
                </c:pt>
                <c:pt idx="10">
                  <c:v>88.809585993528444</c:v>
                </c:pt>
                <c:pt idx="11">
                  <c:v>90.27026997368516</c:v>
                </c:pt>
                <c:pt idx="12">
                  <c:v>81.614256707276454</c:v>
                </c:pt>
                <c:pt idx="13">
                  <c:v>63.046604783883595</c:v>
                </c:pt>
                <c:pt idx="14">
                  <c:v>82.768076582818438</c:v>
                </c:pt>
                <c:pt idx="15">
                  <c:v>40.864608242154681</c:v>
                </c:pt>
              </c:numCache>
            </c:numRef>
          </c:xVal>
          <c:yVal>
            <c:numRef>
              <c:f>'Morgan-Pompa solid data'!$R$35:$R$50</c:f>
              <c:numCache>
                <c:formatCode>0.000</c:formatCode>
                <c:ptCount val="16"/>
                <c:pt idx="0">
                  <c:v>19.203231089939194</c:v>
                </c:pt>
                <c:pt idx="1">
                  <c:v>14.399871053885825</c:v>
                </c:pt>
                <c:pt idx="2">
                  <c:v>17.605368252380345</c:v>
                </c:pt>
                <c:pt idx="3">
                  <c:v>22.50832440215196</c:v>
                </c:pt>
                <c:pt idx="4">
                  <c:v>17.881158561418658</c:v>
                </c:pt>
                <c:pt idx="5">
                  <c:v>14.573935429262468</c:v>
                </c:pt>
                <c:pt idx="6">
                  <c:v>14.129633422564099</c:v>
                </c:pt>
                <c:pt idx="7">
                  <c:v>13.614320788387344</c:v>
                </c:pt>
                <c:pt idx="8">
                  <c:v>15.115824427654548</c:v>
                </c:pt>
                <c:pt idx="9">
                  <c:v>24.05818331098585</c:v>
                </c:pt>
                <c:pt idx="10">
                  <c:v>16.819209370184737</c:v>
                </c:pt>
                <c:pt idx="11">
                  <c:v>15.975666627974858</c:v>
                </c:pt>
                <c:pt idx="12">
                  <c:v>14.49085925010543</c:v>
                </c:pt>
                <c:pt idx="13">
                  <c:v>23.139383478968259</c:v>
                </c:pt>
                <c:pt idx="14">
                  <c:v>16.634811956097632</c:v>
                </c:pt>
                <c:pt idx="15">
                  <c:v>15.454093867899148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D9-FA40-9077-1B5034815B68}"/>
            </c:ext>
          </c:extLst>
        </c:ser>
        <c:ser>
          <c:idx val="3"/>
          <c:order val="3"/>
          <c:tx>
            <c:v>EFF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data'!$AA$43:$AA$49</c:f>
              <c:numCache>
                <c:formatCode>0.000</c:formatCode>
                <c:ptCount val="7"/>
                <c:pt idx="0">
                  <c:v>86.54086406690206</c:v>
                </c:pt>
                <c:pt idx="1">
                  <c:v>92.096124948881098</c:v>
                </c:pt>
                <c:pt idx="2">
                  <c:v>88.809585993528444</c:v>
                </c:pt>
                <c:pt idx="3">
                  <c:v>90.27026997368516</c:v>
                </c:pt>
                <c:pt idx="4">
                  <c:v>81.614256707276454</c:v>
                </c:pt>
                <c:pt idx="5">
                  <c:v>63.046604783883595</c:v>
                </c:pt>
                <c:pt idx="6">
                  <c:v>82.768076582818438</c:v>
                </c:pt>
              </c:numCache>
            </c:numRef>
          </c:xVal>
          <c:yVal>
            <c:numRef>
              <c:f>'Morgan-Pompa solid data'!$R$43:$R$49</c:f>
              <c:numCache>
                <c:formatCode>0.000</c:formatCode>
                <c:ptCount val="7"/>
                <c:pt idx="0">
                  <c:v>15.115824427654548</c:v>
                </c:pt>
                <c:pt idx="1">
                  <c:v>24.05818331098585</c:v>
                </c:pt>
                <c:pt idx="2">
                  <c:v>16.819209370184737</c:v>
                </c:pt>
                <c:pt idx="3">
                  <c:v>15.975666627974858</c:v>
                </c:pt>
                <c:pt idx="4">
                  <c:v>14.49085925010543</c:v>
                </c:pt>
                <c:pt idx="5">
                  <c:v>23.139383478968259</c:v>
                </c:pt>
                <c:pt idx="6">
                  <c:v>16.634811956097632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D9-FA40-9077-1B5034815B68}"/>
            </c:ext>
          </c:extLst>
        </c:ser>
        <c:ser>
          <c:idx val="4"/>
          <c:order val="4"/>
          <c:tx>
            <c:v>Basalt control</c:v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20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data'!$AA$42,'Morgan-Pompa solid data'!$AA$50)</c:f>
              <c:numCache>
                <c:formatCode>0.000</c:formatCode>
                <c:ptCount val="2"/>
                <c:pt idx="0">
                  <c:v>36.790977750197328</c:v>
                </c:pt>
                <c:pt idx="1">
                  <c:v>40.864608242154681</c:v>
                </c:pt>
              </c:numCache>
            </c:numRef>
          </c:xVal>
          <c:yVal>
            <c:numRef>
              <c:f>('Morgan-Pompa solid data'!$R$42,'Morgan-Pompa solid data'!$R$50)</c:f>
              <c:numCache>
                <c:formatCode>0.000</c:formatCode>
                <c:ptCount val="2"/>
                <c:pt idx="0">
                  <c:v>13.614320788387344</c:v>
                </c:pt>
                <c:pt idx="1">
                  <c:v>15.454093867899148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D9-FA40-9077-1B5034815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Al/Ti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Residual solid: Elemental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'plot selective diss'!$AB$13:$AB$34</c:f>
              <c:numCache>
                <c:formatCode>0.00</c:formatCode>
                <c:ptCount val="22"/>
                <c:pt idx="0">
                  <c:v>64.532579102202547</c:v>
                </c:pt>
                <c:pt idx="1">
                  <c:v>70.02656637298692</c:v>
                </c:pt>
                <c:pt idx="2">
                  <c:v>75.962009874082625</c:v>
                </c:pt>
                <c:pt idx="3">
                  <c:v>82.394345038547939</c:v>
                </c:pt>
                <c:pt idx="4">
                  <c:v>89.388694451131144</c:v>
                </c:pt>
                <c:pt idx="5">
                  <c:v>97.022080507568404</c:v>
                </c:pt>
                <c:pt idx="6">
                  <c:v>105.3862735822651</c:v>
                </c:pt>
                <c:pt idx="7">
                  <c:v>114.591499359129</c:v>
                </c:pt>
                <c:pt idx="8">
                  <c:v>124.77132369765901</c:v>
                </c:pt>
                <c:pt idx="9">
                  <c:v>136.08917577281457</c:v>
                </c:pt>
                <c:pt idx="10">
                  <c:v>148.74718845361994</c:v>
                </c:pt>
                <c:pt idx="11">
                  <c:v>162.99837671175243</c:v>
                </c:pt>
                <c:pt idx="12">
                  <c:v>179.16372328452309</c:v>
                </c:pt>
                <c:pt idx="13">
                  <c:v>197.656644598604</c:v>
                </c:pt>
                <c:pt idx="14">
                  <c:v>219.01884476322064</c:v>
                </c:pt>
                <c:pt idx="15">
                  <c:v>243.97426196650326</c:v>
                </c:pt>
                <c:pt idx="16">
                  <c:v>273.51273660692016</c:v>
                </c:pt>
                <c:pt idx="17">
                  <c:v>309.02443715575362</c:v>
                </c:pt>
                <c:pt idx="18">
                  <c:v>352.52500915462196</c:v>
                </c:pt>
                <c:pt idx="19">
                  <c:v>407.05193384128216</c:v>
                </c:pt>
                <c:pt idx="20">
                  <c:v>477.40603204719633</c:v>
                </c:pt>
                <c:pt idx="21">
                  <c:v>571.64828264929065</c:v>
                </c:pt>
              </c:numCache>
            </c:numRef>
          </c:xVal>
          <c:yVal>
            <c:numRef>
              <c:f>'plot selective diss'!$AD$13:$AD$34</c:f>
              <c:numCache>
                <c:formatCode>0.00</c:formatCode>
                <c:ptCount val="22"/>
                <c:pt idx="0">
                  <c:v>9.1321085175349861</c:v>
                </c:pt>
                <c:pt idx="1">
                  <c:v>9.0978248551346148</c:v>
                </c:pt>
                <c:pt idx="2">
                  <c:v>9.06078641089392</c:v>
                </c:pt>
                <c:pt idx="3">
                  <c:v>9.0206472557857094</c:v>
                </c:pt>
                <c:pt idx="4">
                  <c:v>8.977001010872403</c:v>
                </c:pt>
                <c:pt idx="5">
                  <c:v>8.929367039836059</c:v>
                </c:pt>
                <c:pt idx="6">
                  <c:v>8.8771726757993399</c:v>
                </c:pt>
                <c:pt idx="7">
                  <c:v>8.8197300867836379</c:v>
                </c:pt>
                <c:pt idx="8">
                  <c:v>8.7562057930938515</c:v>
                </c:pt>
                <c:pt idx="9">
                  <c:v>8.6855799615224303</c:v>
                </c:pt>
                <c:pt idx="10">
                  <c:v>8.6065912394851498</c:v>
                </c:pt>
                <c:pt idx="11">
                  <c:v>8.5176607591318181</c:v>
                </c:pt>
                <c:pt idx="12">
                  <c:v>8.4167855191339047</c:v>
                </c:pt>
                <c:pt idx="13">
                  <c:v>8.3013857120575345</c:v>
                </c:pt>
                <c:pt idx="14">
                  <c:v>8.1680809877332852</c:v>
                </c:pt>
                <c:pt idx="15">
                  <c:v>8.0123538161383667</c:v>
                </c:pt>
                <c:pt idx="16">
                  <c:v>7.8280273802583338</c:v>
                </c:pt>
                <c:pt idx="17">
                  <c:v>7.6064267297884181</c:v>
                </c:pt>
                <c:pt idx="18">
                  <c:v>7.3349738029564122</c:v>
                </c:pt>
                <c:pt idx="19">
                  <c:v>6.9947140634355769</c:v>
                </c:pt>
                <c:pt idx="20">
                  <c:v>6.5556893565163534</c:v>
                </c:pt>
                <c:pt idx="21">
                  <c:v>5.9675974399815663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52-2346-9E95-E8D0D0BCE3E1}"/>
            </c:ext>
          </c:extLst>
        </c:ser>
        <c:ser>
          <c:idx val="1"/>
          <c:order val="1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diss'!$CC$13:$CC$33</c:f>
              <c:numCache>
                <c:formatCode>0.000</c:formatCode>
                <c:ptCount val="21"/>
                <c:pt idx="0">
                  <c:v>155.65541018730315</c:v>
                </c:pt>
                <c:pt idx="1">
                  <c:v>159.55271601099778</c:v>
                </c:pt>
                <c:pt idx="2">
                  <c:v>163.79829128077213</c:v>
                </c:pt>
                <c:pt idx="3">
                  <c:v>168.44100224684431</c:v>
                </c:pt>
                <c:pt idx="4">
                  <c:v>173.53930571871919</c:v>
                </c:pt>
                <c:pt idx="5">
                  <c:v>179.16372328452317</c:v>
                </c:pt>
                <c:pt idx="6">
                  <c:v>185.40012317583333</c:v>
                </c:pt>
                <c:pt idx="7">
                  <c:v>192.35413504840176</c:v>
                </c:pt>
                <c:pt idx="8">
                  <c:v>200.15718180189143</c:v>
                </c:pt>
                <c:pt idx="9">
                  <c:v>208.97486436525253</c:v>
                </c:pt>
                <c:pt idx="10">
                  <c:v>219.01884476322076</c:v>
                </c:pt>
                <c:pt idx="11">
                  <c:v>230.56405752176158</c:v>
                </c:pt>
                <c:pt idx="12">
                  <c:v>243.97426196650338</c:v>
                </c:pt>
                <c:pt idx="13">
                  <c:v>259.74106557420919</c:v>
                </c:pt>
                <c:pt idx="14">
                  <c:v>278.5455020444906</c:v>
                </c:pt>
                <c:pt idx="15">
                  <c:v>301.35899421345243</c:v>
                </c:pt>
                <c:pt idx="16">
                  <c:v>329.61659699339498</c:v>
                </c:pt>
                <c:pt idx="17">
                  <c:v>365.53106952240262</c:v>
                </c:pt>
                <c:pt idx="18">
                  <c:v>412.70226759055959</c:v>
                </c:pt>
                <c:pt idx="19">
                  <c:v>477.4060320471973</c:v>
                </c:pt>
                <c:pt idx="20">
                  <c:v>571.64828264929156</c:v>
                </c:pt>
              </c:numCache>
            </c:numRef>
          </c:xVal>
          <c:yVal>
            <c:numRef>
              <c:f>'plot selective diss'!$CE$13:$CE$33</c:f>
              <c:numCache>
                <c:formatCode>0.000</c:formatCode>
                <c:ptCount val="21"/>
                <c:pt idx="0">
                  <c:v>8.563482449815405</c:v>
                </c:pt>
                <c:pt idx="1">
                  <c:v>8.5391624231125629</c:v>
                </c:pt>
                <c:pt idx="2">
                  <c:v>8.5126691201487343</c:v>
                </c:pt>
                <c:pt idx="3">
                  <c:v>8.4836976050107715</c:v>
                </c:pt>
                <c:pt idx="4">
                  <c:v>8.4518830946325121</c:v>
                </c:pt>
                <c:pt idx="5">
                  <c:v>8.4167855191339065</c:v>
                </c:pt>
                <c:pt idx="6">
                  <c:v>8.3778690422785012</c:v>
                </c:pt>
                <c:pt idx="7">
                  <c:v>8.3344745122920365</c:v>
                </c:pt>
                <c:pt idx="8">
                  <c:v>8.2857818220097812</c:v>
                </c:pt>
                <c:pt idx="9">
                  <c:v>8.2307575860120998</c:v>
                </c:pt>
                <c:pt idx="10">
                  <c:v>8.1680809877332816</c:v>
                </c:pt>
                <c:pt idx="11">
                  <c:v>8.0960363765891898</c:v>
                </c:pt>
                <c:pt idx="12">
                  <c:v>8.0123538161383649</c:v>
                </c:pt>
                <c:pt idx="13">
                  <c:v>7.9139655699744171</c:v>
                </c:pt>
                <c:pt idx="14">
                  <c:v>7.7966218413122448</c:v>
                </c:pt>
                <c:pt idx="15">
                  <c:v>7.6542607426884208</c:v>
                </c:pt>
                <c:pt idx="16">
                  <c:v>7.47792722275054</c:v>
                </c:pt>
                <c:pt idx="17">
                  <c:v>7.2538131884826589</c:v>
                </c:pt>
                <c:pt idx="18">
                  <c:v>6.959454765377175</c:v>
                </c:pt>
                <c:pt idx="19">
                  <c:v>6.555689356516341</c:v>
                </c:pt>
                <c:pt idx="20">
                  <c:v>5.9675974399815619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2-2346-9E95-E8D0D0BCE3E1}"/>
            </c:ext>
          </c:extLst>
        </c:ser>
        <c:ser>
          <c:idx val="2"/>
          <c:order val="2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data'!$AA$35:$AA$50</c:f>
              <c:numCache>
                <c:formatCode>0.000</c:formatCode>
                <c:ptCount val="16"/>
                <c:pt idx="0">
                  <c:v>86.75677528163078</c:v>
                </c:pt>
                <c:pt idx="1">
                  <c:v>82.707172920873745</c:v>
                </c:pt>
                <c:pt idx="2">
                  <c:v>77.348085695898746</c:v>
                </c:pt>
                <c:pt idx="3">
                  <c:v>84.795223468752923</c:v>
                </c:pt>
                <c:pt idx="4">
                  <c:v>71.294657176922016</c:v>
                </c:pt>
                <c:pt idx="5">
                  <c:v>77.605107058871766</c:v>
                </c:pt>
                <c:pt idx="6">
                  <c:v>73.687961449440039</c:v>
                </c:pt>
                <c:pt idx="7">
                  <c:v>36.790977750197328</c:v>
                </c:pt>
                <c:pt idx="8">
                  <c:v>86.54086406690206</c:v>
                </c:pt>
                <c:pt idx="9">
                  <c:v>92.096124948881098</c:v>
                </c:pt>
                <c:pt idx="10">
                  <c:v>88.809585993528444</c:v>
                </c:pt>
                <c:pt idx="11">
                  <c:v>90.27026997368516</c:v>
                </c:pt>
                <c:pt idx="12">
                  <c:v>81.614256707276454</c:v>
                </c:pt>
                <c:pt idx="13">
                  <c:v>63.046604783883595</c:v>
                </c:pt>
                <c:pt idx="14">
                  <c:v>82.768076582818438</c:v>
                </c:pt>
                <c:pt idx="15">
                  <c:v>40.864608242154681</c:v>
                </c:pt>
              </c:numCache>
            </c:numRef>
          </c:xVal>
          <c:yVal>
            <c:numRef>
              <c:f>'Morgan-Pompa solid data'!$U$35:$U$50</c:f>
              <c:numCache>
                <c:formatCode>0.000</c:formatCode>
                <c:ptCount val="16"/>
                <c:pt idx="0">
                  <c:v>7.346063613287579</c:v>
                </c:pt>
                <c:pt idx="1">
                  <c:v>6.6179431948091896</c:v>
                </c:pt>
                <c:pt idx="2">
                  <c:v>6.9352003189572935</c:v>
                </c:pt>
                <c:pt idx="3">
                  <c:v>8.2321011743591193</c:v>
                </c:pt>
                <c:pt idx="4">
                  <c:v>6.9412625569983408</c:v>
                </c:pt>
                <c:pt idx="5">
                  <c:v>6.7593954157669423</c:v>
                </c:pt>
                <c:pt idx="6">
                  <c:v>6.8270805977786271</c:v>
                </c:pt>
                <c:pt idx="7">
                  <c:v>7.204320386279468</c:v>
                </c:pt>
                <c:pt idx="8">
                  <c:v>7.0231672624465213</c:v>
                </c:pt>
                <c:pt idx="9">
                  <c:v>8.3355773064390544</c:v>
                </c:pt>
                <c:pt idx="10">
                  <c:v>7.0678367578553534</c:v>
                </c:pt>
                <c:pt idx="11">
                  <c:v>7.0458528177065052</c:v>
                </c:pt>
                <c:pt idx="12">
                  <c:v>6.7418149254479056</c:v>
                </c:pt>
                <c:pt idx="13">
                  <c:v>7.800265002355812</c:v>
                </c:pt>
                <c:pt idx="14">
                  <c:v>6.8472041214130295</c:v>
                </c:pt>
                <c:pt idx="15">
                  <c:v>7.4344338138510491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2-2346-9E95-E8D0D0BCE3E1}"/>
            </c:ext>
          </c:extLst>
        </c:ser>
        <c:ser>
          <c:idx val="3"/>
          <c:order val="3"/>
          <c:tx>
            <c:v>EFF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data'!$AA$43:$AA$49</c:f>
              <c:numCache>
                <c:formatCode>0.000</c:formatCode>
                <c:ptCount val="7"/>
                <c:pt idx="0">
                  <c:v>86.54086406690206</c:v>
                </c:pt>
                <c:pt idx="1">
                  <c:v>92.096124948881098</c:v>
                </c:pt>
                <c:pt idx="2">
                  <c:v>88.809585993528444</c:v>
                </c:pt>
                <c:pt idx="3">
                  <c:v>90.27026997368516</c:v>
                </c:pt>
                <c:pt idx="4">
                  <c:v>81.614256707276454</c:v>
                </c:pt>
                <c:pt idx="5">
                  <c:v>63.046604783883595</c:v>
                </c:pt>
                <c:pt idx="6">
                  <c:v>82.768076582818438</c:v>
                </c:pt>
              </c:numCache>
            </c:numRef>
          </c:xVal>
          <c:yVal>
            <c:numRef>
              <c:f>'Morgan-Pompa solid data'!$U$43:$U$49</c:f>
              <c:numCache>
                <c:formatCode>0.000</c:formatCode>
                <c:ptCount val="7"/>
                <c:pt idx="0">
                  <c:v>7.0231672624465213</c:v>
                </c:pt>
                <c:pt idx="1">
                  <c:v>8.3355773064390544</c:v>
                </c:pt>
                <c:pt idx="2">
                  <c:v>7.0678367578553534</c:v>
                </c:pt>
                <c:pt idx="3">
                  <c:v>7.0458528177065052</c:v>
                </c:pt>
                <c:pt idx="4">
                  <c:v>6.7418149254479056</c:v>
                </c:pt>
                <c:pt idx="5">
                  <c:v>7.800265002355812</c:v>
                </c:pt>
                <c:pt idx="6">
                  <c:v>6.8472041214130295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52-2346-9E95-E8D0D0BCE3E1}"/>
            </c:ext>
          </c:extLst>
        </c:ser>
        <c:ser>
          <c:idx val="4"/>
          <c:order val="4"/>
          <c:tx>
            <c:v>Basalt control</c:v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20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data'!$AA$42,'Morgan-Pompa solid data'!$AA$50)</c:f>
              <c:numCache>
                <c:formatCode>0.000</c:formatCode>
                <c:ptCount val="2"/>
                <c:pt idx="0">
                  <c:v>36.790977750197328</c:v>
                </c:pt>
                <c:pt idx="1">
                  <c:v>40.864608242154681</c:v>
                </c:pt>
              </c:numCache>
            </c:numRef>
          </c:xVal>
          <c:yVal>
            <c:numRef>
              <c:f>('Morgan-Pompa solid data'!$U$42,'Morgan-Pompa solid data'!$U$50)</c:f>
              <c:numCache>
                <c:formatCode>0.000</c:formatCode>
                <c:ptCount val="2"/>
                <c:pt idx="0">
                  <c:v>7.204320386279468</c:v>
                </c:pt>
                <c:pt idx="1">
                  <c:v>7.4344338138510491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52-2346-9E95-E8D0D0BCE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Residual solid: Elemental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 only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selective diss'!$AJ$13:$AJ$34</c:f>
              <c:numCache>
                <c:formatCode>0.00</c:formatCode>
                <c:ptCount val="22"/>
                <c:pt idx="0">
                  <c:v>0.42811766676255186</c:v>
                </c:pt>
                <c:pt idx="1">
                  <c:v>0.39400938653593931</c:v>
                </c:pt>
                <c:pt idx="2">
                  <c:v>0.3627048034583546</c:v>
                </c:pt>
                <c:pt idx="3">
                  <c:v>0.33387186926770285</c:v>
                </c:pt>
                <c:pt idx="4">
                  <c:v>0.30722897801530313</c:v>
                </c:pt>
                <c:pt idx="5">
                  <c:v>0.2825357380022081</c:v>
                </c:pt>
                <c:pt idx="6">
                  <c:v>0.25958569805945264</c:v>
                </c:pt>
                <c:pt idx="7">
                  <c:v>0.23820056175649981</c:v>
                </c:pt>
                <c:pt idx="8">
                  <c:v>0.21822554614263662</c:v>
                </c:pt>
                <c:pt idx="9">
                  <c:v>0.19952562930817633</c:v>
                </c:pt>
                <c:pt idx="10">
                  <c:v>0.18198249432626243</c:v>
                </c:pt>
                <c:pt idx="11">
                  <c:v>0.16549202332480353</c:v>
                </c:pt>
                <c:pt idx="12">
                  <c:v>0.14996222951823568</c:v>
                </c:pt>
                <c:pt idx="13">
                  <c:v>0.13531154042758503</c:v>
                </c:pt>
                <c:pt idx="14">
                  <c:v>0.12146736462422468</c:v>
                </c:pt>
                <c:pt idx="15">
                  <c:v>0.10836488883321085</c:v>
                </c:pt>
                <c:pt idx="16">
                  <c:v>9.5946063327900247E-2</c:v>
                </c:pt>
                <c:pt idx="17">
                  <c:v>8.4158742104334563E-2</c:v>
                </c:pt>
                <c:pt idx="18">
                  <c:v>7.2955950971188954E-2</c:v>
                </c:pt>
                <c:pt idx="19">
                  <c:v>6.2295261890904355E-2</c:v>
                </c:pt>
                <c:pt idx="20">
                  <c:v>5.2138256001913394E-2</c:v>
                </c:pt>
                <c:pt idx="21">
                  <c:v>4.2450060995758175E-2</c:v>
                </c:pt>
              </c:numCache>
            </c:numRef>
          </c:xVal>
          <c:yVal>
            <c:numRef>
              <c:f>'plot selective diss'!$AE$13:$AE$34</c:f>
              <c:numCache>
                <c:formatCode>0.00</c:formatCode>
                <c:ptCount val="22"/>
                <c:pt idx="0">
                  <c:v>0.15674745914831015</c:v>
                </c:pt>
                <c:pt idx="1">
                  <c:v>0.14301524983163419</c:v>
                </c:pt>
                <c:pt idx="2">
                  <c:v>0.13041182671746462</c:v>
                </c:pt>
                <c:pt idx="3">
                  <c:v>0.11880350507564098</c:v>
                </c:pt>
                <c:pt idx="4">
                  <c:v>0.10807690857037584</c:v>
                </c:pt>
                <c:pt idx="5">
                  <c:v>9.813525398345932E-2</c:v>
                </c:pt>
                <c:pt idx="6">
                  <c:v>8.8895422768688906E-2</c:v>
                </c:pt>
                <c:pt idx="7">
                  <c:v>8.0285631655601222E-2</c:v>
                </c:pt>
                <c:pt idx="8">
                  <c:v>7.2243564049406919E-2</c:v>
                </c:pt>
                <c:pt idx="9">
                  <c:v>6.4714859275400702E-2</c:v>
                </c:pt>
                <c:pt idx="10">
                  <c:v>5.7651882190605408E-2</c:v>
                </c:pt>
                <c:pt idx="11">
                  <c:v>5.1012714281285773E-2</c:v>
                </c:pt>
                <c:pt idx="12">
                  <c:v>4.4760321085858285E-2</c:v>
                </c:pt>
                <c:pt idx="13">
                  <c:v>3.8861861008431642E-2</c:v>
                </c:pt>
                <c:pt idx="14">
                  <c:v>3.3288108280779535E-2</c:v>
                </c:pt>
                <c:pt idx="15">
                  <c:v>2.801296866853676E-2</c:v>
                </c:pt>
                <c:pt idx="16">
                  <c:v>2.3013070984655937E-2</c:v>
                </c:pt>
                <c:pt idx="17">
                  <c:v>1.8267420918177173E-2</c:v>
                </c:pt>
                <c:pt idx="18">
                  <c:v>1.3757106362612881E-2</c:v>
                </c:pt>
                <c:pt idx="19">
                  <c:v>9.4650455217310091E-3</c:v>
                </c:pt>
                <c:pt idx="20">
                  <c:v>5.3757707189073956E-3</c:v>
                </c:pt>
                <c:pt idx="21">
                  <c:v>1.4752421422278145E-3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B-504D-B1DD-978354F41C81}"/>
            </c:ext>
          </c:extLst>
        </c:ser>
        <c:ser>
          <c:idx val="1"/>
          <c:order val="1"/>
          <c:tx>
            <c:v>Mix + weath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diss'!$DB$13:$DB$33</c:f>
              <c:numCache>
                <c:formatCode>0.000</c:formatCode>
                <c:ptCount val="21"/>
                <c:pt idx="0">
                  <c:v>0.17361168767392066</c:v>
                </c:pt>
                <c:pt idx="1">
                  <c:v>0.16920907892035281</c:v>
                </c:pt>
                <c:pt idx="2">
                  <c:v>0.16465147054554011</c:v>
                </c:pt>
                <c:pt idx="3">
                  <c:v>0.15993053043014088</c:v>
                </c:pt>
                <c:pt idx="4">
                  <c:v>0.15503731835962262</c:v>
                </c:pt>
                <c:pt idx="5">
                  <c:v>0.14996222951823562</c:v>
                </c:pt>
                <c:pt idx="6">
                  <c:v>0.14469493156281768</c:v>
                </c:pt>
                <c:pt idx="7">
                  <c:v>0.13922429440897624</c:v>
                </c:pt>
                <c:pt idx="8">
                  <c:v>0.13353831172560363</c:v>
                </c:pt>
                <c:pt idx="9">
                  <c:v>0.12762401297241896</c:v>
                </c:pt>
                <c:pt idx="10">
                  <c:v>0.12146736462422458</c:v>
                </c:pt>
                <c:pt idx="11">
                  <c:v>0.11505315899860653</c:v>
                </c:pt>
                <c:pt idx="12">
                  <c:v>0.10836488883321078</c:v>
                </c:pt>
                <c:pt idx="13">
                  <c:v>0.10138460543496153</c:v>
                </c:pt>
                <c:pt idx="14">
                  <c:v>9.4092757834796564E-2</c:v>
                </c:pt>
                <c:pt idx="15">
                  <c:v>8.6468009912825314E-2</c:v>
                </c:pt>
                <c:pt idx="16">
                  <c:v>7.8487031891613518E-2</c:v>
                </c:pt>
                <c:pt idx="17">
                  <c:v>7.0124261905997409E-2</c:v>
                </c:pt>
                <c:pt idx="18">
                  <c:v>6.1351632516503232E-2</c:v>
                </c:pt>
                <c:pt idx="19">
                  <c:v>5.2138256001913311E-2</c:v>
                </c:pt>
                <c:pt idx="20">
                  <c:v>4.2450060995758113E-2</c:v>
                </c:pt>
              </c:numCache>
            </c:numRef>
          </c:xVal>
          <c:yVal>
            <c:numRef>
              <c:f>'plot selective diss'!$CW$13:$CW$33</c:f>
              <c:numCache>
                <c:formatCode>0.000</c:formatCode>
                <c:ptCount val="21"/>
                <c:pt idx="0">
                  <c:v>5.428174249620675E-2</c:v>
                </c:pt>
                <c:pt idx="1">
                  <c:v>5.250922437035143E-2</c:v>
                </c:pt>
                <c:pt idx="2">
                  <c:v>5.0674302416780441E-2</c:v>
                </c:pt>
                <c:pt idx="3">
                  <c:v>4.8773622071555271E-2</c:v>
                </c:pt>
                <c:pt idx="4">
                  <c:v>4.6803583947768145E-2</c:v>
                </c:pt>
                <c:pt idx="5">
                  <c:v>4.4760321085858264E-2</c:v>
                </c:pt>
                <c:pt idx="6">
                  <c:v>4.2639673619127808E-2</c:v>
                </c:pt>
                <c:pt idx="7">
                  <c:v>4.043716050521478E-2</c:v>
                </c:pt>
                <c:pt idx="8">
                  <c:v>3.8147947919288355E-2</c:v>
                </c:pt>
                <c:pt idx="9">
                  <c:v>3.5766813839806989E-2</c:v>
                </c:pt>
                <c:pt idx="10">
                  <c:v>3.3288108280779494E-2</c:v>
                </c:pt>
                <c:pt idx="11">
                  <c:v>3.0705708533094095E-2</c:v>
                </c:pt>
                <c:pt idx="12">
                  <c:v>2.8012968668536739E-2</c:v>
                </c:pt>
                <c:pt idx="13">
                  <c:v>2.5202662429769318E-2</c:v>
                </c:pt>
                <c:pt idx="14">
                  <c:v>2.2266918473008976E-2</c:v>
                </c:pt>
                <c:pt idx="15">
                  <c:v>1.9197146741460207E-2</c:v>
                </c:pt>
                <c:pt idx="16">
                  <c:v>1.598395451919276E-2</c:v>
                </c:pt>
                <c:pt idx="17">
                  <c:v>1.2617050437640947E-2</c:v>
                </c:pt>
                <c:pt idx="18">
                  <c:v>9.0851343681768813E-3</c:v>
                </c:pt>
                <c:pt idx="19">
                  <c:v>5.375770718907347E-3</c:v>
                </c:pt>
                <c:pt idx="20">
                  <c:v>1.4752421422277835E-3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3B-504D-B1DD-978354F41C81}"/>
            </c:ext>
          </c:extLst>
        </c:ser>
        <c:ser>
          <c:idx val="2"/>
          <c:order val="2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data'!$AE$35:$AE$50</c:f>
              <c:numCache>
                <c:formatCode>0.0000</c:formatCode>
                <c:ptCount val="16"/>
                <c:pt idx="0">
                  <c:v>0.22134560704453871</c:v>
                </c:pt>
                <c:pt idx="1">
                  <c:v>0.17410667715195915</c:v>
                </c:pt>
                <c:pt idx="2">
                  <c:v>0.22761220389600204</c:v>
                </c:pt>
                <c:pt idx="3">
                  <c:v>0.26544330542918243</c:v>
                </c:pt>
                <c:pt idx="4">
                  <c:v>0.25080643163828503</c:v>
                </c:pt>
                <c:pt idx="5">
                  <c:v>0.18779608690194294</c:v>
                </c:pt>
                <c:pt idx="6">
                  <c:v>0.19174954965010058</c:v>
                </c:pt>
                <c:pt idx="7">
                  <c:v>0.37004509314282424</c:v>
                </c:pt>
                <c:pt idx="8">
                  <c:v>0.17466689974309677</c:v>
                </c:pt>
                <c:pt idx="9">
                  <c:v>0.26122905088937881</c:v>
                </c:pt>
                <c:pt idx="10">
                  <c:v>0.18938506673604302</c:v>
                </c:pt>
                <c:pt idx="11">
                  <c:v>0.17697594825662927</c:v>
                </c:pt>
                <c:pt idx="12">
                  <c:v>0.17755303833837985</c:v>
                </c:pt>
                <c:pt idx="13">
                  <c:v>0.3670202948800711</c:v>
                </c:pt>
                <c:pt idx="14">
                  <c:v>0.20098101397164519</c:v>
                </c:pt>
                <c:pt idx="15">
                  <c:v>0.37817795233277623</c:v>
                </c:pt>
              </c:numCache>
            </c:numRef>
          </c:xVal>
          <c:yVal>
            <c:numRef>
              <c:f>'Morgan-Pompa solid data'!$AL$35:$AL$50</c:f>
              <c:numCache>
                <c:formatCode>0.0000</c:formatCode>
                <c:ptCount val="16"/>
                <c:pt idx="0">
                  <c:v>5.8452981350727483E-2</c:v>
                </c:pt>
                <c:pt idx="1">
                  <c:v>4.6268017466326569E-2</c:v>
                </c:pt>
                <c:pt idx="2">
                  <c:v>6.314749605411199E-2</c:v>
                </c:pt>
                <c:pt idx="3">
                  <c:v>6.5327026634566285E-2</c:v>
                </c:pt>
                <c:pt idx="4">
                  <c:v>6.0246759358897117E-2</c:v>
                </c:pt>
                <c:pt idx="5">
                  <c:v>5.2664271652230032E-2</c:v>
                </c:pt>
                <c:pt idx="6">
                  <c:v>5.4328553575671595E-2</c:v>
                </c:pt>
                <c:pt idx="7">
                  <c:v>0.12675494144999166</c:v>
                </c:pt>
                <c:pt idx="8">
                  <c:v>4.6253617211901951E-2</c:v>
                </c:pt>
                <c:pt idx="9">
                  <c:v>6.1963255595551728E-2</c:v>
                </c:pt>
                <c:pt idx="10">
                  <c:v>4.8152366548601791E-2</c:v>
                </c:pt>
                <c:pt idx="11">
                  <c:v>4.8314391485872854E-2</c:v>
                </c:pt>
                <c:pt idx="12">
                  <c:v>4.9576464193793093E-2</c:v>
                </c:pt>
                <c:pt idx="13">
                  <c:v>9.8630100049798497E-2</c:v>
                </c:pt>
                <c:pt idx="14">
                  <c:v>5.10392699770452E-2</c:v>
                </c:pt>
                <c:pt idx="15">
                  <c:v>0.13081912714497942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3B-504D-B1DD-978354F41C81}"/>
            </c:ext>
          </c:extLst>
        </c:ser>
        <c:ser>
          <c:idx val="4"/>
          <c:order val="3"/>
          <c:tx>
            <c:v>Basalt control</c:v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20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data'!$AE$42,'Morgan-Pompa solid data'!$AE$50)</c:f>
              <c:numCache>
                <c:formatCode>0.0000</c:formatCode>
                <c:ptCount val="2"/>
                <c:pt idx="0">
                  <c:v>0.37004509314282424</c:v>
                </c:pt>
                <c:pt idx="1">
                  <c:v>0.37817795233277623</c:v>
                </c:pt>
              </c:numCache>
            </c:numRef>
          </c:xVal>
          <c:yVal>
            <c:numRef>
              <c:f>('Morgan-Pompa solid data'!$AL$42,'Morgan-Pompa solid data'!$AL$50)</c:f>
              <c:numCache>
                <c:formatCode>0.0000</c:formatCode>
                <c:ptCount val="2"/>
                <c:pt idx="0">
                  <c:v>0.12675494144999166</c:v>
                </c:pt>
                <c:pt idx="1">
                  <c:v>0.13081912714497942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3B-504D-B1DD-978354F41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Al/Si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Na/Si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Residual</a:t>
            </a:r>
            <a:r>
              <a:rPr lang="en-US" baseline="0"/>
              <a:t> solid</a:t>
            </a:r>
            <a:r>
              <a:rPr lang="en-US"/>
              <a:t>: Elemental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 only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'plot selective diss'!$AJ$13:$AJ$34</c:f>
              <c:numCache>
                <c:formatCode>0.00</c:formatCode>
                <c:ptCount val="22"/>
                <c:pt idx="0">
                  <c:v>0.42811766676255186</c:v>
                </c:pt>
                <c:pt idx="1">
                  <c:v>0.39400938653593931</c:v>
                </c:pt>
                <c:pt idx="2">
                  <c:v>0.3627048034583546</c:v>
                </c:pt>
                <c:pt idx="3">
                  <c:v>0.33387186926770285</c:v>
                </c:pt>
                <c:pt idx="4">
                  <c:v>0.30722897801530313</c:v>
                </c:pt>
                <c:pt idx="5">
                  <c:v>0.2825357380022081</c:v>
                </c:pt>
                <c:pt idx="6">
                  <c:v>0.25958569805945264</c:v>
                </c:pt>
                <c:pt idx="7">
                  <c:v>0.23820056175649981</c:v>
                </c:pt>
                <c:pt idx="8">
                  <c:v>0.21822554614263662</c:v>
                </c:pt>
                <c:pt idx="9">
                  <c:v>0.19952562930817633</c:v>
                </c:pt>
                <c:pt idx="10">
                  <c:v>0.18198249432626243</c:v>
                </c:pt>
                <c:pt idx="11">
                  <c:v>0.16549202332480353</c:v>
                </c:pt>
                <c:pt idx="12">
                  <c:v>0.14996222951823568</c:v>
                </c:pt>
                <c:pt idx="13">
                  <c:v>0.13531154042758503</c:v>
                </c:pt>
                <c:pt idx="14">
                  <c:v>0.12146736462422468</c:v>
                </c:pt>
                <c:pt idx="15">
                  <c:v>0.10836488883321085</c:v>
                </c:pt>
                <c:pt idx="16">
                  <c:v>9.5946063327900247E-2</c:v>
                </c:pt>
                <c:pt idx="17">
                  <c:v>8.4158742104334563E-2</c:v>
                </c:pt>
                <c:pt idx="18">
                  <c:v>7.2955950971188954E-2</c:v>
                </c:pt>
                <c:pt idx="19">
                  <c:v>6.2295261890904355E-2</c:v>
                </c:pt>
                <c:pt idx="20">
                  <c:v>5.2138256001913394E-2</c:v>
                </c:pt>
                <c:pt idx="21">
                  <c:v>4.2450060995758175E-2</c:v>
                </c:pt>
              </c:numCache>
            </c:numRef>
          </c:xVal>
          <c:yVal>
            <c:numRef>
              <c:f>'plot selective diss'!$AH$13:$AH$34</c:f>
              <c:numCache>
                <c:formatCode>0.00</c:formatCode>
                <c:ptCount val="22"/>
                <c:pt idx="0">
                  <c:v>0.33462503060875914</c:v>
                </c:pt>
                <c:pt idx="1">
                  <c:v>0.30528822573105058</c:v>
                </c:pt>
                <c:pt idx="2">
                  <c:v>0.27836290321629753</c:v>
                </c:pt>
                <c:pt idx="3">
                  <c:v>0.25356346569605026</c:v>
                </c:pt>
                <c:pt idx="4">
                  <c:v>0.23064770163944412</c:v>
                </c:pt>
                <c:pt idx="5">
                  <c:v>0.2094088482217519</c:v>
                </c:pt>
                <c:pt idx="6">
                  <c:v>0.18966933513979603</c:v>
                </c:pt>
                <c:pt idx="7">
                  <c:v>0.17127580820631466</c:v>
                </c:pt>
                <c:pt idx="8">
                  <c:v>0.15409513736628022</c:v>
                </c:pt>
                <c:pt idx="9">
                  <c:v>0.13801118919424943</c:v>
                </c:pt>
                <c:pt idx="10">
                  <c:v>0.12292219835424355</c:v>
                </c:pt>
                <c:pt idx="11">
                  <c:v>0.10873861223095822</c:v>
                </c:pt>
                <c:pt idx="12">
                  <c:v>9.5381312253726994E-2</c:v>
                </c:pt>
                <c:pt idx="13">
                  <c:v>8.2780137280353772E-2</c:v>
                </c:pt>
                <c:pt idx="14">
                  <c:v>7.0872650841943774E-2</c:v>
                </c:pt>
                <c:pt idx="15">
                  <c:v>5.9603106521853397E-2</c:v>
                </c:pt>
                <c:pt idx="16">
                  <c:v>4.8921575285478011E-2</c:v>
                </c:pt>
                <c:pt idx="17">
                  <c:v>3.8783205937356756E-2</c:v>
                </c:pt>
                <c:pt idx="18">
                  <c:v>2.9147595599477927E-2</c:v>
                </c:pt>
                <c:pt idx="19">
                  <c:v>1.997825157707812E-2</c:v>
                </c:pt>
                <c:pt idx="20">
                  <c:v>1.1242129499759961E-2</c:v>
                </c:pt>
                <c:pt idx="21">
                  <c:v>2.9092354158475786E-3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2D-AE4E-92FD-4BC3BADF1882}"/>
            </c:ext>
          </c:extLst>
        </c:ser>
        <c:ser>
          <c:idx val="1"/>
          <c:order val="1"/>
          <c:tx>
            <c:v>Mix + weath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diss'!$DB$13:$DB$33</c:f>
              <c:numCache>
                <c:formatCode>0.000</c:formatCode>
                <c:ptCount val="21"/>
                <c:pt idx="0">
                  <c:v>0.17361168767392066</c:v>
                </c:pt>
                <c:pt idx="1">
                  <c:v>0.16920907892035281</c:v>
                </c:pt>
                <c:pt idx="2">
                  <c:v>0.16465147054554011</c:v>
                </c:pt>
                <c:pt idx="3">
                  <c:v>0.15993053043014088</c:v>
                </c:pt>
                <c:pt idx="4">
                  <c:v>0.15503731835962262</c:v>
                </c:pt>
                <c:pt idx="5">
                  <c:v>0.14996222951823562</c:v>
                </c:pt>
                <c:pt idx="6">
                  <c:v>0.14469493156281768</c:v>
                </c:pt>
                <c:pt idx="7">
                  <c:v>0.13922429440897624</c:v>
                </c:pt>
                <c:pt idx="8">
                  <c:v>0.13353831172560363</c:v>
                </c:pt>
                <c:pt idx="9">
                  <c:v>0.12762401297241896</c:v>
                </c:pt>
                <c:pt idx="10">
                  <c:v>0.12146736462422458</c:v>
                </c:pt>
                <c:pt idx="11">
                  <c:v>0.11505315899860653</c:v>
                </c:pt>
                <c:pt idx="12">
                  <c:v>0.10836488883321078</c:v>
                </c:pt>
                <c:pt idx="13">
                  <c:v>0.10138460543496153</c:v>
                </c:pt>
                <c:pt idx="14">
                  <c:v>9.4092757834796564E-2</c:v>
                </c:pt>
                <c:pt idx="15">
                  <c:v>8.6468009912825314E-2</c:v>
                </c:pt>
                <c:pt idx="16">
                  <c:v>7.8487031891613518E-2</c:v>
                </c:pt>
                <c:pt idx="17">
                  <c:v>7.0124261905997409E-2</c:v>
                </c:pt>
                <c:pt idx="18">
                  <c:v>6.1351632516503232E-2</c:v>
                </c:pt>
                <c:pt idx="19">
                  <c:v>5.2138256001913311E-2</c:v>
                </c:pt>
                <c:pt idx="20">
                  <c:v>4.2450060995758113E-2</c:v>
                </c:pt>
              </c:numCache>
            </c:numRef>
          </c:xVal>
          <c:yVal>
            <c:numRef>
              <c:f>'plot selective diss'!$CZ$13:$CZ$33</c:f>
              <c:numCache>
                <c:formatCode>0.000</c:formatCode>
                <c:ptCount val="21"/>
                <c:pt idx="0">
                  <c:v>0.11572240053983573</c:v>
                </c:pt>
                <c:pt idx="1">
                  <c:v>0.11193568150568349</c:v>
                </c:pt>
                <c:pt idx="2">
                  <c:v>0.10801564605644481</c:v>
                </c:pt>
                <c:pt idx="3">
                  <c:v>0.10395512766957066</c:v>
                </c:pt>
                <c:pt idx="4">
                  <c:v>9.974643679497075E-2</c:v>
                </c:pt>
                <c:pt idx="5">
                  <c:v>9.5381312253726952E-2</c:v>
                </c:pt>
                <c:pt idx="6">
                  <c:v>9.0850867114769682E-2</c:v>
                </c:pt>
                <c:pt idx="7">
                  <c:v>8.6145528303410671E-2</c:v>
                </c:pt>
                <c:pt idx="8">
                  <c:v>8.1254969078147193E-2</c:v>
                </c:pt>
                <c:pt idx="9">
                  <c:v>7.6168033373447644E-2</c:v>
                </c:pt>
                <c:pt idx="10">
                  <c:v>7.0872650841943718E-2</c:v>
                </c:pt>
                <c:pt idx="11">
                  <c:v>6.5355741234245646E-2</c:v>
                </c:pt>
                <c:pt idx="12">
                  <c:v>5.9603106521853348E-2</c:v>
                </c:pt>
                <c:pt idx="13">
                  <c:v>5.3599308890163587E-2</c:v>
                </c:pt>
                <c:pt idx="14">
                  <c:v>4.732753239417016E-2</c:v>
                </c:pt>
                <c:pt idx="15">
                  <c:v>4.0769425666348176E-2</c:v>
                </c:pt>
                <c:pt idx="16">
                  <c:v>3.3904922578359351E-2</c:v>
                </c:pt>
                <c:pt idx="17">
                  <c:v>2.6712037165340031E-2</c:v>
                </c:pt>
                <c:pt idx="18">
                  <c:v>1.9166628397904169E-2</c:v>
                </c:pt>
                <c:pt idx="19">
                  <c:v>1.1242129499759874E-2</c:v>
                </c:pt>
                <c:pt idx="20">
                  <c:v>2.9092354158475105E-3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2D-AE4E-92FD-4BC3BADF1882}"/>
            </c:ext>
          </c:extLst>
        </c:ser>
        <c:ser>
          <c:idx val="2"/>
          <c:order val="2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data'!$AE$35:$AE$50</c:f>
              <c:numCache>
                <c:formatCode>0.0000</c:formatCode>
                <c:ptCount val="16"/>
                <c:pt idx="0">
                  <c:v>0.22134560704453871</c:v>
                </c:pt>
                <c:pt idx="1">
                  <c:v>0.17410667715195915</c:v>
                </c:pt>
                <c:pt idx="2">
                  <c:v>0.22761220389600204</c:v>
                </c:pt>
                <c:pt idx="3">
                  <c:v>0.26544330542918243</c:v>
                </c:pt>
                <c:pt idx="4">
                  <c:v>0.25080643163828503</c:v>
                </c:pt>
                <c:pt idx="5">
                  <c:v>0.18779608690194294</c:v>
                </c:pt>
                <c:pt idx="6">
                  <c:v>0.19174954965010058</c:v>
                </c:pt>
                <c:pt idx="7">
                  <c:v>0.37004509314282424</c:v>
                </c:pt>
                <c:pt idx="8">
                  <c:v>0.17466689974309677</c:v>
                </c:pt>
                <c:pt idx="9">
                  <c:v>0.26122905088937881</c:v>
                </c:pt>
                <c:pt idx="10">
                  <c:v>0.18938506673604302</c:v>
                </c:pt>
                <c:pt idx="11">
                  <c:v>0.17697594825662927</c:v>
                </c:pt>
                <c:pt idx="12">
                  <c:v>0.17755303833837985</c:v>
                </c:pt>
                <c:pt idx="13">
                  <c:v>0.3670202948800711</c:v>
                </c:pt>
                <c:pt idx="14">
                  <c:v>0.20098101397164519</c:v>
                </c:pt>
                <c:pt idx="15">
                  <c:v>0.37817795233277623</c:v>
                </c:pt>
              </c:numCache>
            </c:numRef>
          </c:xVal>
          <c:yVal>
            <c:numRef>
              <c:f>'Morgan-Pompa solid data'!$AG$35:$AG$50</c:f>
              <c:numCache>
                <c:formatCode>0.0000</c:formatCode>
                <c:ptCount val="16"/>
                <c:pt idx="0">
                  <c:v>0.11967820547053758</c:v>
                </c:pt>
                <c:pt idx="1">
                  <c:v>9.8100779331943611E-2</c:v>
                </c:pt>
                <c:pt idx="2">
                  <c:v>0.11275708199565557</c:v>
                </c:pt>
                <c:pt idx="3">
                  <c:v>0.15270651502832258</c:v>
                </c:pt>
                <c:pt idx="4">
                  <c:v>0.13963221877424592</c:v>
                </c:pt>
                <c:pt idx="5">
                  <c:v>0.10547717600113983</c:v>
                </c:pt>
                <c:pt idx="6">
                  <c:v>0.11239960365980391</c:v>
                </c:pt>
                <c:pt idx="7">
                  <c:v>0.26728777884326105</c:v>
                </c:pt>
                <c:pt idx="8">
                  <c:v>0.10154315127623889</c:v>
                </c:pt>
                <c:pt idx="9">
                  <c:v>0.14396530249551931</c:v>
                </c:pt>
                <c:pt idx="10">
                  <c:v>0.11630929464467561</c:v>
                </c:pt>
                <c:pt idx="11">
                  <c:v>9.7263177139754631E-2</c:v>
                </c:pt>
                <c:pt idx="12">
                  <c:v>0.10260842481652876</c:v>
                </c:pt>
                <c:pt idx="13">
                  <c:v>0.18942169493459346</c:v>
                </c:pt>
                <c:pt idx="14">
                  <c:v>0.10590377918158178</c:v>
                </c:pt>
                <c:pt idx="15">
                  <c:v>0.27316223552113489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2D-AE4E-92FD-4BC3BADF1882}"/>
            </c:ext>
          </c:extLst>
        </c:ser>
        <c:ser>
          <c:idx val="3"/>
          <c:order val="3"/>
          <c:tx>
            <c:v>Basalt control</c:v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20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Pt>
            <c:idx val="0"/>
            <c:marker>
              <c:symbol val="x"/>
              <c:size val="20"/>
              <c:spPr>
                <a:noFill/>
                <a:ln w="34925" cap="flat" cmpd="dbl" algn="ctr">
                  <a:solidFill>
                    <a:schemeClr val="accent4">
                      <a:lumMod val="75000"/>
                      <a:alpha val="70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9F2D-AE4E-92FD-4BC3BADF1882}"/>
              </c:ext>
            </c:extLst>
          </c:dPt>
          <c:xVal>
            <c:numRef>
              <c:f>('Morgan-Pompa solid data'!$AE$42,'Morgan-Pompa solid data'!$AE$50)</c:f>
              <c:numCache>
                <c:formatCode>0.0000</c:formatCode>
                <c:ptCount val="2"/>
                <c:pt idx="0">
                  <c:v>0.37004509314282424</c:v>
                </c:pt>
                <c:pt idx="1">
                  <c:v>0.37817795233277623</c:v>
                </c:pt>
              </c:numCache>
            </c:numRef>
          </c:xVal>
          <c:yVal>
            <c:numRef>
              <c:f>('Morgan-Pompa solid data'!$AGT$42,'Morgan-Pompa solid data'!$AG$50)</c:f>
              <c:numCache>
                <c:formatCode>0.0000</c:formatCode>
                <c:ptCount val="2"/>
                <c:pt idx="1">
                  <c:v>0.27316223552113489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2D-AE4E-92FD-4BC3BADF1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Al/Si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Ca/Si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Physical mixing &amp;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Phys mix only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'two-endmember mixing'!$U$13:$U$34</c:f>
              <c:numCache>
                <c:formatCode>0.000</c:formatCode>
                <c:ptCount val="22"/>
                <c:pt idx="0">
                  <c:v>0.55738749899999995</c:v>
                </c:pt>
                <c:pt idx="1">
                  <c:v>0.53665929359413911</c:v>
                </c:pt>
                <c:pt idx="2">
                  <c:v>0.51593108818827826</c:v>
                </c:pt>
                <c:pt idx="3">
                  <c:v>0.49520288278241725</c:v>
                </c:pt>
                <c:pt idx="4">
                  <c:v>0.47447467737655641</c:v>
                </c:pt>
                <c:pt idx="5">
                  <c:v>0.45374647197069551</c:v>
                </c:pt>
                <c:pt idx="6">
                  <c:v>0.43301826656483472</c:v>
                </c:pt>
                <c:pt idx="7">
                  <c:v>0.41229006115897376</c:v>
                </c:pt>
                <c:pt idx="8">
                  <c:v>0.39156185575311292</c:v>
                </c:pt>
                <c:pt idx="9">
                  <c:v>0.37083365034725202</c:v>
                </c:pt>
                <c:pt idx="10">
                  <c:v>0.35010544494139112</c:v>
                </c:pt>
                <c:pt idx="11">
                  <c:v>0.32937723953553028</c:v>
                </c:pt>
                <c:pt idx="12">
                  <c:v>0.30864903412966938</c:v>
                </c:pt>
                <c:pt idx="13">
                  <c:v>0.28792082872380842</c:v>
                </c:pt>
                <c:pt idx="14">
                  <c:v>0.26719262331794758</c:v>
                </c:pt>
                <c:pt idx="15">
                  <c:v>0.24646441791208668</c:v>
                </c:pt>
                <c:pt idx="16">
                  <c:v>0.2257362125062258</c:v>
                </c:pt>
                <c:pt idx="17">
                  <c:v>0.20500800710036493</c:v>
                </c:pt>
                <c:pt idx="18">
                  <c:v>0.184279801694504</c:v>
                </c:pt>
                <c:pt idx="19">
                  <c:v>0.16355159628864316</c:v>
                </c:pt>
                <c:pt idx="20">
                  <c:v>0.14282339088278223</c:v>
                </c:pt>
                <c:pt idx="21">
                  <c:v>0.12209518547692136</c:v>
                </c:pt>
              </c:numCache>
            </c:numRef>
          </c:xVal>
          <c:yVal>
            <c:numRef>
              <c:f>'two-endmember mixing'!$Q$13:$Q$34</c:f>
              <c:numCache>
                <c:formatCode>0.000</c:formatCode>
                <c:ptCount val="22"/>
                <c:pt idx="0">
                  <c:v>10.07713981</c:v>
                </c:pt>
                <c:pt idx="1">
                  <c:v>9.6053712476190487</c:v>
                </c:pt>
                <c:pt idx="2">
                  <c:v>9.1336026852380954</c:v>
                </c:pt>
                <c:pt idx="3">
                  <c:v>8.6618341228571438</c:v>
                </c:pt>
                <c:pt idx="4">
                  <c:v>8.1900655604761905</c:v>
                </c:pt>
                <c:pt idx="5">
                  <c:v>7.7182969980952389</c:v>
                </c:pt>
                <c:pt idx="6">
                  <c:v>7.2465284357142874</c:v>
                </c:pt>
                <c:pt idx="7">
                  <c:v>6.7747598733333341</c:v>
                </c:pt>
                <c:pt idx="8">
                  <c:v>6.3029913109523825</c:v>
                </c:pt>
                <c:pt idx="9">
                  <c:v>5.8312227485714301</c:v>
                </c:pt>
                <c:pt idx="10">
                  <c:v>5.3594541861904776</c:v>
                </c:pt>
                <c:pt idx="11">
                  <c:v>4.8876856238095261</c:v>
                </c:pt>
                <c:pt idx="12">
                  <c:v>4.4159170614285745</c:v>
                </c:pt>
                <c:pt idx="13">
                  <c:v>3.9441484990476212</c:v>
                </c:pt>
                <c:pt idx="14">
                  <c:v>3.4723799366666697</c:v>
                </c:pt>
                <c:pt idx="15">
                  <c:v>3.0006113742857163</c:v>
                </c:pt>
                <c:pt idx="16">
                  <c:v>2.5288428119047648</c:v>
                </c:pt>
                <c:pt idx="17">
                  <c:v>2.0570742495238128</c:v>
                </c:pt>
                <c:pt idx="18">
                  <c:v>1.5853056871428599</c:v>
                </c:pt>
                <c:pt idx="19">
                  <c:v>1.1135371247619081</c:v>
                </c:pt>
                <c:pt idx="20">
                  <c:v>0.64176856238095525</c:v>
                </c:pt>
                <c:pt idx="21">
                  <c:v>0.17000000000000332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7-4D42-A80B-5596C3875521}"/>
            </c:ext>
          </c:extLst>
        </c:ser>
        <c:ser>
          <c:idx val="3"/>
          <c:order val="1"/>
          <c:tx>
            <c:v>Congruent weath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mixing'!$BV$13:$BV$33</c:f>
              <c:numCache>
                <c:formatCode>0.000</c:formatCode>
                <c:ptCount val="21"/>
                <c:pt idx="0">
                  <c:v>0.33974134223846059</c:v>
                </c:pt>
                <c:pt idx="1">
                  <c:v>0.33416067155226725</c:v>
                </c:pt>
                <c:pt idx="2">
                  <c:v>0.32828628135627436</c:v>
                </c:pt>
                <c:pt idx="3">
                  <c:v>0.3220943565550925</c:v>
                </c:pt>
                <c:pt idx="4">
                  <c:v>0.31555843593162286</c:v>
                </c:pt>
                <c:pt idx="5">
                  <c:v>0.30864903412966926</c:v>
                </c:pt>
                <c:pt idx="6">
                  <c:v>0.30133319692760069</c:v>
                </c:pt>
                <c:pt idx="7">
                  <c:v>0.29357397565267951</c:v>
                </c:pt>
                <c:pt idx="8">
                  <c:v>0.28532980304807576</c:v>
                </c:pt>
                <c:pt idx="9">
                  <c:v>0.27655374833994911</c:v>
                </c:pt>
                <c:pt idx="10">
                  <c:v>0.26719262331794752</c:v>
                </c:pt>
                <c:pt idx="11">
                  <c:v>0.25718590346684217</c:v>
                </c:pt>
                <c:pt idx="12">
                  <c:v>0.24646441791208659</c:v>
                </c:pt>
                <c:pt idx="13">
                  <c:v>0.23494874824216383</c:v>
                </c:pt>
                <c:pt idx="14">
                  <c:v>0.22254725782840093</c:v>
                </c:pt>
                <c:pt idx="15">
                  <c:v>0.20915364818153689</c:v>
                </c:pt>
                <c:pt idx="16">
                  <c:v>0.19464390439743429</c:v>
                </c:pt>
                <c:pt idx="17">
                  <c:v>0.17887244376254008</c:v>
                </c:pt>
                <c:pt idx="18">
                  <c:v>0.16166721397901918</c:v>
                </c:pt>
                <c:pt idx="19">
                  <c:v>0.14282339088278195</c:v>
                </c:pt>
                <c:pt idx="20">
                  <c:v>0.12209518547692116</c:v>
                </c:pt>
              </c:numCache>
            </c:numRef>
          </c:xVal>
          <c:yVal>
            <c:numRef>
              <c:f>'two-endmember mixing'!$BR$13:$BR$33</c:f>
              <c:numCache>
                <c:formatCode>0.000</c:formatCode>
                <c:ptCount val="21"/>
                <c:pt idx="0">
                  <c:v>5.1235699050000001</c:v>
                </c:pt>
                <c:pt idx="1">
                  <c:v>4.9965552920512826</c:v>
                </c:pt>
                <c:pt idx="2">
                  <c:v>4.8628556994736849</c:v>
                </c:pt>
                <c:pt idx="3">
                  <c:v>4.7219291018918907</c:v>
                </c:pt>
                <c:pt idx="4">
                  <c:v>4.5731732488888888</c:v>
                </c:pt>
                <c:pt idx="5">
                  <c:v>4.415917061428571</c:v>
                </c:pt>
                <c:pt idx="6">
                  <c:v>4.2494105099999997</c:v>
                </c:pt>
                <c:pt idx="7">
                  <c:v>4.0728126524242425</c:v>
                </c:pt>
                <c:pt idx="8">
                  <c:v>3.8851774287499996</c:v>
                </c:pt>
                <c:pt idx="9">
                  <c:v>3.6854367067741935</c:v>
                </c:pt>
                <c:pt idx="10">
                  <c:v>3.4723799366666674</c:v>
                </c:pt>
                <c:pt idx="11">
                  <c:v>3.2446295962068965</c:v>
                </c:pt>
                <c:pt idx="12">
                  <c:v>3.0006113742857141</c:v>
                </c:pt>
                <c:pt idx="13">
                  <c:v>2.7385177285185183</c:v>
                </c:pt>
                <c:pt idx="14">
                  <c:v>2.4562630330769228</c:v>
                </c:pt>
                <c:pt idx="15">
                  <c:v>2.1514279619999988</c:v>
                </c:pt>
                <c:pt idx="16">
                  <c:v>1.8211899683333324</c:v>
                </c:pt>
                <c:pt idx="17">
                  <c:v>1.4622356273913022</c:v>
                </c:pt>
                <c:pt idx="18">
                  <c:v>1.0706490736363619</c:v>
                </c:pt>
                <c:pt idx="19">
                  <c:v>0.64176856238095037</c:v>
                </c:pt>
                <c:pt idx="20">
                  <c:v>0.16999999999999932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2C-AA41-A011-163643FAEFED}"/>
            </c:ext>
          </c:extLst>
        </c:ser>
        <c:ser>
          <c:idx val="5"/>
          <c:order val="2"/>
          <c:tx>
            <c:v>Incongruent weath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'two-endmember mixing'!$BR$43:$BR$62</c:f>
              <c:numCache>
                <c:formatCode>0.000</c:formatCode>
                <c:ptCount val="20"/>
                <c:pt idx="0">
                  <c:v>8.5193032485431672</c:v>
                </c:pt>
                <c:pt idx="1">
                  <c:v>8.510774692920192</c:v>
                </c:pt>
                <c:pt idx="2">
                  <c:v>8.50184658403324</c:v>
                </c:pt>
                <c:pt idx="3">
                  <c:v>8.4924901704631175</c:v>
                </c:pt>
                <c:pt idx="4">
                  <c:v>8.4826738744355943</c:v>
                </c:pt>
                <c:pt idx="5">
                  <c:v>8.4723629357717023</c:v>
                </c:pt>
                <c:pt idx="6">
                  <c:v>8.4615190006229124</c:v>
                </c:pt>
                <c:pt idx="7">
                  <c:v>8.4500996447364543</c:v>
                </c:pt>
                <c:pt idx="8">
                  <c:v>8.4380578187600879</c:v>
                </c:pt>
                <c:pt idx="9">
                  <c:v>8.4253412002958576</c:v>
                </c:pt>
                <c:pt idx="10">
                  <c:v>8.411891433886197</c:v>
                </c:pt>
                <c:pt idx="11">
                  <c:v>8.3976432356476902</c:v>
                </c:pt>
                <c:pt idx="12">
                  <c:v>8.3825233335694449</c:v>
                </c:pt>
                <c:pt idx="13">
                  <c:v>8.3664492071766645</c:v>
                </c:pt>
                <c:pt idx="14">
                  <c:v>8.3493275807977696</c:v>
                </c:pt>
                <c:pt idx="15">
                  <c:v>8.331052612343214</c:v>
                </c:pt>
                <c:pt idx="16">
                  <c:v>8.3115037033058314</c:v>
                </c:pt>
                <c:pt idx="17">
                  <c:v>8.2905428342295409</c:v>
                </c:pt>
                <c:pt idx="18">
                  <c:v>8.2680113011928658</c:v>
                </c:pt>
                <c:pt idx="19">
                  <c:v>8.2437256900989766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2-4541-ADF8-5D8A3B1AACEE}"/>
            </c:ext>
          </c:extLst>
        </c:ser>
        <c:ser>
          <c:idx val="1"/>
          <c:order val="3"/>
          <c:tx>
            <c:v>H9 basalt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mixing'!$D$18</c:f>
              <c:numCache>
                <c:formatCode>0.000</c:formatCode>
                <c:ptCount val="1"/>
                <c:pt idx="0">
                  <c:v>0.55738749899999995</c:v>
                </c:pt>
              </c:numCache>
            </c:numRef>
          </c:xVal>
          <c:yVal>
            <c:numRef>
              <c:f>'two-endmember mixing'!$D$14</c:f>
              <c:numCache>
                <c:formatCode>0.000</c:formatCode>
                <c:ptCount val="1"/>
                <c:pt idx="0">
                  <c:v>10.07713981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7-4D42-A80B-5596C3875521}"/>
            </c:ext>
          </c:extLst>
        </c:ser>
        <c:ser>
          <c:idx val="2"/>
          <c:order val="4"/>
          <c:tx>
            <c:v>P6-A LFGL soil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'two-endmember mixing'!$G$14</c:f>
              <c:numCache>
                <c:formatCode>0.000</c:formatCode>
                <c:ptCount val="1"/>
                <c:pt idx="0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7-4D42-A80B-5596C3875521}"/>
            </c:ext>
          </c:extLst>
        </c:ser>
        <c:ser>
          <c:idx val="4"/>
          <c:order val="5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data'!$O$35:$O$50</c:f>
              <c:numCache>
                <c:formatCode>0.000</c:formatCode>
                <c:ptCount val="16"/>
                <c:pt idx="0">
                  <c:v>0.55739447818193211</c:v>
                </c:pt>
                <c:pt idx="1">
                  <c:v>0.59335541225818567</c:v>
                </c:pt>
                <c:pt idx="2">
                  <c:v>0.62931634633443934</c:v>
                </c:pt>
                <c:pt idx="3">
                  <c:v>0.52143354410567833</c:v>
                </c:pt>
                <c:pt idx="4">
                  <c:v>0.59335541225818567</c:v>
                </c:pt>
                <c:pt idx="5">
                  <c:v>0.59335541225818567</c:v>
                </c:pt>
                <c:pt idx="6">
                  <c:v>0.61732936830902141</c:v>
                </c:pt>
                <c:pt idx="7">
                  <c:v>1.006906154135103</c:v>
                </c:pt>
                <c:pt idx="8">
                  <c:v>0.5633879671946409</c:v>
                </c:pt>
                <c:pt idx="9">
                  <c:v>0.50345307706755149</c:v>
                </c:pt>
                <c:pt idx="10">
                  <c:v>0.54540750015651418</c:v>
                </c:pt>
                <c:pt idx="11">
                  <c:v>0.54540750015651418</c:v>
                </c:pt>
                <c:pt idx="12">
                  <c:v>0.59934890127089469</c:v>
                </c:pt>
                <c:pt idx="13">
                  <c:v>0.65329030238527519</c:v>
                </c:pt>
                <c:pt idx="14">
                  <c:v>0.58136843423276774</c:v>
                </c:pt>
                <c:pt idx="15">
                  <c:v>0.88703637388092405</c:v>
                </c:pt>
              </c:numCache>
            </c:numRef>
          </c:xVal>
          <c:yVal>
            <c:numRef>
              <c:f>'Morgan-Pompa solid data'!$F$35:$F$50</c:f>
              <c:numCache>
                <c:formatCode>0.000</c:formatCode>
                <c:ptCount val="16"/>
                <c:pt idx="0">
                  <c:v>4.845637962087844</c:v>
                </c:pt>
                <c:pt idx="1">
                  <c:v>4.0308846764270561</c:v>
                </c:pt>
                <c:pt idx="2">
                  <c:v>4.5954944094726891</c:v>
                </c:pt>
                <c:pt idx="3">
                  <c:v>5.653244289102485</c:v>
                </c:pt>
                <c:pt idx="4">
                  <c:v>4.9456953831339048</c:v>
                </c:pt>
                <c:pt idx="5">
                  <c:v>4.066619469657792</c:v>
                </c:pt>
                <c:pt idx="6">
                  <c:v>4.281028229042211</c:v>
                </c:pt>
                <c:pt idx="7">
                  <c:v>8.2904720295308234</c:v>
                </c:pt>
                <c:pt idx="8">
                  <c:v>4.1452360147654117</c:v>
                </c:pt>
                <c:pt idx="9">
                  <c:v>5.5889216612871602</c:v>
                </c:pt>
                <c:pt idx="10">
                  <c:v>4.7169927064571935</c:v>
                </c:pt>
                <c:pt idx="11">
                  <c:v>4.0094438004886142</c:v>
                </c:pt>
                <c:pt idx="12">
                  <c:v>4.2024116839345904</c:v>
                </c:pt>
                <c:pt idx="13">
                  <c:v>6.5323202025785978</c:v>
                </c:pt>
                <c:pt idx="14">
                  <c:v>4.2667343117499152</c:v>
                </c:pt>
                <c:pt idx="15">
                  <c:v>8.2904720295308234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2-4541-ADF8-5D8A3B1AACEE}"/>
            </c:ext>
          </c:extLst>
        </c:ser>
        <c:ser>
          <c:idx val="6"/>
          <c:order val="6"/>
          <c:tx>
            <c:v>Ave EXPT</c:v>
          </c:tx>
          <c:spPr>
            <a:ln w="25400" cap="flat" cmpd="dbl" algn="ctr">
              <a:noFill/>
              <a:round/>
            </a:ln>
            <a:effectLst/>
          </c:spPr>
          <c:marker>
            <c:symbol val="plus"/>
            <c:size val="40"/>
            <c:spPr>
              <a:noFill/>
              <a:ln w="63500" cap="flat" cmpd="dbl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'two-endmember mixing'!$D$39</c:f>
              <c:numCache>
                <c:formatCode>0.000</c:formatCode>
                <c:ptCount val="1"/>
                <c:pt idx="0">
                  <c:v>0.5783716897264134</c:v>
                </c:pt>
              </c:numCache>
            </c:numRef>
          </c:xVal>
          <c:yVal>
            <c:numRef>
              <c:f>'two-endmember mixing'!$D$35</c:f>
              <c:numCache>
                <c:formatCode>0.000</c:formatCode>
                <c:ptCount val="1"/>
                <c:pt idx="0">
                  <c:v>4.7057617714418187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42-4541-ADF8-5D8A3B1AA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Residual solid: Elemental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Mixing only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'plot selective diss'!$AJ$13:$AJ$34</c:f>
              <c:numCache>
                <c:formatCode>0.00</c:formatCode>
                <c:ptCount val="22"/>
                <c:pt idx="0">
                  <c:v>0.42811766676255186</c:v>
                </c:pt>
                <c:pt idx="1">
                  <c:v>0.39400938653593931</c:v>
                </c:pt>
                <c:pt idx="2">
                  <c:v>0.3627048034583546</c:v>
                </c:pt>
                <c:pt idx="3">
                  <c:v>0.33387186926770285</c:v>
                </c:pt>
                <c:pt idx="4">
                  <c:v>0.30722897801530313</c:v>
                </c:pt>
                <c:pt idx="5">
                  <c:v>0.2825357380022081</c:v>
                </c:pt>
                <c:pt idx="6">
                  <c:v>0.25958569805945264</c:v>
                </c:pt>
                <c:pt idx="7">
                  <c:v>0.23820056175649981</c:v>
                </c:pt>
                <c:pt idx="8">
                  <c:v>0.21822554614263662</c:v>
                </c:pt>
                <c:pt idx="9">
                  <c:v>0.19952562930817633</c:v>
                </c:pt>
                <c:pt idx="10">
                  <c:v>0.18198249432626243</c:v>
                </c:pt>
                <c:pt idx="11">
                  <c:v>0.16549202332480353</c:v>
                </c:pt>
                <c:pt idx="12">
                  <c:v>0.14996222951823568</c:v>
                </c:pt>
                <c:pt idx="13">
                  <c:v>0.13531154042758503</c:v>
                </c:pt>
                <c:pt idx="14">
                  <c:v>0.12146736462422468</c:v>
                </c:pt>
                <c:pt idx="15">
                  <c:v>0.10836488883321085</c:v>
                </c:pt>
                <c:pt idx="16">
                  <c:v>9.5946063327900247E-2</c:v>
                </c:pt>
                <c:pt idx="17">
                  <c:v>8.4158742104334563E-2</c:v>
                </c:pt>
                <c:pt idx="18">
                  <c:v>7.2955950971188954E-2</c:v>
                </c:pt>
                <c:pt idx="19">
                  <c:v>6.2295261890904355E-2</c:v>
                </c:pt>
                <c:pt idx="20">
                  <c:v>5.2138256001913394E-2</c:v>
                </c:pt>
                <c:pt idx="21">
                  <c:v>4.2450060995758175E-2</c:v>
                </c:pt>
              </c:numCache>
            </c:numRef>
          </c:xVal>
          <c:yVal>
            <c:numRef>
              <c:f>'plot selective diss'!$AF$13:$AF$34</c:f>
              <c:numCache>
                <c:formatCode>0.00</c:formatCode>
                <c:ptCount val="22"/>
                <c:pt idx="0">
                  <c:v>0.20043031621447974</c:v>
                </c:pt>
                <c:pt idx="1">
                  <c:v>0.18297886728228091</c:v>
                </c:pt>
                <c:pt idx="2">
                  <c:v>0.16696192566890722</c:v>
                </c:pt>
                <c:pt idx="3">
                  <c:v>0.15220959939357034</c:v>
                </c:pt>
                <c:pt idx="4">
                  <c:v>0.13857780520728352</c:v>
                </c:pt>
                <c:pt idx="5">
                  <c:v>0.12594354706832214</c:v>
                </c:pt>
                <c:pt idx="6">
                  <c:v>0.11420119455474026</c:v>
                </c:pt>
                <c:pt idx="7">
                  <c:v>0.10325952257305215</c:v>
                </c:pt>
                <c:pt idx="8">
                  <c:v>9.3039336665431377E-2</c:v>
                </c:pt>
                <c:pt idx="9">
                  <c:v>8.3471553080191413E-2</c:v>
                </c:pt>
                <c:pt idx="10">
                  <c:v>7.4495635144327013E-2</c:v>
                </c:pt>
                <c:pt idx="11">
                  <c:v>6.6058311109287421E-2</c:v>
                </c:pt>
                <c:pt idx="12">
                  <c:v>5.8112516078219344E-2</c:v>
                </c:pt>
                <c:pt idx="13">
                  <c:v>5.061651361816203E-2</c:v>
                </c:pt>
                <c:pt idx="14">
                  <c:v>4.3533162436702591E-2</c:v>
                </c:pt>
                <c:pt idx="15">
                  <c:v>3.6829300921754633E-2</c:v>
                </c:pt>
                <c:pt idx="16">
                  <c:v>3.047522802028018E-2</c:v>
                </c:pt>
                <c:pt idx="17">
                  <c:v>2.4444263309840751E-2</c:v>
                </c:pt>
                <c:pt idx="18">
                  <c:v>1.8712372517949116E-2</c:v>
                </c:pt>
                <c:pt idx="19">
                  <c:v>1.325784740467539E-2</c:v>
                </c:pt>
                <c:pt idx="20">
                  <c:v>8.061031018797701E-3</c:v>
                </c:pt>
                <c:pt idx="21">
                  <c:v>3.104080997518595E-3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A-2D44-A26D-F02B2F6C231B}"/>
            </c:ext>
          </c:extLst>
        </c:ser>
        <c:ser>
          <c:idx val="1"/>
          <c:order val="1"/>
          <c:tx>
            <c:v>Mix + weath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diss'!$DB$13:$DB$33</c:f>
              <c:numCache>
                <c:formatCode>0.000</c:formatCode>
                <c:ptCount val="21"/>
                <c:pt idx="0">
                  <c:v>0.17361168767392066</c:v>
                </c:pt>
                <c:pt idx="1">
                  <c:v>0.16920907892035281</c:v>
                </c:pt>
                <c:pt idx="2">
                  <c:v>0.16465147054554011</c:v>
                </c:pt>
                <c:pt idx="3">
                  <c:v>0.15993053043014088</c:v>
                </c:pt>
                <c:pt idx="4">
                  <c:v>0.15503731835962262</c:v>
                </c:pt>
                <c:pt idx="5">
                  <c:v>0.14996222951823562</c:v>
                </c:pt>
                <c:pt idx="6">
                  <c:v>0.14469493156281768</c:v>
                </c:pt>
                <c:pt idx="7">
                  <c:v>0.13922429440897624</c:v>
                </c:pt>
                <c:pt idx="8">
                  <c:v>0.13353831172560363</c:v>
                </c:pt>
                <c:pt idx="9">
                  <c:v>0.12762401297241896</c:v>
                </c:pt>
                <c:pt idx="10">
                  <c:v>0.12146736462422458</c:v>
                </c:pt>
                <c:pt idx="11">
                  <c:v>0.11505315899860653</c:v>
                </c:pt>
                <c:pt idx="12">
                  <c:v>0.10836488883321078</c:v>
                </c:pt>
                <c:pt idx="13">
                  <c:v>0.10138460543496153</c:v>
                </c:pt>
                <c:pt idx="14">
                  <c:v>9.4092757834796564E-2</c:v>
                </c:pt>
                <c:pt idx="15">
                  <c:v>8.6468009912825314E-2</c:v>
                </c:pt>
                <c:pt idx="16">
                  <c:v>7.8487031891613518E-2</c:v>
                </c:pt>
                <c:pt idx="17">
                  <c:v>7.0124261905997409E-2</c:v>
                </c:pt>
                <c:pt idx="18">
                  <c:v>6.1351632516503232E-2</c:v>
                </c:pt>
                <c:pt idx="19">
                  <c:v>5.2138256001913311E-2</c:v>
                </c:pt>
                <c:pt idx="20">
                  <c:v>4.2450060995758113E-2</c:v>
                </c:pt>
              </c:numCache>
            </c:numRef>
          </c:xVal>
          <c:yVal>
            <c:numRef>
              <c:f>'plot selective diss'!$CX$13:$CX$33</c:f>
              <c:numCache>
                <c:formatCode>0.000</c:formatCode>
                <c:ptCount val="21"/>
                <c:pt idx="0">
                  <c:v>7.0212724840902449E-2</c:v>
                </c:pt>
                <c:pt idx="1">
                  <c:v>6.7960136867516632E-2</c:v>
                </c:pt>
                <c:pt idx="2">
                  <c:v>6.5628243577161099E-2</c:v>
                </c:pt>
                <c:pt idx="3">
                  <c:v>6.3212781853835109E-2</c:v>
                </c:pt>
                <c:pt idx="4">
                  <c:v>6.0709177450572339E-2</c:v>
                </c:pt>
                <c:pt idx="5">
                  <c:v>5.8112516078219323E-2</c:v>
                </c:pt>
                <c:pt idx="6">
                  <c:v>5.5417511209344981E-2</c:v>
                </c:pt>
                <c:pt idx="7">
                  <c:v>5.2618468153449012E-2</c:v>
                </c:pt>
                <c:pt idx="8">
                  <c:v>4.9709243889751849E-2</c:v>
                </c:pt>
                <c:pt idx="9">
                  <c:v>4.6683202061338622E-2</c:v>
                </c:pt>
                <c:pt idx="10">
                  <c:v>4.3533162436702577E-2</c:v>
                </c:pt>
                <c:pt idx="11">
                  <c:v>4.0251344028609456E-2</c:v>
                </c:pt>
                <c:pt idx="12">
                  <c:v>3.6829300921754612E-2</c:v>
                </c:pt>
                <c:pt idx="13">
                  <c:v>3.3257849695029408E-2</c:v>
                </c:pt>
                <c:pt idx="14">
                  <c:v>2.9526987125289915E-2</c:v>
                </c:pt>
                <c:pt idx="15">
                  <c:v>2.5625796619726103E-2</c:v>
                </c:pt>
                <c:pt idx="16">
                  <c:v>2.1542341533723062E-2</c:v>
                </c:pt>
                <c:pt idx="17">
                  <c:v>1.7263543178424153E-2</c:v>
                </c:pt>
                <c:pt idx="18">
                  <c:v>1.2775040891744404E-2</c:v>
                </c:pt>
                <c:pt idx="19">
                  <c:v>8.0610310187976559E-3</c:v>
                </c:pt>
                <c:pt idx="20">
                  <c:v>3.1040809975185725E-3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A-2D44-A26D-F02B2F6C231B}"/>
            </c:ext>
          </c:extLst>
        </c:ser>
        <c:ser>
          <c:idx val="2"/>
          <c:order val="2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data'!$AE$35:$AE$50</c:f>
              <c:numCache>
                <c:formatCode>0.0000</c:formatCode>
                <c:ptCount val="16"/>
                <c:pt idx="0">
                  <c:v>0.22134560704453871</c:v>
                </c:pt>
                <c:pt idx="1">
                  <c:v>0.17410667715195915</c:v>
                </c:pt>
                <c:pt idx="2">
                  <c:v>0.22761220389600204</c:v>
                </c:pt>
                <c:pt idx="3">
                  <c:v>0.26544330542918243</c:v>
                </c:pt>
                <c:pt idx="4">
                  <c:v>0.25080643163828503</c:v>
                </c:pt>
                <c:pt idx="5">
                  <c:v>0.18779608690194294</c:v>
                </c:pt>
                <c:pt idx="6">
                  <c:v>0.19174954965010058</c:v>
                </c:pt>
                <c:pt idx="7">
                  <c:v>0.37004509314282424</c:v>
                </c:pt>
                <c:pt idx="8">
                  <c:v>0.17466689974309677</c:v>
                </c:pt>
                <c:pt idx="9">
                  <c:v>0.26122905088937881</c:v>
                </c:pt>
                <c:pt idx="10">
                  <c:v>0.18938506673604302</c:v>
                </c:pt>
                <c:pt idx="11">
                  <c:v>0.17697594825662927</c:v>
                </c:pt>
                <c:pt idx="12">
                  <c:v>0.17755303833837985</c:v>
                </c:pt>
                <c:pt idx="13">
                  <c:v>0.3670202948800711</c:v>
                </c:pt>
                <c:pt idx="14">
                  <c:v>0.20098101397164519</c:v>
                </c:pt>
                <c:pt idx="15">
                  <c:v>0.37817795233277623</c:v>
                </c:pt>
              </c:numCache>
            </c:numRef>
          </c:xVal>
          <c:yVal>
            <c:numRef>
              <c:f>'Morgan-Pompa solid data'!$AJ$35:$AJ$50</c:f>
              <c:numCache>
                <c:formatCode>0.0000</c:formatCode>
                <c:ptCount val="16"/>
                <c:pt idx="0">
                  <c:v>0.10929039791816136</c:v>
                </c:pt>
                <c:pt idx="1">
                  <c:v>0.10841964704608612</c:v>
                </c:pt>
                <c:pt idx="2">
                  <c:v>0.12101832943605684</c:v>
                </c:pt>
                <c:pt idx="3">
                  <c:v>0.11738136111498561</c:v>
                </c:pt>
                <c:pt idx="4">
                  <c:v>0.13728561239663301</c:v>
                </c:pt>
                <c:pt idx="5">
                  <c:v>0.11941636297701487</c:v>
                </c:pt>
                <c:pt idx="6">
                  <c:v>0.12845164838297241</c:v>
                </c:pt>
                <c:pt idx="7">
                  <c:v>0.29366568914956021</c:v>
                </c:pt>
                <c:pt idx="8">
                  <c:v>0.10985904187002314</c:v>
                </c:pt>
                <c:pt idx="9">
                  <c:v>0.10630062043930046</c:v>
                </c:pt>
                <c:pt idx="10">
                  <c:v>0.10714910430726482</c:v>
                </c:pt>
                <c:pt idx="11">
                  <c:v>0.10613897485903254</c:v>
                </c:pt>
                <c:pt idx="12">
                  <c:v>0.11387153076359087</c:v>
                </c:pt>
                <c:pt idx="13">
                  <c:v>0.15080711543910383</c:v>
                </c:pt>
                <c:pt idx="14">
                  <c:v>0.11476955601008494</c:v>
                </c:pt>
                <c:pt idx="15">
                  <c:v>0.26440692495277646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7A-2D44-A26D-F02B2F6C231B}"/>
            </c:ext>
          </c:extLst>
        </c:ser>
        <c:ser>
          <c:idx val="3"/>
          <c:order val="3"/>
          <c:tx>
            <c:v>Basalt control</c:v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20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data'!$AE$42,'Morgan-Pompa solid data'!$AE$50)</c:f>
              <c:numCache>
                <c:formatCode>0.0000</c:formatCode>
                <c:ptCount val="2"/>
                <c:pt idx="0">
                  <c:v>0.37004509314282424</c:v>
                </c:pt>
                <c:pt idx="1">
                  <c:v>0.37817795233277623</c:v>
                </c:pt>
              </c:numCache>
            </c:numRef>
          </c:xVal>
          <c:yVal>
            <c:numRef>
              <c:f>('Morgan-Pompa solid data'!$AJ$42,'Morgan-Pompa solid data'!$AJ$50)</c:f>
              <c:numCache>
                <c:formatCode>0.0000</c:formatCode>
                <c:ptCount val="2"/>
                <c:pt idx="0">
                  <c:v>0.29366568914956021</c:v>
                </c:pt>
                <c:pt idx="1">
                  <c:v>0.26440692495277646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7A-2D44-A26D-F02B2F6C2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Al/Si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Mg/Si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Residual solid: Elemental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 only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selective diss'!$AJ$13:$AJ$34</c:f>
              <c:numCache>
                <c:formatCode>0.00</c:formatCode>
                <c:ptCount val="22"/>
                <c:pt idx="0">
                  <c:v>0.42811766676255186</c:v>
                </c:pt>
                <c:pt idx="1">
                  <c:v>0.39400938653593931</c:v>
                </c:pt>
                <c:pt idx="2">
                  <c:v>0.3627048034583546</c:v>
                </c:pt>
                <c:pt idx="3">
                  <c:v>0.33387186926770285</c:v>
                </c:pt>
                <c:pt idx="4">
                  <c:v>0.30722897801530313</c:v>
                </c:pt>
                <c:pt idx="5">
                  <c:v>0.2825357380022081</c:v>
                </c:pt>
                <c:pt idx="6">
                  <c:v>0.25958569805945264</c:v>
                </c:pt>
                <c:pt idx="7">
                  <c:v>0.23820056175649981</c:v>
                </c:pt>
                <c:pt idx="8">
                  <c:v>0.21822554614263662</c:v>
                </c:pt>
                <c:pt idx="9">
                  <c:v>0.19952562930817633</c:v>
                </c:pt>
                <c:pt idx="10">
                  <c:v>0.18198249432626243</c:v>
                </c:pt>
                <c:pt idx="11">
                  <c:v>0.16549202332480353</c:v>
                </c:pt>
                <c:pt idx="12">
                  <c:v>0.14996222951823568</c:v>
                </c:pt>
                <c:pt idx="13">
                  <c:v>0.13531154042758503</c:v>
                </c:pt>
                <c:pt idx="14">
                  <c:v>0.12146736462422468</c:v>
                </c:pt>
                <c:pt idx="15">
                  <c:v>0.10836488883321085</c:v>
                </c:pt>
                <c:pt idx="16">
                  <c:v>9.5946063327900247E-2</c:v>
                </c:pt>
                <c:pt idx="17">
                  <c:v>8.4158742104334563E-2</c:v>
                </c:pt>
                <c:pt idx="18">
                  <c:v>7.2955950971188954E-2</c:v>
                </c:pt>
                <c:pt idx="19">
                  <c:v>6.2295261890904355E-2</c:v>
                </c:pt>
                <c:pt idx="20">
                  <c:v>5.2138256001913394E-2</c:v>
                </c:pt>
                <c:pt idx="21">
                  <c:v>4.2450060995758175E-2</c:v>
                </c:pt>
              </c:numCache>
            </c:numRef>
          </c:xVal>
          <c:yVal>
            <c:numRef>
              <c:f>'plot selective diss'!$AK$13:$AK$34</c:f>
              <c:numCache>
                <c:formatCode>0.00</c:formatCode>
                <c:ptCount val="22"/>
                <c:pt idx="0">
                  <c:v>0.14151159994817719</c:v>
                </c:pt>
                <c:pt idx="1">
                  <c:v>0.12991961945808247</c:v>
                </c:pt>
                <c:pt idx="2">
                  <c:v>0.1192804985796638</c:v>
                </c:pt>
                <c:pt idx="3">
                  <c:v>0.10948138797104859</c:v>
                </c:pt>
                <c:pt idx="4">
                  <c:v>0.10042658152681865</c:v>
                </c:pt>
                <c:pt idx="5">
                  <c:v>9.2034380144419864E-2</c:v>
                </c:pt>
                <c:pt idx="6">
                  <c:v>8.4234619690483417E-2</c:v>
                </c:pt>
                <c:pt idx="7">
                  <c:v>7.6966704651822926E-2</c:v>
                </c:pt>
                <c:pt idx="8">
                  <c:v>7.0178030765398844E-2</c:v>
                </c:pt>
                <c:pt idx="9">
                  <c:v>6.382270972102895E-2</c:v>
                </c:pt>
                <c:pt idx="10">
                  <c:v>5.7860530534792086E-2</c:v>
                </c:pt>
                <c:pt idx="11">
                  <c:v>5.2256107888697043E-2</c:v>
                </c:pt>
                <c:pt idx="12">
                  <c:v>4.6978179314612303E-2</c:v>
                </c:pt>
                <c:pt idx="13">
                  <c:v>4.1999021732437955E-2</c:v>
                </c:pt>
                <c:pt idx="14">
                  <c:v>3.7293964346144397E-2</c:v>
                </c:pt>
                <c:pt idx="15">
                  <c:v>3.2840979829415091E-2</c:v>
                </c:pt>
                <c:pt idx="16">
                  <c:v>2.8620339503634934E-2</c:v>
                </c:pt>
                <c:pt idx="17">
                  <c:v>2.4614321119059746E-2</c:v>
                </c:pt>
                <c:pt idx="18">
                  <c:v>2.0806960109145616E-2</c:v>
                </c:pt>
                <c:pt idx="19">
                  <c:v>1.7183836955219967E-2</c:v>
                </c:pt>
                <c:pt idx="20">
                  <c:v>1.3731894690153932E-2</c:v>
                </c:pt>
                <c:pt idx="21">
                  <c:v>1.0439281672158403E-2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5-4B49-873A-CA63F581117D}"/>
            </c:ext>
          </c:extLst>
        </c:ser>
        <c:ser>
          <c:idx val="1"/>
          <c:order val="1"/>
          <c:tx>
            <c:v>Mix + weath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diss'!$DB$13:$DB$33</c:f>
              <c:numCache>
                <c:formatCode>0.000</c:formatCode>
                <c:ptCount val="21"/>
                <c:pt idx="0">
                  <c:v>0.17361168767392066</c:v>
                </c:pt>
                <c:pt idx="1">
                  <c:v>0.16920907892035281</c:v>
                </c:pt>
                <c:pt idx="2">
                  <c:v>0.16465147054554011</c:v>
                </c:pt>
                <c:pt idx="3">
                  <c:v>0.15993053043014088</c:v>
                </c:pt>
                <c:pt idx="4">
                  <c:v>0.15503731835962262</c:v>
                </c:pt>
                <c:pt idx="5">
                  <c:v>0.14996222951823562</c:v>
                </c:pt>
                <c:pt idx="6">
                  <c:v>0.14469493156281768</c:v>
                </c:pt>
                <c:pt idx="7">
                  <c:v>0.13922429440897624</c:v>
                </c:pt>
                <c:pt idx="8">
                  <c:v>0.13353831172560363</c:v>
                </c:pt>
                <c:pt idx="9">
                  <c:v>0.12762401297241896</c:v>
                </c:pt>
                <c:pt idx="10">
                  <c:v>0.12146736462422458</c:v>
                </c:pt>
                <c:pt idx="11">
                  <c:v>0.11505315899860653</c:v>
                </c:pt>
                <c:pt idx="12">
                  <c:v>0.10836488883321078</c:v>
                </c:pt>
                <c:pt idx="13">
                  <c:v>0.10138460543496153</c:v>
                </c:pt>
                <c:pt idx="14">
                  <c:v>9.4092757834796564E-2</c:v>
                </c:pt>
                <c:pt idx="15">
                  <c:v>8.6468009912825314E-2</c:v>
                </c:pt>
                <c:pt idx="16">
                  <c:v>7.8487031891613518E-2</c:v>
                </c:pt>
                <c:pt idx="17">
                  <c:v>7.0124261905997409E-2</c:v>
                </c:pt>
                <c:pt idx="18">
                  <c:v>6.1351632516503232E-2</c:v>
                </c:pt>
                <c:pt idx="19">
                  <c:v>5.2138256001913311E-2</c:v>
                </c:pt>
                <c:pt idx="20">
                  <c:v>4.2450060995758113E-2</c:v>
                </c:pt>
              </c:numCache>
            </c:numRef>
          </c:xVal>
          <c:yVal>
            <c:numRef>
              <c:f>'plot selective diss'!$DC$13:$DC$33</c:f>
              <c:numCache>
                <c:formatCode>0.000</c:formatCode>
                <c:ptCount val="21"/>
                <c:pt idx="0">
                  <c:v>5.5015642819679716E-2</c:v>
                </c:pt>
                <c:pt idx="1">
                  <c:v>5.351937990528452E-2</c:v>
                </c:pt>
                <c:pt idx="2">
                  <c:v>5.1970439090581744E-2</c:v>
                </c:pt>
                <c:pt idx="3">
                  <c:v>5.036598863605795E-2</c:v>
                </c:pt>
                <c:pt idx="4">
                  <c:v>4.8702990136031361E-2</c:v>
                </c:pt>
                <c:pt idx="5">
                  <c:v>4.6978179314612289E-2</c:v>
                </c:pt>
                <c:pt idx="6">
                  <c:v>4.518804463971654E-2</c:v>
                </c:pt>
                <c:pt idx="7">
                  <c:v>4.3328803460319927E-2</c:v>
                </c:pt>
                <c:pt idx="8">
                  <c:v>4.1396375325721553E-2</c:v>
                </c:pt>
                <c:pt idx="9">
                  <c:v>3.9386352090776504E-2</c:v>
                </c:pt>
                <c:pt idx="10">
                  <c:v>3.7293964346144362E-2</c:v>
                </c:pt>
                <c:pt idx="11">
                  <c:v>3.511404363546583E-2</c:v>
                </c:pt>
                <c:pt idx="12">
                  <c:v>3.2840979829415064E-2</c:v>
                </c:pt>
                <c:pt idx="13">
                  <c:v>3.0468672916541036E-2</c:v>
                </c:pt>
                <c:pt idx="14">
                  <c:v>2.7990478338677075E-2</c:v>
                </c:pt>
                <c:pt idx="15">
                  <c:v>2.5399144839416712E-2</c:v>
                </c:pt>
                <c:pt idx="16">
                  <c:v>2.2686743601386027E-2</c:v>
                </c:pt>
                <c:pt idx="17">
                  <c:v>1.9844587213777427E-2</c:v>
                </c:pt>
                <c:pt idx="18">
                  <c:v>1.6863136725678532E-2</c:v>
                </c:pt>
                <c:pt idx="19">
                  <c:v>1.3731894690153878E-2</c:v>
                </c:pt>
                <c:pt idx="20">
                  <c:v>1.0439281672158379E-2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65-4B49-873A-CA63F581117D}"/>
            </c:ext>
          </c:extLst>
        </c:ser>
        <c:ser>
          <c:idx val="2"/>
          <c:order val="2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data'!$AE$35:$AE$50</c:f>
              <c:numCache>
                <c:formatCode>0.0000</c:formatCode>
                <c:ptCount val="16"/>
                <c:pt idx="0">
                  <c:v>0.22134560704453871</c:v>
                </c:pt>
                <c:pt idx="1">
                  <c:v>0.17410667715195915</c:v>
                </c:pt>
                <c:pt idx="2">
                  <c:v>0.22761220389600204</c:v>
                </c:pt>
                <c:pt idx="3">
                  <c:v>0.26544330542918243</c:v>
                </c:pt>
                <c:pt idx="4">
                  <c:v>0.25080643163828503</c:v>
                </c:pt>
                <c:pt idx="5">
                  <c:v>0.18779608690194294</c:v>
                </c:pt>
                <c:pt idx="6">
                  <c:v>0.19174954965010058</c:v>
                </c:pt>
                <c:pt idx="7">
                  <c:v>0.37004509314282424</c:v>
                </c:pt>
                <c:pt idx="8">
                  <c:v>0.17466689974309677</c:v>
                </c:pt>
                <c:pt idx="9">
                  <c:v>0.26122905088937881</c:v>
                </c:pt>
                <c:pt idx="10">
                  <c:v>0.18938506673604302</c:v>
                </c:pt>
                <c:pt idx="11">
                  <c:v>0.17697594825662927</c:v>
                </c:pt>
                <c:pt idx="12">
                  <c:v>0.17755303833837985</c:v>
                </c:pt>
                <c:pt idx="13">
                  <c:v>0.3670202948800711</c:v>
                </c:pt>
                <c:pt idx="14">
                  <c:v>0.20098101397164519</c:v>
                </c:pt>
                <c:pt idx="15">
                  <c:v>0.37817795233277623</c:v>
                </c:pt>
              </c:numCache>
            </c:numRef>
          </c:xVal>
          <c:yVal>
            <c:numRef>
              <c:f>'Morgan-Pompa solid data'!$AH$35:$AH$50</c:f>
              <c:numCache>
                <c:formatCode>0.0000</c:formatCode>
                <c:ptCount val="16"/>
                <c:pt idx="0">
                  <c:v>8.4674235406291987E-2</c:v>
                </c:pt>
                <c:pt idx="1">
                  <c:v>8.0016556739771538E-2</c:v>
                </c:pt>
                <c:pt idx="2">
                  <c:v>8.9662210209360368E-2</c:v>
                </c:pt>
                <c:pt idx="3">
                  <c:v>9.7082133139169705E-2</c:v>
                </c:pt>
                <c:pt idx="4">
                  <c:v>9.7360206667004193E-2</c:v>
                </c:pt>
                <c:pt idx="5">
                  <c:v>8.709987875719595E-2</c:v>
                </c:pt>
                <c:pt idx="6">
                  <c:v>9.2648520375515242E-2</c:v>
                </c:pt>
                <c:pt idx="7">
                  <c:v>0.1958175842782767</c:v>
                </c:pt>
                <c:pt idx="8">
                  <c:v>8.115434642548898E-2</c:v>
                </c:pt>
                <c:pt idx="9">
                  <c:v>9.0509533501716852E-2</c:v>
                </c:pt>
                <c:pt idx="10">
                  <c:v>7.9584165141479063E-2</c:v>
                </c:pt>
                <c:pt idx="11">
                  <c:v>7.8052860811875874E-2</c:v>
                </c:pt>
                <c:pt idx="12">
                  <c:v>8.2605848505471077E-2</c:v>
                </c:pt>
                <c:pt idx="13">
                  <c:v>0.12372220564603296</c:v>
                </c:pt>
                <c:pt idx="14">
                  <c:v>8.2727597451919266E-2</c:v>
                </c:pt>
                <c:pt idx="15">
                  <c:v>0.18192842495384343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65-4B49-873A-CA63F581117D}"/>
            </c:ext>
          </c:extLst>
        </c:ser>
        <c:ser>
          <c:idx val="4"/>
          <c:order val="3"/>
          <c:tx>
            <c:v>Basalt control</c:v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20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data'!$AE$42,'Morgan-Pompa solid data'!$AE$50)</c:f>
              <c:numCache>
                <c:formatCode>0.0000</c:formatCode>
                <c:ptCount val="2"/>
                <c:pt idx="0">
                  <c:v>0.37004509314282424</c:v>
                </c:pt>
                <c:pt idx="1">
                  <c:v>0.37817795233277623</c:v>
                </c:pt>
              </c:numCache>
            </c:numRef>
          </c:xVal>
          <c:yVal>
            <c:numRef>
              <c:f>('Morgan-Pompa solid data'!$AH$42,'Morgan-Pompa solid data'!$AH$50)</c:f>
              <c:numCache>
                <c:formatCode>0.0000</c:formatCode>
                <c:ptCount val="2"/>
                <c:pt idx="0">
                  <c:v>0.1958175842782767</c:v>
                </c:pt>
                <c:pt idx="1">
                  <c:v>0.18192842495384343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65-4B49-873A-CA63F5811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Al/Si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Fe/Si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Residual solid: Elemental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'plot selective diss'!$AB$13:$AB$34</c:f>
              <c:numCache>
                <c:formatCode>0.00</c:formatCode>
                <c:ptCount val="22"/>
                <c:pt idx="0">
                  <c:v>64.532579102202547</c:v>
                </c:pt>
                <c:pt idx="1">
                  <c:v>70.02656637298692</c:v>
                </c:pt>
                <c:pt idx="2">
                  <c:v>75.962009874082625</c:v>
                </c:pt>
                <c:pt idx="3">
                  <c:v>82.394345038547939</c:v>
                </c:pt>
                <c:pt idx="4">
                  <c:v>89.388694451131144</c:v>
                </c:pt>
                <c:pt idx="5">
                  <c:v>97.022080507568404</c:v>
                </c:pt>
                <c:pt idx="6">
                  <c:v>105.3862735822651</c:v>
                </c:pt>
                <c:pt idx="7">
                  <c:v>114.591499359129</c:v>
                </c:pt>
                <c:pt idx="8">
                  <c:v>124.77132369765901</c:v>
                </c:pt>
                <c:pt idx="9">
                  <c:v>136.08917577281457</c:v>
                </c:pt>
                <c:pt idx="10">
                  <c:v>148.74718845361994</c:v>
                </c:pt>
                <c:pt idx="11">
                  <c:v>162.99837671175243</c:v>
                </c:pt>
                <c:pt idx="12">
                  <c:v>179.16372328452309</c:v>
                </c:pt>
                <c:pt idx="13">
                  <c:v>197.656644598604</c:v>
                </c:pt>
                <c:pt idx="14">
                  <c:v>219.01884476322064</c:v>
                </c:pt>
                <c:pt idx="15">
                  <c:v>243.97426196650326</c:v>
                </c:pt>
                <c:pt idx="16">
                  <c:v>273.51273660692016</c:v>
                </c:pt>
                <c:pt idx="17">
                  <c:v>309.02443715575362</c:v>
                </c:pt>
                <c:pt idx="18">
                  <c:v>352.52500915462196</c:v>
                </c:pt>
                <c:pt idx="19">
                  <c:v>407.05193384128216</c:v>
                </c:pt>
                <c:pt idx="20">
                  <c:v>477.40603204719633</c:v>
                </c:pt>
                <c:pt idx="21">
                  <c:v>571.64828264929065</c:v>
                </c:pt>
              </c:numCache>
            </c:numRef>
          </c:xVal>
          <c:yVal>
            <c:numRef>
              <c:f>'plot selective diss'!$Z$13:$Z$34</c:f>
              <c:numCache>
                <c:formatCode>0.00</c:formatCode>
                <c:ptCount val="22"/>
                <c:pt idx="0">
                  <c:v>1.4405081502203125</c:v>
                </c:pt>
                <c:pt idx="1">
                  <c:v>1.4661418370293382</c:v>
                </c:pt>
                <c:pt idx="2">
                  <c:v>1.4938352575417655</c:v>
                </c:pt>
                <c:pt idx="3">
                  <c:v>1.5238470607968251</c:v>
                </c:pt>
                <c:pt idx="4">
                  <c:v>1.5564810938657536</c:v>
                </c:pt>
                <c:pt idx="5">
                  <c:v>1.5920967256135061</c:v>
                </c:pt>
                <c:pt idx="6">
                  <c:v>1.6311221355970977</c:v>
                </c:pt>
                <c:pt idx="7">
                  <c:v>1.6740716116225143</c:v>
                </c:pt>
                <c:pt idx="8">
                  <c:v>1.7215683414115368</c:v>
                </c:pt>
                <c:pt idx="9">
                  <c:v>1.7743748480789605</c:v>
                </c:pt>
                <c:pt idx="10">
                  <c:v>1.8334342373152432</c:v>
                </c:pt>
                <c:pt idx="11">
                  <c:v>1.899927019052845</c:v>
                </c:pt>
                <c:pt idx="12">
                  <c:v>1.975350825258096</c:v>
                </c:pt>
                <c:pt idx="13">
                  <c:v>2.0616345623300649</c:v>
                </c:pt>
                <c:pt idx="14">
                  <c:v>2.1613056976243619</c:v>
                </c:pt>
                <c:pt idx="15">
                  <c:v>2.2777419609879979</c:v>
                </c:pt>
                <c:pt idx="16">
                  <c:v>2.4155617211056231</c:v>
                </c:pt>
                <c:pt idx="17">
                  <c:v>2.5812511857983087</c:v>
                </c:pt>
                <c:pt idx="18">
                  <c:v>2.784214895700253</c:v>
                </c:pt>
                <c:pt idx="19">
                  <c:v>3.0386250428642114</c:v>
                </c:pt>
                <c:pt idx="20">
                  <c:v>3.3668811581872364</c:v>
                </c:pt>
                <c:pt idx="21">
                  <c:v>3.8065939236241451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3B-9F46-901C-968795214A1C}"/>
            </c:ext>
          </c:extLst>
        </c:ser>
        <c:ser>
          <c:idx val="1"/>
          <c:order val="1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diss'!$CC$13:$CC$33</c:f>
              <c:numCache>
                <c:formatCode>0.000</c:formatCode>
                <c:ptCount val="21"/>
                <c:pt idx="0">
                  <c:v>155.65541018730315</c:v>
                </c:pt>
                <c:pt idx="1">
                  <c:v>159.55271601099778</c:v>
                </c:pt>
                <c:pt idx="2">
                  <c:v>163.79829128077213</c:v>
                </c:pt>
                <c:pt idx="3">
                  <c:v>168.44100224684431</c:v>
                </c:pt>
                <c:pt idx="4">
                  <c:v>173.53930571871919</c:v>
                </c:pt>
                <c:pt idx="5">
                  <c:v>179.16372328452317</c:v>
                </c:pt>
                <c:pt idx="6">
                  <c:v>185.40012317583333</c:v>
                </c:pt>
                <c:pt idx="7">
                  <c:v>192.35413504840176</c:v>
                </c:pt>
                <c:pt idx="8">
                  <c:v>200.15718180189143</c:v>
                </c:pt>
                <c:pt idx="9">
                  <c:v>208.97486436525253</c:v>
                </c:pt>
                <c:pt idx="10">
                  <c:v>219.01884476322076</c:v>
                </c:pt>
                <c:pt idx="11">
                  <c:v>230.56405752176158</c:v>
                </c:pt>
                <c:pt idx="12">
                  <c:v>243.97426196650338</c:v>
                </c:pt>
                <c:pt idx="13">
                  <c:v>259.74106557420919</c:v>
                </c:pt>
                <c:pt idx="14">
                  <c:v>278.5455020444906</c:v>
                </c:pt>
                <c:pt idx="15">
                  <c:v>301.35899421345243</c:v>
                </c:pt>
                <c:pt idx="16">
                  <c:v>329.61659699339498</c:v>
                </c:pt>
                <c:pt idx="17">
                  <c:v>365.53106952240262</c:v>
                </c:pt>
                <c:pt idx="18">
                  <c:v>412.70226759055959</c:v>
                </c:pt>
                <c:pt idx="19">
                  <c:v>477.4060320471973</c:v>
                </c:pt>
                <c:pt idx="20">
                  <c:v>571.64828264929156</c:v>
                </c:pt>
              </c:numCache>
            </c:numRef>
          </c:xVal>
          <c:yVal>
            <c:numRef>
              <c:f>'plot selective diss'!$CA$13:$CA$33</c:f>
              <c:numCache>
                <c:formatCode>0.000</c:formatCode>
                <c:ptCount val="21"/>
                <c:pt idx="0">
                  <c:v>1.8656664183525422</c:v>
                </c:pt>
                <c:pt idx="1">
                  <c:v>1.883850355074572</c:v>
                </c:pt>
                <c:pt idx="2">
                  <c:v>1.9036592372990115</c:v>
                </c:pt>
                <c:pt idx="3">
                  <c:v>1.9253210637619136</c:v>
                </c:pt>
                <c:pt idx="4">
                  <c:v>1.9491085805532931</c:v>
                </c:pt>
                <c:pt idx="5">
                  <c:v>1.9753508252580969</c:v>
                </c:pt>
                <c:pt idx="6">
                  <c:v>2.004448439386143</c:v>
                </c:pt>
                <c:pt idx="7">
                  <c:v>2.0368942667282615</c:v>
                </c:pt>
                <c:pt idx="8">
                  <c:v>2.0733014964462475</c:v>
                </c:pt>
                <c:pt idx="9">
                  <c:v>2.1144427845618154</c:v>
                </c:pt>
                <c:pt idx="10">
                  <c:v>2.1613056976243623</c:v>
                </c:pt>
                <c:pt idx="11">
                  <c:v>2.2151730171883828</c:v>
                </c:pt>
                <c:pt idx="12">
                  <c:v>2.2777419609879987</c:v>
                </c:pt>
                <c:pt idx="13">
                  <c:v>2.3513062569609016</c:v>
                </c:pt>
                <c:pt idx="14">
                  <c:v>2.4390434524332516</c:v>
                </c:pt>
                <c:pt idx="15">
                  <c:v>2.5454859839602366</c:v>
                </c:pt>
                <c:pt idx="16">
                  <c:v>2.6773294892203938</c:v>
                </c:pt>
                <c:pt idx="17">
                  <c:v>2.8448981957617354</c:v>
                </c:pt>
                <c:pt idx="18">
                  <c:v>3.0649882065478371</c:v>
                </c:pt>
                <c:pt idx="19">
                  <c:v>3.3668811581872404</c:v>
                </c:pt>
                <c:pt idx="20">
                  <c:v>3.8065939236241504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3B-9F46-901C-968795214A1C}"/>
            </c:ext>
          </c:extLst>
        </c:ser>
        <c:ser>
          <c:idx val="2"/>
          <c:order val="2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data'!$AA$35:$AA$50</c:f>
              <c:numCache>
                <c:formatCode>0.000</c:formatCode>
                <c:ptCount val="16"/>
                <c:pt idx="0">
                  <c:v>86.75677528163078</c:v>
                </c:pt>
                <c:pt idx="1">
                  <c:v>82.707172920873745</c:v>
                </c:pt>
                <c:pt idx="2">
                  <c:v>77.348085695898746</c:v>
                </c:pt>
                <c:pt idx="3">
                  <c:v>84.795223468752923</c:v>
                </c:pt>
                <c:pt idx="4">
                  <c:v>71.294657176922016</c:v>
                </c:pt>
                <c:pt idx="5">
                  <c:v>77.605107058871766</c:v>
                </c:pt>
                <c:pt idx="6">
                  <c:v>73.687961449440039</c:v>
                </c:pt>
                <c:pt idx="7">
                  <c:v>36.790977750197328</c:v>
                </c:pt>
                <c:pt idx="8">
                  <c:v>86.54086406690206</c:v>
                </c:pt>
                <c:pt idx="9">
                  <c:v>92.096124948881098</c:v>
                </c:pt>
                <c:pt idx="10">
                  <c:v>88.809585993528444</c:v>
                </c:pt>
                <c:pt idx="11">
                  <c:v>90.27026997368516</c:v>
                </c:pt>
                <c:pt idx="12">
                  <c:v>81.614256707276454</c:v>
                </c:pt>
                <c:pt idx="13">
                  <c:v>63.046604783883595</c:v>
                </c:pt>
                <c:pt idx="14">
                  <c:v>82.768076582818438</c:v>
                </c:pt>
                <c:pt idx="15">
                  <c:v>40.864608242154681</c:v>
                </c:pt>
              </c:numCache>
            </c:numRef>
          </c:xVal>
          <c:yVal>
            <c:numRef>
              <c:f>'Morgan-Pompa solid data'!$V$35:$V$50</c:f>
              <c:numCache>
                <c:formatCode>0.000</c:formatCode>
                <c:ptCount val="16"/>
                <c:pt idx="0">
                  <c:v>2.0239448364665611</c:v>
                </c:pt>
                <c:pt idx="1">
                  <c:v>1.7642522148069151</c:v>
                </c:pt>
                <c:pt idx="2">
                  <c:v>1.905686026201977</c:v>
                </c:pt>
                <c:pt idx="3">
                  <c:v>2.241492184530379</c:v>
                </c:pt>
                <c:pt idx="4">
                  <c:v>1.7985095393662729</c:v>
                </c:pt>
                <c:pt idx="5">
                  <c:v>1.7299948902475577</c:v>
                </c:pt>
                <c:pt idx="6">
                  <c:v>1.6628106226651282</c:v>
                </c:pt>
                <c:pt idx="7">
                  <c:v>0.50468379931196428</c:v>
                </c:pt>
                <c:pt idx="8">
                  <c:v>1.7678966110366343</c:v>
                </c:pt>
                <c:pt idx="9">
                  <c:v>2.5032316445873426</c:v>
                </c:pt>
                <c:pt idx="10">
                  <c:v>1.8261789168949842</c:v>
                </c:pt>
                <c:pt idx="11">
                  <c:v>1.8448133956388102</c:v>
                </c:pt>
                <c:pt idx="12">
                  <c:v>1.6787801900313175</c:v>
                </c:pt>
                <c:pt idx="13">
                  <c:v>2.2869121298730768</c:v>
                </c:pt>
                <c:pt idx="14">
                  <c:v>1.783146718558726</c:v>
                </c:pt>
                <c:pt idx="15">
                  <c:v>0.66454580276969999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3B-9F46-901C-968795214A1C}"/>
            </c:ext>
          </c:extLst>
        </c:ser>
        <c:ser>
          <c:idx val="4"/>
          <c:order val="3"/>
          <c:tx>
            <c:v>Basalt control</c:v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x"/>
            <c:size val="20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data'!$AA$42,'Morgan-Pompa solid data'!$AA$50)</c:f>
              <c:numCache>
                <c:formatCode>0.000</c:formatCode>
                <c:ptCount val="2"/>
                <c:pt idx="0">
                  <c:v>36.790977750197328</c:v>
                </c:pt>
                <c:pt idx="1">
                  <c:v>40.864608242154681</c:v>
                </c:pt>
              </c:numCache>
            </c:numRef>
          </c:xVal>
          <c:yVal>
            <c:numRef>
              <c:f>('Morgan-Pompa solid data'!$V$42,'Morgan-Pompa solid data'!$V$50)</c:f>
              <c:numCache>
                <c:formatCode>0.000</c:formatCode>
                <c:ptCount val="2"/>
                <c:pt idx="0">
                  <c:v>0.50468379931196428</c:v>
                </c:pt>
                <c:pt idx="1">
                  <c:v>0.66454580276969999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3B-9F46-901C-968795214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Residual solid: Elemental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 only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selective diss'!$AJ$13:$AJ$34</c:f>
              <c:numCache>
                <c:formatCode>0.00</c:formatCode>
                <c:ptCount val="22"/>
                <c:pt idx="0">
                  <c:v>0.42811766676255186</c:v>
                </c:pt>
                <c:pt idx="1">
                  <c:v>0.39400938653593931</c:v>
                </c:pt>
                <c:pt idx="2">
                  <c:v>0.3627048034583546</c:v>
                </c:pt>
                <c:pt idx="3">
                  <c:v>0.33387186926770285</c:v>
                </c:pt>
                <c:pt idx="4">
                  <c:v>0.30722897801530313</c:v>
                </c:pt>
                <c:pt idx="5">
                  <c:v>0.2825357380022081</c:v>
                </c:pt>
                <c:pt idx="6">
                  <c:v>0.25958569805945264</c:v>
                </c:pt>
                <c:pt idx="7">
                  <c:v>0.23820056175649981</c:v>
                </c:pt>
                <c:pt idx="8">
                  <c:v>0.21822554614263662</c:v>
                </c:pt>
                <c:pt idx="9">
                  <c:v>0.19952562930817633</c:v>
                </c:pt>
                <c:pt idx="10">
                  <c:v>0.18198249432626243</c:v>
                </c:pt>
                <c:pt idx="11">
                  <c:v>0.16549202332480353</c:v>
                </c:pt>
                <c:pt idx="12">
                  <c:v>0.14996222951823568</c:v>
                </c:pt>
                <c:pt idx="13">
                  <c:v>0.13531154042758503</c:v>
                </c:pt>
                <c:pt idx="14">
                  <c:v>0.12146736462422468</c:v>
                </c:pt>
                <c:pt idx="15">
                  <c:v>0.10836488883321085</c:v>
                </c:pt>
                <c:pt idx="16">
                  <c:v>9.5946063327900247E-2</c:v>
                </c:pt>
                <c:pt idx="17">
                  <c:v>8.4158742104334563E-2</c:v>
                </c:pt>
                <c:pt idx="18">
                  <c:v>7.2955950971188954E-2</c:v>
                </c:pt>
                <c:pt idx="19">
                  <c:v>6.2295261890904355E-2</c:v>
                </c:pt>
                <c:pt idx="20">
                  <c:v>5.2138256001913394E-2</c:v>
                </c:pt>
                <c:pt idx="21">
                  <c:v>4.2450060995758175E-2</c:v>
                </c:pt>
              </c:numCache>
            </c:numRef>
          </c:xVal>
          <c:yVal>
            <c:numRef>
              <c:f>'plot selective diss'!$AG$13:$AG$34</c:f>
              <c:numCache>
                <c:formatCode>0.000</c:formatCode>
                <c:ptCount val="22"/>
                <c:pt idx="0">
                  <c:v>2.2322184705169282E-2</c:v>
                </c:pt>
                <c:pt idx="1">
                  <c:v>2.093693740772801E-2</c:v>
                </c:pt>
                <c:pt idx="2">
                  <c:v>1.966555729657497E-2</c:v>
                </c:pt>
                <c:pt idx="3">
                  <c:v>1.8494558820558595E-2</c:v>
                </c:pt>
                <c:pt idx="4">
                  <c:v>1.7412505053608127E-2</c:v>
                </c:pt>
                <c:pt idx="5">
                  <c:v>1.6409632913296592E-2</c:v>
                </c:pt>
                <c:pt idx="6">
                  <c:v>1.5477557751615866E-2</c:v>
                </c:pt>
                <c:pt idx="7">
                  <c:v>1.4609038375315998E-2</c:v>
                </c:pt>
                <c:pt idx="8">
                  <c:v>1.3797788549420008E-2</c:v>
                </c:pt>
                <c:pt idx="9">
                  <c:v>1.3038324598578493E-2</c:v>
                </c:pt>
                <c:pt idx="10">
                  <c:v>1.2325841290687095E-2</c:v>
                </c:pt>
                <c:pt idx="11">
                  <c:v>1.165611006306333E-2</c:v>
                </c:pt>
                <c:pt idx="12">
                  <c:v>1.1025395035584947E-2</c:v>
                </c:pt>
                <c:pt idx="13">
                  <c:v>1.0430383286718132E-2</c:v>
                </c:pt>
                <c:pt idx="14">
                  <c:v>9.8681266443576155E-3</c:v>
                </c:pt>
                <c:pt idx="15">
                  <c:v>9.3359928323124633E-3</c:v>
                </c:pt>
                <c:pt idx="16">
                  <c:v>8.8316242639082526E-3</c:v>
                </c:pt>
                <c:pt idx="17">
                  <c:v>8.3529031216949164E-3</c:v>
                </c:pt>
                <c:pt idx="18">
                  <c:v>7.8979216322183285E-3</c:v>
                </c:pt>
                <c:pt idx="19">
                  <c:v>7.4649566559952356E-3</c:v>
                </c:pt>
                <c:pt idx="20">
                  <c:v>7.0524478791134894E-3</c:v>
                </c:pt>
                <c:pt idx="21">
                  <c:v>6.6589790246243266E-3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A-604B-8AFE-D17C8510A27A}"/>
            </c:ext>
          </c:extLst>
        </c:ser>
        <c:ser>
          <c:idx val="1"/>
          <c:order val="1"/>
          <c:tx>
            <c:v>Mix + weath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diss'!$DB$13:$DB$33</c:f>
              <c:numCache>
                <c:formatCode>0.000</c:formatCode>
                <c:ptCount val="21"/>
                <c:pt idx="0">
                  <c:v>0.17361168767392066</c:v>
                </c:pt>
                <c:pt idx="1">
                  <c:v>0.16920907892035281</c:v>
                </c:pt>
                <c:pt idx="2">
                  <c:v>0.16465147054554011</c:v>
                </c:pt>
                <c:pt idx="3">
                  <c:v>0.15993053043014088</c:v>
                </c:pt>
                <c:pt idx="4">
                  <c:v>0.15503731835962262</c:v>
                </c:pt>
                <c:pt idx="5">
                  <c:v>0.14996222951823562</c:v>
                </c:pt>
                <c:pt idx="6">
                  <c:v>0.14469493156281768</c:v>
                </c:pt>
                <c:pt idx="7">
                  <c:v>0.13922429440897624</c:v>
                </c:pt>
                <c:pt idx="8">
                  <c:v>0.13353831172560363</c:v>
                </c:pt>
                <c:pt idx="9">
                  <c:v>0.12762401297241896</c:v>
                </c:pt>
                <c:pt idx="10">
                  <c:v>0.12146736462422458</c:v>
                </c:pt>
                <c:pt idx="11">
                  <c:v>0.11505315899860653</c:v>
                </c:pt>
                <c:pt idx="12">
                  <c:v>0.10836488883321078</c:v>
                </c:pt>
                <c:pt idx="13">
                  <c:v>0.10138460543496153</c:v>
                </c:pt>
                <c:pt idx="14">
                  <c:v>9.4092757834796564E-2</c:v>
                </c:pt>
                <c:pt idx="15">
                  <c:v>8.6468009912825314E-2</c:v>
                </c:pt>
                <c:pt idx="16">
                  <c:v>7.8487031891613518E-2</c:v>
                </c:pt>
                <c:pt idx="17">
                  <c:v>7.0124261905997409E-2</c:v>
                </c:pt>
                <c:pt idx="18">
                  <c:v>6.1351632516503232E-2</c:v>
                </c:pt>
                <c:pt idx="19">
                  <c:v>5.2138256001913311E-2</c:v>
                </c:pt>
                <c:pt idx="20">
                  <c:v>4.2450060995758113E-2</c:v>
                </c:pt>
              </c:numCache>
            </c:numRef>
          </c:xVal>
          <c:yVal>
            <c:numRef>
              <c:f>'plot selective diss'!$CY$13:$CY$33</c:f>
              <c:numCache>
                <c:formatCode>0.000</c:formatCode>
                <c:ptCount val="21"/>
                <c:pt idx="0">
                  <c:v>1.1985875827300509E-2</c:v>
                </c:pt>
                <c:pt idx="1">
                  <c:v>1.1807071682469639E-2</c:v>
                </c:pt>
                <c:pt idx="2">
                  <c:v>1.1621972502972486E-2</c:v>
                </c:pt>
                <c:pt idx="3">
                  <c:v>1.1430239894562157E-2</c:v>
                </c:pt>
                <c:pt idx="4">
                  <c:v>1.1231510766284276E-2</c:v>
                </c:pt>
                <c:pt idx="5">
                  <c:v>1.1025395035584947E-2</c:v>
                </c:pt>
                <c:pt idx="6">
                  <c:v>1.0811473072674962E-2</c:v>
                </c:pt>
                <c:pt idx="7">
                  <c:v>1.058929284892015E-2</c:v>
                </c:pt>
                <c:pt idx="8">
                  <c:v>1.0358366748480346E-2</c:v>
                </c:pt>
                <c:pt idx="9">
                  <c:v>1.0118167995870207E-2</c:v>
                </c:pt>
                <c:pt idx="10">
                  <c:v>9.868126644357612E-3</c:v>
                </c:pt>
                <c:pt idx="11">
                  <c:v>9.6076250608979046E-3</c:v>
                </c:pt>
                <c:pt idx="12">
                  <c:v>9.3359928323124633E-3</c:v>
                </c:pt>
                <c:pt idx="13">
                  <c:v>9.0525010042708191E-3</c:v>
                </c:pt>
                <c:pt idx="14">
                  <c:v>8.7563555488455753E-3</c:v>
                </c:pt>
                <c:pt idx="15">
                  <c:v>8.4466899373750563E-3</c:v>
                </c:pt>
                <c:pt idx="16">
                  <c:v>8.1225566723329874E-3</c:v>
                </c:pt>
                <c:pt idx="17">
                  <c:v>7.7829176039093924E-3</c:v>
                </c:pt>
                <c:pt idx="18">
                  <c:v>7.4266328228382809E-3</c:v>
                </c:pt>
                <c:pt idx="19">
                  <c:v>7.0524478791134833E-3</c:v>
                </c:pt>
                <c:pt idx="20">
                  <c:v>6.6589790246243258E-3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6A-604B-8AFE-D17C8510A27A}"/>
            </c:ext>
          </c:extLst>
        </c:ser>
        <c:ser>
          <c:idx val="2"/>
          <c:order val="2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data'!$AE$35:$AE$50</c:f>
              <c:numCache>
                <c:formatCode>0.0000</c:formatCode>
                <c:ptCount val="16"/>
                <c:pt idx="0">
                  <c:v>0.22134560704453871</c:v>
                </c:pt>
                <c:pt idx="1">
                  <c:v>0.17410667715195915</c:v>
                </c:pt>
                <c:pt idx="2">
                  <c:v>0.22761220389600204</c:v>
                </c:pt>
                <c:pt idx="3">
                  <c:v>0.26544330542918243</c:v>
                </c:pt>
                <c:pt idx="4">
                  <c:v>0.25080643163828503</c:v>
                </c:pt>
                <c:pt idx="5">
                  <c:v>0.18779608690194294</c:v>
                </c:pt>
                <c:pt idx="6">
                  <c:v>0.19174954965010058</c:v>
                </c:pt>
                <c:pt idx="7">
                  <c:v>0.37004509314282424</c:v>
                </c:pt>
                <c:pt idx="8">
                  <c:v>0.17466689974309677</c:v>
                </c:pt>
                <c:pt idx="9">
                  <c:v>0.26122905088937881</c:v>
                </c:pt>
                <c:pt idx="10">
                  <c:v>0.18938506673604302</c:v>
                </c:pt>
                <c:pt idx="11">
                  <c:v>0.17697594825662927</c:v>
                </c:pt>
                <c:pt idx="12">
                  <c:v>0.17755303833837985</c:v>
                </c:pt>
                <c:pt idx="13">
                  <c:v>0.3670202948800711</c:v>
                </c:pt>
                <c:pt idx="14">
                  <c:v>0.20098101397164519</c:v>
                </c:pt>
                <c:pt idx="15">
                  <c:v>0.37817795233277623</c:v>
                </c:pt>
              </c:numCache>
            </c:numRef>
          </c:xVal>
          <c:yVal>
            <c:numRef>
              <c:f>'Morgan-Pompa solid data'!$AI$35:$AI$50</c:f>
              <c:numCache>
                <c:formatCode>0.0000</c:formatCode>
                <c:ptCount val="16"/>
                <c:pt idx="0">
                  <c:v>2.332895419287323E-2</c:v>
                </c:pt>
                <c:pt idx="1">
                  <c:v>2.1331308428288096E-2</c:v>
                </c:pt>
                <c:pt idx="2">
                  <c:v>2.4637791731450993E-2</c:v>
                </c:pt>
                <c:pt idx="3">
                  <c:v>2.6434179813870883E-2</c:v>
                </c:pt>
                <c:pt idx="4">
                  <c:v>2.5226428046398519E-2</c:v>
                </c:pt>
                <c:pt idx="5">
                  <c:v>2.2292281472341399E-2</c:v>
                </c:pt>
                <c:pt idx="6">
                  <c:v>2.2565566884436644E-2</c:v>
                </c:pt>
                <c:pt idx="7">
                  <c:v>1.3717596817857265E-2</c:v>
                </c:pt>
                <c:pt idx="8">
                  <c:v>2.0428460359142336E-2</c:v>
                </c:pt>
                <c:pt idx="9">
                  <c:v>2.7180640292702729E-2</c:v>
                </c:pt>
                <c:pt idx="10">
                  <c:v>2.0562858124663005E-2</c:v>
                </c:pt>
                <c:pt idx="11">
                  <c:v>2.0436555647574722E-2</c:v>
                </c:pt>
                <c:pt idx="12">
                  <c:v>2.0569692817917228E-2</c:v>
                </c:pt>
                <c:pt idx="13">
                  <c:v>3.6273359012945185E-2</c:v>
                </c:pt>
                <c:pt idx="14">
                  <c:v>2.1543894604998996E-2</c:v>
                </c:pt>
                <c:pt idx="15">
                  <c:v>1.626213565615869E-2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6A-604B-8AFE-D17C8510A27A}"/>
            </c:ext>
          </c:extLst>
        </c:ser>
        <c:ser>
          <c:idx val="4"/>
          <c:order val="3"/>
          <c:tx>
            <c:v>Basalt control</c:v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20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data'!$AE$42,'Morgan-Pompa solid data'!$AE$50)</c:f>
              <c:numCache>
                <c:formatCode>0.0000</c:formatCode>
                <c:ptCount val="2"/>
                <c:pt idx="0">
                  <c:v>0.37004509314282424</c:v>
                </c:pt>
                <c:pt idx="1">
                  <c:v>0.37817795233277623</c:v>
                </c:pt>
              </c:numCache>
            </c:numRef>
          </c:xVal>
          <c:yVal>
            <c:numRef>
              <c:f>('Morgan-Pompa solid data'!$AI$42,'Morgan-Pompa solid data'!$AI$50)</c:f>
              <c:numCache>
                <c:formatCode>0.0000</c:formatCode>
                <c:ptCount val="2"/>
                <c:pt idx="0">
                  <c:v>1.3717596817857265E-2</c:v>
                </c:pt>
                <c:pt idx="1">
                  <c:v>1.626213565615869E-2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6A-604B-8AFE-D17C8510A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Al/Si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K/Si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Physical mixing &amp;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 only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selective diss'!$U$13:$U$34</c:f>
              <c:numCache>
                <c:formatCode>0.000</c:formatCode>
                <c:ptCount val="22"/>
                <c:pt idx="0">
                  <c:v>0.55738749899999995</c:v>
                </c:pt>
                <c:pt idx="1">
                  <c:v>0.53665929359413911</c:v>
                </c:pt>
                <c:pt idx="2">
                  <c:v>0.51593108818827826</c:v>
                </c:pt>
                <c:pt idx="3">
                  <c:v>0.49520288278241725</c:v>
                </c:pt>
                <c:pt idx="4">
                  <c:v>0.47447467737655641</c:v>
                </c:pt>
                <c:pt idx="5">
                  <c:v>0.45374647197069551</c:v>
                </c:pt>
                <c:pt idx="6">
                  <c:v>0.43301826656483472</c:v>
                </c:pt>
                <c:pt idx="7">
                  <c:v>0.41229006115897376</c:v>
                </c:pt>
                <c:pt idx="8">
                  <c:v>0.39156185575311292</c:v>
                </c:pt>
                <c:pt idx="9">
                  <c:v>0.37083365034725202</c:v>
                </c:pt>
                <c:pt idx="10">
                  <c:v>0.35010544494139112</c:v>
                </c:pt>
                <c:pt idx="11">
                  <c:v>0.32937723953553028</c:v>
                </c:pt>
                <c:pt idx="12">
                  <c:v>0.30864903412966938</c:v>
                </c:pt>
                <c:pt idx="13">
                  <c:v>0.28792082872380842</c:v>
                </c:pt>
                <c:pt idx="14">
                  <c:v>0.26719262331794758</c:v>
                </c:pt>
                <c:pt idx="15">
                  <c:v>0.24646441791208668</c:v>
                </c:pt>
                <c:pt idx="16">
                  <c:v>0.2257362125062258</c:v>
                </c:pt>
                <c:pt idx="17">
                  <c:v>0.20500800710036493</c:v>
                </c:pt>
                <c:pt idx="18">
                  <c:v>0.184279801694504</c:v>
                </c:pt>
                <c:pt idx="19">
                  <c:v>0.16355159628864316</c:v>
                </c:pt>
                <c:pt idx="20">
                  <c:v>0.14282339088278223</c:v>
                </c:pt>
                <c:pt idx="21">
                  <c:v>0.12209518547692136</c:v>
                </c:pt>
              </c:numCache>
            </c:numRef>
          </c:xVal>
          <c:yVal>
            <c:numRef>
              <c:f>'plot selective diss'!$T$13:$T$34</c:f>
              <c:numCache>
                <c:formatCode>0.000</c:formatCode>
                <c:ptCount val="22"/>
                <c:pt idx="0">
                  <c:v>5.9381225410000003</c:v>
                </c:pt>
                <c:pt idx="1">
                  <c:v>5.6958309914285712</c:v>
                </c:pt>
                <c:pt idx="2">
                  <c:v>5.453539441857143</c:v>
                </c:pt>
                <c:pt idx="3">
                  <c:v>5.2112478922857148</c:v>
                </c:pt>
                <c:pt idx="4">
                  <c:v>4.9689563427142858</c:v>
                </c:pt>
                <c:pt idx="5">
                  <c:v>4.7266647931428576</c:v>
                </c:pt>
                <c:pt idx="6">
                  <c:v>4.4843732435714294</c:v>
                </c:pt>
                <c:pt idx="7">
                  <c:v>4.2420816940000012</c:v>
                </c:pt>
                <c:pt idx="8">
                  <c:v>3.9997901444285722</c:v>
                </c:pt>
                <c:pt idx="9">
                  <c:v>3.757498594857144</c:v>
                </c:pt>
                <c:pt idx="10">
                  <c:v>3.5152070452857149</c:v>
                </c:pt>
                <c:pt idx="11">
                  <c:v>3.2729154957142867</c:v>
                </c:pt>
                <c:pt idx="12">
                  <c:v>3.0306239461428586</c:v>
                </c:pt>
                <c:pt idx="13">
                  <c:v>2.7883323965714295</c:v>
                </c:pt>
                <c:pt idx="14">
                  <c:v>2.5460408470000013</c:v>
                </c:pt>
                <c:pt idx="15">
                  <c:v>2.3037492974285727</c:v>
                </c:pt>
                <c:pt idx="16">
                  <c:v>2.0614577478571445</c:v>
                </c:pt>
                <c:pt idx="17">
                  <c:v>1.8191661982857161</c:v>
                </c:pt>
                <c:pt idx="18">
                  <c:v>1.5768746487142871</c:v>
                </c:pt>
                <c:pt idx="19">
                  <c:v>1.3345830991428589</c:v>
                </c:pt>
                <c:pt idx="20">
                  <c:v>1.09229154957143</c:v>
                </c:pt>
                <c:pt idx="21">
                  <c:v>0.85000000000000164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8-FC46-9320-B5A4D83F7BBE}"/>
            </c:ext>
          </c:extLst>
        </c:ser>
        <c:ser>
          <c:idx val="3"/>
          <c:order val="1"/>
          <c:tx>
            <c:v>Congruent weath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diss'!$BV$13:$BV$33</c:f>
              <c:numCache>
                <c:formatCode>0.000</c:formatCode>
                <c:ptCount val="21"/>
                <c:pt idx="0">
                  <c:v>0.33974134223846059</c:v>
                </c:pt>
                <c:pt idx="1">
                  <c:v>0.33416067155226725</c:v>
                </c:pt>
                <c:pt idx="2">
                  <c:v>0.32828628135627436</c:v>
                </c:pt>
                <c:pt idx="3">
                  <c:v>0.3220943565550925</c:v>
                </c:pt>
                <c:pt idx="4">
                  <c:v>0.31555843593162286</c:v>
                </c:pt>
                <c:pt idx="5">
                  <c:v>0.30864903412966926</c:v>
                </c:pt>
                <c:pt idx="6">
                  <c:v>0.30133319692760069</c:v>
                </c:pt>
                <c:pt idx="7">
                  <c:v>0.29357397565267951</c:v>
                </c:pt>
                <c:pt idx="8">
                  <c:v>0.28532980304807576</c:v>
                </c:pt>
                <c:pt idx="9">
                  <c:v>0.27655374833994911</c:v>
                </c:pt>
                <c:pt idx="10">
                  <c:v>0.26719262331794752</c:v>
                </c:pt>
                <c:pt idx="11">
                  <c:v>0.25718590346684217</c:v>
                </c:pt>
                <c:pt idx="12">
                  <c:v>0.24646441791208659</c:v>
                </c:pt>
                <c:pt idx="13">
                  <c:v>0.23494874824216383</c:v>
                </c:pt>
                <c:pt idx="14">
                  <c:v>0.22254725782840093</c:v>
                </c:pt>
                <c:pt idx="15">
                  <c:v>0.20915364818153689</c:v>
                </c:pt>
                <c:pt idx="16">
                  <c:v>0.19464390439743429</c:v>
                </c:pt>
                <c:pt idx="17">
                  <c:v>0.17887244376254008</c:v>
                </c:pt>
                <c:pt idx="18">
                  <c:v>0.16166721397901918</c:v>
                </c:pt>
                <c:pt idx="19">
                  <c:v>0.14282339088278195</c:v>
                </c:pt>
                <c:pt idx="20">
                  <c:v>0.12209518547692116</c:v>
                </c:pt>
              </c:numCache>
            </c:numRef>
          </c:xVal>
          <c:yVal>
            <c:numRef>
              <c:f>'plot selective diss'!$BU$13:$BU$33</c:f>
              <c:numCache>
                <c:formatCode>0.000</c:formatCode>
                <c:ptCount val="21"/>
                <c:pt idx="0">
                  <c:v>3.3940612704999999</c:v>
                </c:pt>
                <c:pt idx="1">
                  <c:v>3.3288289302307685</c:v>
                </c:pt>
                <c:pt idx="2">
                  <c:v>3.2601633088947368</c:v>
                </c:pt>
                <c:pt idx="3">
                  <c:v>3.1877860323513509</c:v>
                </c:pt>
                <c:pt idx="4">
                  <c:v>3.1113877959999998</c:v>
                </c:pt>
                <c:pt idx="5">
                  <c:v>3.0306239461428568</c:v>
                </c:pt>
                <c:pt idx="6">
                  <c:v>2.9451092815882354</c:v>
                </c:pt>
                <c:pt idx="7">
                  <c:v>2.8544119100909091</c:v>
                </c:pt>
                <c:pt idx="8">
                  <c:v>2.7580459528749999</c:v>
                </c:pt>
                <c:pt idx="9">
                  <c:v>2.6554628371290319</c:v>
                </c:pt>
                <c:pt idx="10">
                  <c:v>2.546040847</c:v>
                </c:pt>
                <c:pt idx="11">
                  <c:v>2.4290725127241375</c:v>
                </c:pt>
                <c:pt idx="12">
                  <c:v>2.3037492974285714</c:v>
                </c:pt>
                <c:pt idx="13">
                  <c:v>2.1691428809999995</c:v>
                </c:pt>
                <c:pt idx="14">
                  <c:v>2.0241821248461531</c:v>
                </c:pt>
                <c:pt idx="15">
                  <c:v>1.8676245081999991</c:v>
                </c:pt>
                <c:pt idx="16">
                  <c:v>1.6980204234999992</c:v>
                </c:pt>
                <c:pt idx="17">
                  <c:v>1.5136681575217379</c:v>
                </c:pt>
                <c:pt idx="18">
                  <c:v>1.3125565946363622</c:v>
                </c:pt>
                <c:pt idx="19">
                  <c:v>1.092291549571426</c:v>
                </c:pt>
                <c:pt idx="20">
                  <c:v>0.84999999999999942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8-FC46-9320-B5A4D83F7BBE}"/>
            </c:ext>
          </c:extLst>
        </c:ser>
        <c:ser>
          <c:idx val="5"/>
          <c:order val="2"/>
          <c:tx>
            <c:v>Incongruent weath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'plot selective diss'!$BU$43:$BU$62</c:f>
              <c:numCache>
                <c:formatCode>0.000</c:formatCode>
                <c:ptCount val="20"/>
                <c:pt idx="0">
                  <c:v>6.3478350362119489</c:v>
                </c:pt>
                <c:pt idx="1">
                  <c:v>6.4697081710846209</c:v>
                </c:pt>
                <c:pt idx="2">
                  <c:v>6.5972909256141588</c:v>
                </c:pt>
                <c:pt idx="3">
                  <c:v>6.7309941578337389</c:v>
                </c:pt>
                <c:pt idx="4">
                  <c:v>6.8712691144148765</c:v>
                </c:pt>
                <c:pt idx="5">
                  <c:v>7.0186125186207944</c:v>
                </c:pt>
                <c:pt idx="6">
                  <c:v>7.1735724472843305</c:v>
                </c:pt>
                <c:pt idx="7">
                  <c:v>7.3367551433507465</c:v>
                </c:pt>
                <c:pt idx="8">
                  <c:v>7.5088329424774276</c:v>
                </c:pt>
                <c:pt idx="9">
                  <c:v>7.6905535321914558</c:v>
                </c:pt>
                <c:pt idx="10">
                  <c:v>7.8827508124946863</c:v>
                </c:pt>
                <c:pt idx="11">
                  <c:v>8.0863576906554666</c:v>
                </c:pt>
                <c:pt idx="12">
                  <c:v>8.3024212243539086</c:v>
                </c:pt>
                <c:pt idx="13">
                  <c:v>8.5321206319007832</c:v>
                </c:pt>
                <c:pt idx="14">
                  <c:v>8.7767888234634572</c:v>
                </c:pt>
                <c:pt idx="15">
                  <c:v>9.0379382834325579</c:v>
                </c:pt>
                <c:pt idx="16">
                  <c:v>9.3172923655362982</c:v>
                </c:pt>
                <c:pt idx="17">
                  <c:v>9.6168233690161653</c:v>
                </c:pt>
                <c:pt idx="18">
                  <c:v>9.9387991743060429</c:v>
                </c:pt>
                <c:pt idx="19">
                  <c:v>10.285840770463107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8-FC46-9320-B5A4D83F7BBE}"/>
            </c:ext>
          </c:extLst>
        </c:ser>
        <c:ser>
          <c:idx val="1"/>
          <c:order val="3"/>
          <c:tx>
            <c:v>H9 basalt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diss'!$D$18</c:f>
              <c:numCache>
                <c:formatCode>0.000</c:formatCode>
                <c:ptCount val="1"/>
                <c:pt idx="0">
                  <c:v>0.55738749899999995</c:v>
                </c:pt>
              </c:numCache>
            </c:numRef>
          </c:xVal>
          <c:yVal>
            <c:numRef>
              <c:f>'plot selective diss'!$D$17</c:f>
              <c:numCache>
                <c:formatCode>0.000</c:formatCode>
                <c:ptCount val="1"/>
                <c:pt idx="0">
                  <c:v>5.9381225410000003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A8-FC46-9320-B5A4D83F7BBE}"/>
            </c:ext>
          </c:extLst>
        </c:ser>
        <c:ser>
          <c:idx val="2"/>
          <c:order val="4"/>
          <c:tx>
            <c:v>LFGL P6-A soil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'plot selective diss'!$G$17</c:f>
              <c:numCache>
                <c:formatCode>0.000</c:formatCode>
                <c:ptCount val="1"/>
                <c:pt idx="0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A8-FC46-9320-B5A4D83F7BBE}"/>
            </c:ext>
          </c:extLst>
        </c:ser>
        <c:ser>
          <c:idx val="4"/>
          <c:order val="5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data'!$O$35:$O$50</c:f>
              <c:numCache>
                <c:formatCode>0.000</c:formatCode>
                <c:ptCount val="16"/>
                <c:pt idx="0">
                  <c:v>0.55739447818193211</c:v>
                </c:pt>
                <c:pt idx="1">
                  <c:v>0.59335541225818567</c:v>
                </c:pt>
                <c:pt idx="2">
                  <c:v>0.62931634633443934</c:v>
                </c:pt>
                <c:pt idx="3">
                  <c:v>0.52143354410567833</c:v>
                </c:pt>
                <c:pt idx="4">
                  <c:v>0.59335541225818567</c:v>
                </c:pt>
                <c:pt idx="5">
                  <c:v>0.59335541225818567</c:v>
                </c:pt>
                <c:pt idx="6">
                  <c:v>0.61732936830902141</c:v>
                </c:pt>
                <c:pt idx="7">
                  <c:v>1.006906154135103</c:v>
                </c:pt>
                <c:pt idx="8">
                  <c:v>0.5633879671946409</c:v>
                </c:pt>
                <c:pt idx="9">
                  <c:v>0.50345307706755149</c:v>
                </c:pt>
                <c:pt idx="10">
                  <c:v>0.54540750015651418</c:v>
                </c:pt>
                <c:pt idx="11">
                  <c:v>0.54540750015651418</c:v>
                </c:pt>
                <c:pt idx="12">
                  <c:v>0.59934890127089469</c:v>
                </c:pt>
                <c:pt idx="13">
                  <c:v>0.65329030238527519</c:v>
                </c:pt>
                <c:pt idx="14">
                  <c:v>0.58136843423276774</c:v>
                </c:pt>
                <c:pt idx="15">
                  <c:v>0.88703637388092405</c:v>
                </c:pt>
              </c:numCache>
            </c:numRef>
          </c:xVal>
          <c:yVal>
            <c:numRef>
              <c:f>'Morgan-Pompa solid data'!$G$35:$G$50</c:f>
              <c:numCache>
                <c:formatCode>0.000</c:formatCode>
                <c:ptCount val="16"/>
                <c:pt idx="0">
                  <c:v>4.7771121005466943</c:v>
                </c:pt>
                <c:pt idx="1">
                  <c:v>4.5812714873471228</c:v>
                </c:pt>
                <c:pt idx="2">
                  <c:v>5.0918559431888628</c:v>
                </c:pt>
                <c:pt idx="3">
                  <c:v>5.0079242518176175</c:v>
                </c:pt>
                <c:pt idx="4">
                  <c:v>4.8050893310037761</c:v>
                </c:pt>
                <c:pt idx="5">
                  <c:v>4.6791917939469085</c:v>
                </c:pt>
                <c:pt idx="6">
                  <c:v>4.9169982528321023</c:v>
                </c:pt>
                <c:pt idx="7">
                  <c:v>8.4631122132672036</c:v>
                </c:pt>
                <c:pt idx="8">
                  <c:v>4.6162430254184743</c:v>
                </c:pt>
                <c:pt idx="9">
                  <c:v>4.8960153299892912</c:v>
                </c:pt>
                <c:pt idx="10">
                  <c:v>4.4973397959758774</c:v>
                </c:pt>
                <c:pt idx="11">
                  <c:v>4.483351180747337</c:v>
                </c:pt>
                <c:pt idx="12">
                  <c:v>4.7141633320182601</c:v>
                </c:pt>
                <c:pt idx="13">
                  <c:v>5.945161472129854</c:v>
                </c:pt>
                <c:pt idx="14">
                  <c:v>4.6442202558755561</c:v>
                </c:pt>
                <c:pt idx="15">
                  <c:v>7.6937383756974578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A8-FC46-9320-B5A4D83F7BBE}"/>
            </c:ext>
          </c:extLst>
        </c:ser>
        <c:ser>
          <c:idx val="6"/>
          <c:order val="6"/>
          <c:tx>
            <c:v>Ave EXPT</c:v>
          </c:tx>
          <c:spPr>
            <a:ln w="25400" cap="flat" cmpd="dbl" algn="ctr">
              <a:noFill/>
              <a:round/>
            </a:ln>
            <a:effectLst/>
          </c:spPr>
          <c:marker>
            <c:symbol val="plus"/>
            <c:size val="40"/>
            <c:spPr>
              <a:noFill/>
              <a:ln w="63500" cap="flat" cmpd="dbl" algn="ctr">
                <a:solidFill>
                  <a:schemeClr val="accent1">
                    <a:lumMod val="60000"/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'plot selective diss'!$D$39</c:f>
              <c:numCache>
                <c:formatCode>0.000</c:formatCode>
                <c:ptCount val="1"/>
                <c:pt idx="0">
                  <c:v>0.5783716897264134</c:v>
                </c:pt>
              </c:numCache>
            </c:numRef>
          </c:xVal>
          <c:yVal>
            <c:numRef>
              <c:f>'plot selective diss'!$D$38</c:f>
              <c:numCache>
                <c:formatCode>0.000</c:formatCode>
                <c:ptCount val="1"/>
                <c:pt idx="0">
                  <c:v>4.8325669680598375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A8-FC46-9320-B5A4D83F7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Physical mixing &amp;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 only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selective diss'!$U$13:$U$34</c:f>
              <c:numCache>
                <c:formatCode>0.000</c:formatCode>
                <c:ptCount val="22"/>
                <c:pt idx="0">
                  <c:v>0.55738749899999995</c:v>
                </c:pt>
                <c:pt idx="1">
                  <c:v>0.53665929359413911</c:v>
                </c:pt>
                <c:pt idx="2">
                  <c:v>0.51593108818827826</c:v>
                </c:pt>
                <c:pt idx="3">
                  <c:v>0.49520288278241725</c:v>
                </c:pt>
                <c:pt idx="4">
                  <c:v>0.47447467737655641</c:v>
                </c:pt>
                <c:pt idx="5">
                  <c:v>0.45374647197069551</c:v>
                </c:pt>
                <c:pt idx="6">
                  <c:v>0.43301826656483472</c:v>
                </c:pt>
                <c:pt idx="7">
                  <c:v>0.41229006115897376</c:v>
                </c:pt>
                <c:pt idx="8">
                  <c:v>0.39156185575311292</c:v>
                </c:pt>
                <c:pt idx="9">
                  <c:v>0.37083365034725202</c:v>
                </c:pt>
                <c:pt idx="10">
                  <c:v>0.35010544494139112</c:v>
                </c:pt>
                <c:pt idx="11">
                  <c:v>0.32937723953553028</c:v>
                </c:pt>
                <c:pt idx="12">
                  <c:v>0.30864903412966938</c:v>
                </c:pt>
                <c:pt idx="13">
                  <c:v>0.28792082872380842</c:v>
                </c:pt>
                <c:pt idx="14">
                  <c:v>0.26719262331794758</c:v>
                </c:pt>
                <c:pt idx="15">
                  <c:v>0.24646441791208668</c:v>
                </c:pt>
                <c:pt idx="16">
                  <c:v>0.2257362125062258</c:v>
                </c:pt>
                <c:pt idx="17">
                  <c:v>0.20500800710036493</c:v>
                </c:pt>
                <c:pt idx="18">
                  <c:v>0.184279801694504</c:v>
                </c:pt>
                <c:pt idx="19">
                  <c:v>0.16355159628864316</c:v>
                </c:pt>
                <c:pt idx="20">
                  <c:v>0.14282339088278223</c:v>
                </c:pt>
                <c:pt idx="21">
                  <c:v>0.12209518547692136</c:v>
                </c:pt>
              </c:numCache>
            </c:numRef>
          </c:xVal>
          <c:yVal>
            <c:numRef>
              <c:f>'plot selective diss'!$S$13:$S$34</c:f>
              <c:numCache>
                <c:formatCode>0.000</c:formatCode>
                <c:ptCount val="22"/>
                <c:pt idx="0">
                  <c:v>8.6798077679999999</c:v>
                </c:pt>
                <c:pt idx="1">
                  <c:v>8.3460073980952405</c:v>
                </c:pt>
                <c:pt idx="2">
                  <c:v>8.0122070281904758</c:v>
                </c:pt>
                <c:pt idx="3">
                  <c:v>7.6784066582857147</c:v>
                </c:pt>
                <c:pt idx="4">
                  <c:v>7.3446062883809535</c:v>
                </c:pt>
                <c:pt idx="5">
                  <c:v>7.0108059184761915</c:v>
                </c:pt>
                <c:pt idx="6">
                  <c:v>6.6770055485714295</c:v>
                </c:pt>
                <c:pt idx="7">
                  <c:v>6.3432051786666683</c:v>
                </c:pt>
                <c:pt idx="8">
                  <c:v>6.0094048087619063</c:v>
                </c:pt>
                <c:pt idx="9">
                  <c:v>5.6756044388571443</c:v>
                </c:pt>
                <c:pt idx="10">
                  <c:v>5.3418040689523831</c:v>
                </c:pt>
                <c:pt idx="11">
                  <c:v>5.0080036990476211</c:v>
                </c:pt>
                <c:pt idx="12">
                  <c:v>4.6742033291428591</c:v>
                </c:pt>
                <c:pt idx="13">
                  <c:v>4.340402959238097</c:v>
                </c:pt>
                <c:pt idx="14">
                  <c:v>4.006602589333335</c:v>
                </c:pt>
                <c:pt idx="15">
                  <c:v>3.6728022194285734</c:v>
                </c:pt>
                <c:pt idx="16">
                  <c:v>3.3390018495238114</c:v>
                </c:pt>
                <c:pt idx="17">
                  <c:v>3.0052014796190498</c:v>
                </c:pt>
                <c:pt idx="18">
                  <c:v>2.6714011097142878</c:v>
                </c:pt>
                <c:pt idx="19">
                  <c:v>2.3376007398095262</c:v>
                </c:pt>
                <c:pt idx="20">
                  <c:v>2.0038003699047637</c:v>
                </c:pt>
                <c:pt idx="21">
                  <c:v>1.6700000000000021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7-3448-82FF-D434BDAB7796}"/>
            </c:ext>
          </c:extLst>
        </c:ser>
        <c:ser>
          <c:idx val="3"/>
          <c:order val="1"/>
          <c:tx>
            <c:v>Congruent weath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diss'!$BV$13:$BV$33</c:f>
              <c:numCache>
                <c:formatCode>0.000</c:formatCode>
                <c:ptCount val="21"/>
                <c:pt idx="0">
                  <c:v>0.33974134223846059</c:v>
                </c:pt>
                <c:pt idx="1">
                  <c:v>0.33416067155226725</c:v>
                </c:pt>
                <c:pt idx="2">
                  <c:v>0.32828628135627436</c:v>
                </c:pt>
                <c:pt idx="3">
                  <c:v>0.3220943565550925</c:v>
                </c:pt>
                <c:pt idx="4">
                  <c:v>0.31555843593162286</c:v>
                </c:pt>
                <c:pt idx="5">
                  <c:v>0.30864903412966926</c:v>
                </c:pt>
                <c:pt idx="6">
                  <c:v>0.30133319692760069</c:v>
                </c:pt>
                <c:pt idx="7">
                  <c:v>0.29357397565267951</c:v>
                </c:pt>
                <c:pt idx="8">
                  <c:v>0.28532980304807576</c:v>
                </c:pt>
                <c:pt idx="9">
                  <c:v>0.27655374833994911</c:v>
                </c:pt>
                <c:pt idx="10">
                  <c:v>0.26719262331794752</c:v>
                </c:pt>
                <c:pt idx="11">
                  <c:v>0.25718590346684217</c:v>
                </c:pt>
                <c:pt idx="12">
                  <c:v>0.24646441791208659</c:v>
                </c:pt>
                <c:pt idx="13">
                  <c:v>0.23494874824216383</c:v>
                </c:pt>
                <c:pt idx="14">
                  <c:v>0.22254725782840093</c:v>
                </c:pt>
                <c:pt idx="15">
                  <c:v>0.20915364818153689</c:v>
                </c:pt>
                <c:pt idx="16">
                  <c:v>0.19464390439743429</c:v>
                </c:pt>
                <c:pt idx="17">
                  <c:v>0.17887244376254008</c:v>
                </c:pt>
                <c:pt idx="18">
                  <c:v>0.16166721397901918</c:v>
                </c:pt>
                <c:pt idx="19">
                  <c:v>0.14282339088278195</c:v>
                </c:pt>
                <c:pt idx="20">
                  <c:v>0.12209518547692116</c:v>
                </c:pt>
              </c:numCache>
            </c:numRef>
          </c:xVal>
          <c:yVal>
            <c:numRef>
              <c:f>'plot selective diss'!$BT$13:$BT$33</c:f>
              <c:numCache>
                <c:formatCode>0.000</c:formatCode>
                <c:ptCount val="21"/>
                <c:pt idx="0">
                  <c:v>5.1749038839999999</c:v>
                </c:pt>
                <c:pt idx="1">
                  <c:v>5.0850345536410257</c:v>
                </c:pt>
                <c:pt idx="2">
                  <c:v>4.9904352585263148</c:v>
                </c:pt>
                <c:pt idx="3">
                  <c:v>4.8907224879999998</c:v>
                </c:pt>
                <c:pt idx="4">
                  <c:v>4.7854701191111104</c:v>
                </c:pt>
                <c:pt idx="5">
                  <c:v>4.6742033291428564</c:v>
                </c:pt>
                <c:pt idx="6">
                  <c:v>4.5563914338823528</c:v>
                </c:pt>
                <c:pt idx="7">
                  <c:v>4.4314394237575767</c:v>
                </c:pt>
                <c:pt idx="8">
                  <c:v>4.2986779129999997</c:v>
                </c:pt>
                <c:pt idx="9">
                  <c:v>4.1573511434838704</c:v>
                </c:pt>
                <c:pt idx="10">
                  <c:v>4.0066025893333332</c:v>
                </c:pt>
                <c:pt idx="11">
                  <c:v>3.8454575831724132</c:v>
                </c:pt>
                <c:pt idx="12">
                  <c:v>3.6728022194285717</c:v>
                </c:pt>
                <c:pt idx="13">
                  <c:v>3.4873575694814809</c:v>
                </c:pt>
                <c:pt idx="14">
                  <c:v>3.2876479464615382</c:v>
                </c:pt>
                <c:pt idx="15">
                  <c:v>3.0719615535999991</c:v>
                </c:pt>
                <c:pt idx="16">
                  <c:v>2.8383012946666657</c:v>
                </c:pt>
                <c:pt idx="17">
                  <c:v>2.5843227523478243</c:v>
                </c:pt>
                <c:pt idx="18">
                  <c:v>2.307255251636362</c:v>
                </c:pt>
                <c:pt idx="19">
                  <c:v>2.0038003699047606</c:v>
                </c:pt>
                <c:pt idx="20">
                  <c:v>1.6699999999999993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87-3448-82FF-D434BDAB7796}"/>
            </c:ext>
          </c:extLst>
        </c:ser>
        <c:ser>
          <c:idx val="5"/>
          <c:order val="2"/>
          <c:tx>
            <c:v>Incongruent weath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'plot selective diss'!$BT$43:$BT$62</c:f>
              <c:numCache>
                <c:formatCode>0.000</c:formatCode>
                <c:ptCount val="20"/>
                <c:pt idx="0">
                  <c:v>8.4206821118315762</c:v>
                </c:pt>
                <c:pt idx="1">
                  <c:v>8.368447981598786</c:v>
                </c:pt>
                <c:pt idx="2">
                  <c:v>8.3137667409585383</c:v>
                </c:pt>
                <c:pt idx="3">
                  <c:v>8.2564622985020542</c:v>
                </c:pt>
                <c:pt idx="4">
                  <c:v>8.1963412524806056</c:v>
                </c:pt>
                <c:pt idx="5">
                  <c:v>8.1331907101377414</c:v>
                </c:pt>
                <c:pt idx="6">
                  <c:v>8.0667757688700732</c:v>
                </c:pt>
                <c:pt idx="7">
                  <c:v>7.9968365964103167</c:v>
                </c:pt>
                <c:pt idx="8">
                  <c:v>7.9230850335318754</c:v>
                </c:pt>
                <c:pt idx="9">
                  <c:v>7.8452006256267319</c:v>
                </c:pt>
                <c:pt idx="10">
                  <c:v>7.7628259679120877</c:v>
                </c:pt>
                <c:pt idx="11">
                  <c:v>7.6755612216556388</c:v>
                </c:pt>
                <c:pt idx="12">
                  <c:v>7.5829576239099001</c:v>
                </c:pt>
                <c:pt idx="13">
                  <c:v>7.4845097684351591</c:v>
                </c:pt>
                <c:pt idx="14">
                  <c:v>7.3796463775388981</c:v>
                </c:pt>
                <c:pt idx="15">
                  <c:v>7.2677192090410996</c:v>
                </c:pt>
                <c:pt idx="16">
                  <c:v>7.1479896433668175</c:v>
                </c:pt>
                <c:pt idx="17">
                  <c:v>7.0196123643145372</c:v>
                </c:pt>
                <c:pt idx="18">
                  <c:v>6.881615371270172</c:v>
                </c:pt>
                <c:pt idx="19">
                  <c:v>6.7328753232784475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87-3448-82FF-D434BDAB7796}"/>
            </c:ext>
          </c:extLst>
        </c:ser>
        <c:ser>
          <c:idx val="1"/>
          <c:order val="3"/>
          <c:tx>
            <c:v>H9 basalt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diss'!$D$18</c:f>
              <c:numCache>
                <c:formatCode>0.000</c:formatCode>
                <c:ptCount val="1"/>
                <c:pt idx="0">
                  <c:v>0.55738749899999995</c:v>
                </c:pt>
              </c:numCache>
            </c:numRef>
          </c:xVal>
          <c:yVal>
            <c:numRef>
              <c:f>'plot selective diss'!$D$16</c:f>
              <c:numCache>
                <c:formatCode>0.000</c:formatCode>
                <c:ptCount val="1"/>
                <c:pt idx="0">
                  <c:v>8.6798077679999999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87-3448-82FF-D434BDAB7796}"/>
            </c:ext>
          </c:extLst>
        </c:ser>
        <c:ser>
          <c:idx val="2"/>
          <c:order val="4"/>
          <c:tx>
            <c:v>LFGL P6-A soil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'plot selective diss'!$G$16</c:f>
              <c:numCache>
                <c:formatCode>0.000</c:formatCode>
                <c:ptCount val="1"/>
                <c:pt idx="0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87-3448-82FF-D434BDAB7796}"/>
            </c:ext>
          </c:extLst>
        </c:ser>
        <c:ser>
          <c:idx val="4"/>
          <c:order val="5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data'!$O$35:$O$50</c:f>
              <c:numCache>
                <c:formatCode>0.000</c:formatCode>
                <c:ptCount val="16"/>
                <c:pt idx="0">
                  <c:v>0.55739447818193211</c:v>
                </c:pt>
                <c:pt idx="1">
                  <c:v>0.59335541225818567</c:v>
                </c:pt>
                <c:pt idx="2">
                  <c:v>0.62931634633443934</c:v>
                </c:pt>
                <c:pt idx="3">
                  <c:v>0.52143354410567833</c:v>
                </c:pt>
                <c:pt idx="4">
                  <c:v>0.59335541225818567</c:v>
                </c:pt>
                <c:pt idx="5">
                  <c:v>0.59335541225818567</c:v>
                </c:pt>
                <c:pt idx="6">
                  <c:v>0.61732936830902141</c:v>
                </c:pt>
                <c:pt idx="7">
                  <c:v>1.006906154135103</c:v>
                </c:pt>
                <c:pt idx="8">
                  <c:v>0.5633879671946409</c:v>
                </c:pt>
                <c:pt idx="9">
                  <c:v>0.50345307706755149</c:v>
                </c:pt>
                <c:pt idx="10">
                  <c:v>0.54540750015651418</c:v>
                </c:pt>
                <c:pt idx="11">
                  <c:v>0.54540750015651418</c:v>
                </c:pt>
                <c:pt idx="12">
                  <c:v>0.59934890127089469</c:v>
                </c:pt>
                <c:pt idx="13">
                  <c:v>0.65329030238527519</c:v>
                </c:pt>
                <c:pt idx="14">
                  <c:v>0.58136843423276774</c:v>
                </c:pt>
                <c:pt idx="15">
                  <c:v>0.88703637388092405</c:v>
                </c:pt>
              </c:numCache>
            </c:numRef>
          </c:xVal>
          <c:yVal>
            <c:numRef>
              <c:f>'Morgan-Pompa solid data'!$D$35:$D$50</c:f>
              <c:numCache>
                <c:formatCode>0.000</c:formatCode>
                <c:ptCount val="16"/>
                <c:pt idx="0">
                  <c:v>6.0335775443551949</c:v>
                </c:pt>
                <c:pt idx="1">
                  <c:v>4.8162768117221288</c:v>
                </c:pt>
                <c:pt idx="2">
                  <c:v>6.2452820195957282</c:v>
                </c:pt>
                <c:pt idx="3">
                  <c:v>6.6157648512666603</c:v>
                </c:pt>
                <c:pt idx="4">
                  <c:v>5.9806514255450614</c:v>
                </c:pt>
                <c:pt idx="5">
                  <c:v>4.8744955424132765</c:v>
                </c:pt>
                <c:pt idx="6">
                  <c:v>4.9168364374613827</c:v>
                </c:pt>
                <c:pt idx="7">
                  <c:v>7.7272133462794601</c:v>
                </c:pt>
                <c:pt idx="8">
                  <c:v>4.8003989760790891</c:v>
                </c:pt>
                <c:pt idx="9">
                  <c:v>6.8274693265071935</c:v>
                </c:pt>
                <c:pt idx="10">
                  <c:v>5.170881807750022</c:v>
                </c:pt>
                <c:pt idx="11">
                  <c:v>4.9115438255803685</c:v>
                </c:pt>
                <c:pt idx="12">
                  <c:v>4.8956659899373287</c:v>
                </c:pt>
                <c:pt idx="13">
                  <c:v>8.5211051284314596</c:v>
                </c:pt>
                <c:pt idx="14">
                  <c:v>5.4513902374437286</c:v>
                </c:pt>
                <c:pt idx="15">
                  <c:v>7.7272133462794601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87-3448-82FF-D434BDAB7796}"/>
            </c:ext>
          </c:extLst>
        </c:ser>
        <c:ser>
          <c:idx val="6"/>
          <c:order val="6"/>
          <c:tx>
            <c:v>Ave EXPT</c:v>
          </c:tx>
          <c:spPr>
            <a:ln w="25400" cap="flat" cmpd="dbl" algn="ctr">
              <a:noFill/>
              <a:round/>
            </a:ln>
            <a:effectLst/>
          </c:spPr>
          <c:marker>
            <c:symbol val="plus"/>
            <c:size val="40"/>
            <c:spPr>
              <a:noFill/>
              <a:ln w="63500" cap="flat" cmpd="dbl" algn="ctr">
                <a:solidFill>
                  <a:schemeClr val="accent1">
                    <a:lumMod val="60000"/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'plot selective diss'!$D$39</c:f>
              <c:numCache>
                <c:formatCode>0.000</c:formatCode>
                <c:ptCount val="1"/>
                <c:pt idx="0">
                  <c:v>0.5783716897264134</c:v>
                </c:pt>
              </c:numCache>
            </c:numRef>
          </c:xVal>
          <c:yVal>
            <c:numRef>
              <c:f>'plot selective diss'!$D$37</c:f>
              <c:numCache>
                <c:formatCode>0.000</c:formatCode>
                <c:ptCount val="1"/>
                <c:pt idx="0">
                  <c:v>5.7186671374349016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87-3448-82FF-D434BDAB7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Al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Physical mixing &amp;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 only</c:v>
          </c:tx>
          <c:spPr>
            <a:ln w="25400" cap="flat" cmpd="dbl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'plot selective diss'!$U$13:$U$34</c:f>
              <c:numCache>
                <c:formatCode>0.000</c:formatCode>
                <c:ptCount val="22"/>
                <c:pt idx="0">
                  <c:v>0.55738749899999995</c:v>
                </c:pt>
                <c:pt idx="1">
                  <c:v>0.53665929359413911</c:v>
                </c:pt>
                <c:pt idx="2">
                  <c:v>0.51593108818827826</c:v>
                </c:pt>
                <c:pt idx="3">
                  <c:v>0.49520288278241725</c:v>
                </c:pt>
                <c:pt idx="4">
                  <c:v>0.47447467737655641</c:v>
                </c:pt>
                <c:pt idx="5">
                  <c:v>0.45374647197069551</c:v>
                </c:pt>
                <c:pt idx="6">
                  <c:v>0.43301826656483472</c:v>
                </c:pt>
                <c:pt idx="7">
                  <c:v>0.41229006115897376</c:v>
                </c:pt>
                <c:pt idx="8">
                  <c:v>0.39156185575311292</c:v>
                </c:pt>
                <c:pt idx="9">
                  <c:v>0.37083365034725202</c:v>
                </c:pt>
                <c:pt idx="10">
                  <c:v>0.35010544494139112</c:v>
                </c:pt>
                <c:pt idx="11">
                  <c:v>0.32937723953553028</c:v>
                </c:pt>
                <c:pt idx="12">
                  <c:v>0.30864903412966938</c:v>
                </c:pt>
                <c:pt idx="13">
                  <c:v>0.28792082872380842</c:v>
                </c:pt>
                <c:pt idx="14">
                  <c:v>0.26719262331794758</c:v>
                </c:pt>
                <c:pt idx="15">
                  <c:v>0.24646441791208668</c:v>
                </c:pt>
                <c:pt idx="16">
                  <c:v>0.2257362125062258</c:v>
                </c:pt>
                <c:pt idx="17">
                  <c:v>0.20500800710036493</c:v>
                </c:pt>
                <c:pt idx="18">
                  <c:v>0.184279801694504</c:v>
                </c:pt>
                <c:pt idx="19">
                  <c:v>0.16355159628864316</c:v>
                </c:pt>
                <c:pt idx="20">
                  <c:v>0.14282339088278223</c:v>
                </c:pt>
                <c:pt idx="21">
                  <c:v>0.12209518547692136</c:v>
                </c:pt>
              </c:numCache>
            </c:numRef>
          </c:xVal>
          <c:yVal>
            <c:numRef>
              <c:f>'plot selective diss'!$R$13:$R$34</c:f>
              <c:numCache>
                <c:formatCode>0.000</c:formatCode>
                <c:ptCount val="22"/>
                <c:pt idx="0">
                  <c:v>21.10389953</c:v>
                </c:pt>
                <c:pt idx="1">
                  <c:v>22.048951933333331</c:v>
                </c:pt>
                <c:pt idx="2">
                  <c:v>22.994004336666666</c:v>
                </c:pt>
                <c:pt idx="3">
                  <c:v>23.939056739999998</c:v>
                </c:pt>
                <c:pt idx="4">
                  <c:v>24.884109143333333</c:v>
                </c:pt>
                <c:pt idx="5">
                  <c:v>25.829161546666668</c:v>
                </c:pt>
                <c:pt idx="6">
                  <c:v>26.774213949999996</c:v>
                </c:pt>
                <c:pt idx="7">
                  <c:v>27.719266353333332</c:v>
                </c:pt>
                <c:pt idx="8">
                  <c:v>28.664318756666663</c:v>
                </c:pt>
                <c:pt idx="9">
                  <c:v>29.609371159999998</c:v>
                </c:pt>
                <c:pt idx="10">
                  <c:v>30.554423563333334</c:v>
                </c:pt>
                <c:pt idx="11">
                  <c:v>31.499475966666669</c:v>
                </c:pt>
                <c:pt idx="12">
                  <c:v>32.44452837</c:v>
                </c:pt>
                <c:pt idx="13">
                  <c:v>33.389580773333336</c:v>
                </c:pt>
                <c:pt idx="14">
                  <c:v>34.334633176666664</c:v>
                </c:pt>
                <c:pt idx="15">
                  <c:v>35.279685579999999</c:v>
                </c:pt>
                <c:pt idx="16">
                  <c:v>36.224737983333327</c:v>
                </c:pt>
                <c:pt idx="17">
                  <c:v>37.169790386666662</c:v>
                </c:pt>
                <c:pt idx="18">
                  <c:v>38.114842789999997</c:v>
                </c:pt>
                <c:pt idx="19">
                  <c:v>39.059895193333325</c:v>
                </c:pt>
                <c:pt idx="20">
                  <c:v>40.004947596666661</c:v>
                </c:pt>
                <c:pt idx="21">
                  <c:v>40.949999999999996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33-0D48-BDD2-FB6F5F5C30D6}"/>
            </c:ext>
          </c:extLst>
        </c:ser>
        <c:ser>
          <c:idx val="3"/>
          <c:order val="1"/>
          <c:tx>
            <c:v>Congruent weath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diss'!$BV$13:$BV$33</c:f>
              <c:numCache>
                <c:formatCode>0.000</c:formatCode>
                <c:ptCount val="21"/>
                <c:pt idx="0">
                  <c:v>0.33974134223846059</c:v>
                </c:pt>
                <c:pt idx="1">
                  <c:v>0.33416067155226725</c:v>
                </c:pt>
                <c:pt idx="2">
                  <c:v>0.32828628135627436</c:v>
                </c:pt>
                <c:pt idx="3">
                  <c:v>0.3220943565550925</c:v>
                </c:pt>
                <c:pt idx="4">
                  <c:v>0.31555843593162286</c:v>
                </c:pt>
                <c:pt idx="5">
                  <c:v>0.30864903412966926</c:v>
                </c:pt>
                <c:pt idx="6">
                  <c:v>0.30133319692760069</c:v>
                </c:pt>
                <c:pt idx="7">
                  <c:v>0.29357397565267951</c:v>
                </c:pt>
                <c:pt idx="8">
                  <c:v>0.28532980304807576</c:v>
                </c:pt>
                <c:pt idx="9">
                  <c:v>0.27655374833994911</c:v>
                </c:pt>
                <c:pt idx="10">
                  <c:v>0.26719262331794752</c:v>
                </c:pt>
                <c:pt idx="11">
                  <c:v>0.25718590346684217</c:v>
                </c:pt>
                <c:pt idx="12">
                  <c:v>0.24646441791208659</c:v>
                </c:pt>
                <c:pt idx="13">
                  <c:v>0.23494874824216383</c:v>
                </c:pt>
                <c:pt idx="14">
                  <c:v>0.22254725782840093</c:v>
                </c:pt>
                <c:pt idx="15">
                  <c:v>0.20915364818153689</c:v>
                </c:pt>
                <c:pt idx="16">
                  <c:v>0.19464390439743429</c:v>
                </c:pt>
                <c:pt idx="17">
                  <c:v>0.17887244376254008</c:v>
                </c:pt>
                <c:pt idx="18">
                  <c:v>0.16166721397901918</c:v>
                </c:pt>
                <c:pt idx="19">
                  <c:v>0.14282339088278195</c:v>
                </c:pt>
                <c:pt idx="20">
                  <c:v>0.12209518547692116</c:v>
                </c:pt>
              </c:numCache>
            </c:numRef>
          </c:xVal>
          <c:yVal>
            <c:numRef>
              <c:f>'plot selective diss'!$BS$13:$BS$33</c:f>
              <c:numCache>
                <c:formatCode>0.000</c:formatCode>
                <c:ptCount val="21"/>
                <c:pt idx="0">
                  <c:v>31.026949765000001</c:v>
                </c:pt>
                <c:pt idx="1">
                  <c:v>31.281386950512825</c:v>
                </c:pt>
                <c:pt idx="2">
                  <c:v>31.549215566842104</c:v>
                </c:pt>
                <c:pt idx="3">
                  <c:v>31.831521405675677</c:v>
                </c:pt>
                <c:pt idx="4">
                  <c:v>32.129510902222222</c:v>
                </c:pt>
                <c:pt idx="5">
                  <c:v>32.44452837</c:v>
                </c:pt>
                <c:pt idx="6">
                  <c:v>32.77807627705883</c:v>
                </c:pt>
                <c:pt idx="7">
                  <c:v>33.131839208787881</c:v>
                </c:pt>
                <c:pt idx="8">
                  <c:v>33.507712323749999</c:v>
                </c:pt>
                <c:pt idx="9">
                  <c:v>33.907835317096783</c:v>
                </c:pt>
                <c:pt idx="10">
                  <c:v>34.334633176666671</c:v>
                </c:pt>
                <c:pt idx="11">
                  <c:v>34.790865371379311</c:v>
                </c:pt>
                <c:pt idx="12">
                  <c:v>35.279685579999999</c:v>
                </c:pt>
                <c:pt idx="13">
                  <c:v>35.80471469296296</c:v>
                </c:pt>
                <c:pt idx="14">
                  <c:v>36.370130660769235</c:v>
                </c:pt>
                <c:pt idx="15">
                  <c:v>36.980779906000002</c:v>
                </c:pt>
                <c:pt idx="16">
                  <c:v>37.642316588333344</c:v>
                </c:pt>
                <c:pt idx="17">
                  <c:v>38.361378199565216</c:v>
                </c:pt>
                <c:pt idx="18">
                  <c:v>39.145809048181832</c:v>
                </c:pt>
                <c:pt idx="19">
                  <c:v>40.004947596666668</c:v>
                </c:pt>
                <c:pt idx="20">
                  <c:v>40.949999999999996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33-0D48-BDD2-FB6F5F5C30D6}"/>
            </c:ext>
          </c:extLst>
        </c:ser>
        <c:ser>
          <c:idx val="5"/>
          <c:order val="2"/>
          <c:tx>
            <c:v>Incongruent weath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'plot selective diss'!$BS$43:$BS$62</c:f>
              <c:numCache>
                <c:formatCode>0.000</c:formatCode>
                <c:ptCount val="20"/>
                <c:pt idx="0">
                  <c:v>22.318724097259555</c:v>
                </c:pt>
                <c:pt idx="1">
                  <c:v>22.263529141613606</c:v>
                </c:pt>
                <c:pt idx="2">
                  <c:v>22.205748364210915</c:v>
                </c:pt>
                <c:pt idx="3">
                  <c:v>22.145195692124577</c:v>
                </c:pt>
                <c:pt idx="4">
                  <c:v>22.081666760873063</c:v>
                </c:pt>
                <c:pt idx="5">
                  <c:v>22.014936610144069</c:v>
                </c:pt>
                <c:pt idx="6">
                  <c:v>21.94475702217812</c:v>
                </c:pt>
                <c:pt idx="7">
                  <c:v>21.870853436445451</c:v>
                </c:pt>
                <c:pt idx="8">
                  <c:v>21.792921359779236</c:v>
                </c:pt>
                <c:pt idx="9">
                  <c:v>21.710622173008503</c:v>
                </c:pt>
                <c:pt idx="10">
                  <c:v>21.623578212313706</c:v>
                </c:pt>
                <c:pt idx="11">
                  <c:v>21.531366974611206</c:v>
                </c:pt>
                <c:pt idx="12">
                  <c:v>21.433514259395082</c:v>
                </c:pt>
                <c:pt idx="13">
                  <c:v>21.329486012114035</c:v>
                </c:pt>
                <c:pt idx="14">
                  <c:v>21.218678572924222</c:v>
                </c:pt>
                <c:pt idx="15">
                  <c:v>21.100406954859945</c:v>
                </c:pt>
                <c:pt idx="16">
                  <c:v>20.973890670632592</c:v>
                </c:pt>
                <c:pt idx="17">
                  <c:v>20.838236488364046</c:v>
                </c:pt>
                <c:pt idx="18">
                  <c:v>20.692417310818399</c:v>
                </c:pt>
                <c:pt idx="19">
                  <c:v>20.53524612188329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33-0D48-BDD2-FB6F5F5C30D6}"/>
            </c:ext>
          </c:extLst>
        </c:ser>
        <c:ser>
          <c:idx val="1"/>
          <c:order val="3"/>
          <c:tx>
            <c:v>H9 basalt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diss'!$D$18</c:f>
              <c:numCache>
                <c:formatCode>0.000</c:formatCode>
                <c:ptCount val="1"/>
                <c:pt idx="0">
                  <c:v>0.55738749899999995</c:v>
                </c:pt>
              </c:numCache>
            </c:numRef>
          </c:xVal>
          <c:yVal>
            <c:numRef>
              <c:f>'plot selective diss'!$D$15</c:f>
              <c:numCache>
                <c:formatCode>0.000</c:formatCode>
                <c:ptCount val="1"/>
                <c:pt idx="0">
                  <c:v>21.10389953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33-0D48-BDD2-FB6F5F5C30D6}"/>
            </c:ext>
          </c:extLst>
        </c:ser>
        <c:ser>
          <c:idx val="2"/>
          <c:order val="4"/>
          <c:tx>
            <c:v>P6-A LFGL soil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'plot selective diss'!$G$15</c:f>
              <c:numCache>
                <c:formatCode>0.000</c:formatCode>
                <c:ptCount val="1"/>
                <c:pt idx="0">
                  <c:v>40.950000000000003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33-0D48-BDD2-FB6F5F5C30D6}"/>
            </c:ext>
          </c:extLst>
        </c:ser>
        <c:ser>
          <c:idx val="4"/>
          <c:order val="5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data'!$O$35:$O$50</c:f>
              <c:numCache>
                <c:formatCode>0.000</c:formatCode>
                <c:ptCount val="16"/>
                <c:pt idx="0">
                  <c:v>0.55739447818193211</c:v>
                </c:pt>
                <c:pt idx="1">
                  <c:v>0.59335541225818567</c:v>
                </c:pt>
                <c:pt idx="2">
                  <c:v>0.62931634633443934</c:v>
                </c:pt>
                <c:pt idx="3">
                  <c:v>0.52143354410567833</c:v>
                </c:pt>
                <c:pt idx="4">
                  <c:v>0.59335541225818567</c:v>
                </c:pt>
                <c:pt idx="5">
                  <c:v>0.59335541225818567</c:v>
                </c:pt>
                <c:pt idx="6">
                  <c:v>0.61732936830902141</c:v>
                </c:pt>
                <c:pt idx="7">
                  <c:v>1.006906154135103</c:v>
                </c:pt>
                <c:pt idx="8">
                  <c:v>0.5633879671946409</c:v>
                </c:pt>
                <c:pt idx="9">
                  <c:v>0.50345307706755149</c:v>
                </c:pt>
                <c:pt idx="10">
                  <c:v>0.54540750015651418</c:v>
                </c:pt>
                <c:pt idx="11">
                  <c:v>0.54540750015651418</c:v>
                </c:pt>
                <c:pt idx="12">
                  <c:v>0.59934890127089469</c:v>
                </c:pt>
                <c:pt idx="13">
                  <c:v>0.65329030238527519</c:v>
                </c:pt>
                <c:pt idx="14">
                  <c:v>0.58136843423276774</c:v>
                </c:pt>
                <c:pt idx="15">
                  <c:v>0.88703637388092405</c:v>
                </c:pt>
              </c:numCache>
            </c:numRef>
          </c:xVal>
          <c:yVal>
            <c:numRef>
              <c:f>'Morgan-Pompa solid data'!$M$35:$M$50</c:f>
              <c:numCache>
                <c:formatCode>0.000</c:formatCode>
                <c:ptCount val="16"/>
                <c:pt idx="0">
                  <c:v>28.372936222621657</c:v>
                </c:pt>
                <c:pt idx="1">
                  <c:v>28.793622262166302</c:v>
                </c:pt>
                <c:pt idx="2">
                  <c:v>28.559907795752615</c:v>
                </c:pt>
                <c:pt idx="3">
                  <c:v>25.942305771919312</c:v>
                </c:pt>
                <c:pt idx="4">
                  <c:v>24.820476333133616</c:v>
                </c:pt>
                <c:pt idx="5">
                  <c:v>27.017392317422274</c:v>
                </c:pt>
                <c:pt idx="6">
                  <c:v>26.690192064443114</c:v>
                </c:pt>
                <c:pt idx="7">
                  <c:v>21.735445376472935</c:v>
                </c:pt>
                <c:pt idx="8">
                  <c:v>28.606650689035344</c:v>
                </c:pt>
                <c:pt idx="9">
                  <c:v>27.204363890553228</c:v>
                </c:pt>
                <c:pt idx="10">
                  <c:v>28.419679115904401</c:v>
                </c:pt>
                <c:pt idx="11">
                  <c:v>28.887108048731776</c:v>
                </c:pt>
                <c:pt idx="12">
                  <c:v>28.700136475600825</c:v>
                </c:pt>
                <c:pt idx="13">
                  <c:v>24.166075827175288</c:v>
                </c:pt>
                <c:pt idx="14">
                  <c:v>28.232707542773451</c:v>
                </c:pt>
                <c:pt idx="15">
                  <c:v>21.268016443645564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33-0D48-BDD2-FB6F5F5C30D6}"/>
            </c:ext>
          </c:extLst>
        </c:ser>
        <c:ser>
          <c:idx val="6"/>
          <c:order val="6"/>
          <c:tx>
            <c:v>Ave EXPT</c:v>
          </c:tx>
          <c:spPr>
            <a:ln w="25400" cap="flat" cmpd="dbl" algn="ctr">
              <a:noFill/>
              <a:round/>
            </a:ln>
            <a:effectLst/>
          </c:spPr>
          <c:marker>
            <c:symbol val="plus"/>
            <c:size val="40"/>
            <c:spPr>
              <a:noFill/>
              <a:ln w="63500" cap="flat" cmpd="dbl" algn="ctr">
                <a:solidFill>
                  <a:schemeClr val="accent1">
                    <a:lumMod val="60000"/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'plot selective diss'!$D$39</c:f>
              <c:numCache>
                <c:formatCode>0.000</c:formatCode>
                <c:ptCount val="1"/>
                <c:pt idx="0">
                  <c:v>0.5783716897264134</c:v>
                </c:pt>
              </c:numCache>
            </c:numRef>
          </c:xVal>
          <c:yVal>
            <c:numRef>
              <c:f>'plot selective diss'!$D$36</c:f>
              <c:numCache>
                <c:formatCode>0.000</c:formatCode>
                <c:ptCount val="1"/>
                <c:pt idx="0">
                  <c:v>27.458111025516651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33-0D48-BDD2-FB6F5F5C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 i="0" u="none" strike="noStrike" kern="1200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Phase selective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H9 basalt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18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diss'!$H$55</c:f>
              <c:numCache>
                <c:formatCode>0.00</c:formatCode>
                <c:ptCount val="1"/>
                <c:pt idx="0">
                  <c:v>0.71422586411936051</c:v>
                </c:pt>
              </c:numCache>
            </c:numRef>
          </c:xVal>
          <c:yVal>
            <c:numRef>
              <c:f>'plot selective diss'!$H$51</c:f>
              <c:numCache>
                <c:formatCode>0.00</c:formatCode>
                <c:ptCount val="1"/>
                <c:pt idx="0">
                  <c:v>8.5274668427186082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6-D340-83AB-F7402E5D55BD}"/>
            </c:ext>
          </c:extLst>
        </c:ser>
        <c:ser>
          <c:idx val="2"/>
          <c:order val="1"/>
          <c:tx>
            <c:v>P6-A LFGL soil</c:v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18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'plot selective diss'!$G$14</c:f>
              <c:numCache>
                <c:formatCode>0.000</c:formatCode>
                <c:ptCount val="1"/>
                <c:pt idx="0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56-D340-83AB-F7402E5D55BD}"/>
            </c:ext>
          </c:extLst>
        </c:ser>
        <c:ser>
          <c:idx val="0"/>
          <c:order val="2"/>
          <c:tx>
            <c:v>Control 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data'!$O$42,'Morgan-Pompa solid data'!$O$50)</c:f>
              <c:numCache>
                <c:formatCode>0.000</c:formatCode>
                <c:ptCount val="2"/>
                <c:pt idx="0">
                  <c:v>1.006906154135103</c:v>
                </c:pt>
                <c:pt idx="1">
                  <c:v>0.88703637388092405</c:v>
                </c:pt>
              </c:numCache>
            </c:numRef>
          </c:xVal>
          <c:yVal>
            <c:numRef>
              <c:f>('Morgan-Pompa solid data'!$F$42,'Morgan-Pompa solid data'!$F$50)</c:f>
              <c:numCache>
                <c:formatCode>0.000</c:formatCode>
                <c:ptCount val="2"/>
                <c:pt idx="0">
                  <c:v>8.2904720295308234</c:v>
                </c:pt>
                <c:pt idx="1">
                  <c:v>8.2904720295308234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56-D340-83AB-F7402E5D55BD}"/>
            </c:ext>
          </c:extLst>
        </c:ser>
        <c:ser>
          <c:idx val="5"/>
          <c:order val="3"/>
          <c:tx>
            <c:v>All phases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'plot selective diss'!$BR$43:$BR$62</c:f>
              <c:numCache>
                <c:formatCode>0.000</c:formatCode>
                <c:ptCount val="20"/>
                <c:pt idx="0">
                  <c:v>8.5193032485431672</c:v>
                </c:pt>
                <c:pt idx="1">
                  <c:v>8.510774692920192</c:v>
                </c:pt>
                <c:pt idx="2">
                  <c:v>8.50184658403324</c:v>
                </c:pt>
                <c:pt idx="3">
                  <c:v>8.4924901704631175</c:v>
                </c:pt>
                <c:pt idx="4">
                  <c:v>8.4826738744355943</c:v>
                </c:pt>
                <c:pt idx="5">
                  <c:v>8.4723629357717023</c:v>
                </c:pt>
                <c:pt idx="6">
                  <c:v>8.4615190006229124</c:v>
                </c:pt>
                <c:pt idx="7">
                  <c:v>8.4500996447364543</c:v>
                </c:pt>
                <c:pt idx="8">
                  <c:v>8.4380578187600879</c:v>
                </c:pt>
                <c:pt idx="9">
                  <c:v>8.4253412002958576</c:v>
                </c:pt>
                <c:pt idx="10">
                  <c:v>8.411891433886197</c:v>
                </c:pt>
                <c:pt idx="11">
                  <c:v>8.3976432356476902</c:v>
                </c:pt>
                <c:pt idx="12">
                  <c:v>8.3825233335694449</c:v>
                </c:pt>
                <c:pt idx="13">
                  <c:v>8.3664492071766645</c:v>
                </c:pt>
                <c:pt idx="14">
                  <c:v>8.3493275807977696</c:v>
                </c:pt>
                <c:pt idx="15">
                  <c:v>8.331052612343214</c:v>
                </c:pt>
                <c:pt idx="16">
                  <c:v>8.3115037033058314</c:v>
                </c:pt>
                <c:pt idx="17">
                  <c:v>8.2905428342295409</c:v>
                </c:pt>
                <c:pt idx="18">
                  <c:v>8.2680113011928658</c:v>
                </c:pt>
                <c:pt idx="19">
                  <c:v>8.2437256900989766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6-D340-83AB-F7402E5D55BD}"/>
            </c:ext>
          </c:extLst>
        </c:ser>
        <c:ser>
          <c:idx val="3"/>
          <c:order val="4"/>
          <c:tx>
            <c:v>ol only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diss'!$BV$75:$BV$94</c:f>
              <c:numCache>
                <c:formatCode>0.000</c:formatCode>
                <c:ptCount val="20"/>
                <c:pt idx="0">
                  <c:v>0.71600028683257755</c:v>
                </c:pt>
                <c:pt idx="1">
                  <c:v>0.71778422133949626</c:v>
                </c:pt>
                <c:pt idx="2">
                  <c:v>0.71957714291296138</c:v>
                </c:pt>
                <c:pt idx="3">
                  <c:v>0.72137911963674184</c:v>
                </c:pt>
                <c:pt idx="4">
                  <c:v>0.72319022028406166</c:v>
                </c:pt>
                <c:pt idx="5">
                  <c:v>0.72501051432634911</c:v>
                </c:pt>
                <c:pt idx="6">
                  <c:v>0.7268400719421203</c:v>
                </c:pt>
                <c:pt idx="7">
                  <c:v>0.7286789640259983</c:v>
                </c:pt>
                <c:pt idx="8">
                  <c:v>0.73052726219786912</c:v>
                </c:pt>
                <c:pt idx="9">
                  <c:v>0.73238503881218209</c:v>
                </c:pt>
                <c:pt idx="10">
                  <c:v>0.73425236696738971</c:v>
                </c:pt>
                <c:pt idx="11">
                  <c:v>0.73612932051553603</c:v>
                </c:pt>
                <c:pt idx="12">
                  <c:v>0.73801597407199315</c:v>
                </c:pt>
                <c:pt idx="13">
                  <c:v>0.73991240302534877</c:v>
                </c:pt>
                <c:pt idx="14">
                  <c:v>0.74181868354744729</c:v>
                </c:pt>
                <c:pt idx="15">
                  <c:v>0.7437348926035896</c:v>
                </c:pt>
                <c:pt idx="16">
                  <c:v>0.74566110796289053</c:v>
                </c:pt>
                <c:pt idx="17">
                  <c:v>0.7475974082088005</c:v>
                </c:pt>
                <c:pt idx="18">
                  <c:v>0.74954387274979217</c:v>
                </c:pt>
                <c:pt idx="19">
                  <c:v>0.75150058183021573</c:v>
                </c:pt>
              </c:numCache>
            </c:numRef>
          </c:xVal>
          <c:yVal>
            <c:numRef>
              <c:f>'plot selective diss'!$BR$75:$BR$94</c:f>
              <c:numCache>
                <c:formatCode>0.000</c:formatCode>
                <c:ptCount val="20"/>
                <c:pt idx="0">
                  <c:v>8.5481140538746256</c:v>
                </c:pt>
                <c:pt idx="1">
                  <c:v>8.568873419212018</c:v>
                </c:pt>
                <c:pt idx="2">
                  <c:v>8.5897373656296203</c:v>
                </c:pt>
                <c:pt idx="3">
                  <c:v>8.6107066854075391</c:v>
                </c:pt>
                <c:pt idx="4">
                  <c:v>8.631782178848967</c:v>
                </c:pt>
                <c:pt idx="5">
                  <c:v>8.6529646543819947</c:v>
                </c:pt>
                <c:pt idx="6">
                  <c:v>8.6742549286629771</c:v>
                </c:pt>
                <c:pt idx="7">
                  <c:v>8.6956538266814913</c:v>
                </c:pt>
                <c:pt idx="8">
                  <c:v>8.7171621818668985</c:v>
                </c:pt>
                <c:pt idx="9">
                  <c:v>8.738780836196538</c:v>
                </c:pt>
                <c:pt idx="10">
                  <c:v>8.7605106403056094</c:v>
                </c:pt>
                <c:pt idx="11">
                  <c:v>8.7823524535987385</c:v>
                </c:pt>
                <c:pt idx="12">
                  <c:v>8.8043071443632783</c:v>
                </c:pt>
                <c:pt idx="13">
                  <c:v>8.8263755898843659</c:v>
                </c:pt>
                <c:pt idx="14">
                  <c:v>8.8485586765617761</c:v>
                </c:pt>
                <c:pt idx="15">
                  <c:v>8.8708573000286179</c:v>
                </c:pt>
                <c:pt idx="16">
                  <c:v>8.8932723652718462</c:v>
                </c:pt>
                <c:pt idx="17">
                  <c:v>8.9158047867547179</c:v>
                </c:pt>
                <c:pt idx="18">
                  <c:v>8.9384554885411429</c:v>
                </c:pt>
                <c:pt idx="19">
                  <c:v>8.9612254044220094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56-D340-83AB-F7402E5D55BD}"/>
            </c:ext>
          </c:extLst>
        </c:ser>
        <c:ser>
          <c:idx val="4"/>
          <c:order val="5"/>
          <c:tx>
            <c:v>cpx only</c:v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diss'!$BV$107:$BV$126</c:f>
              <c:numCache>
                <c:formatCode>0.000</c:formatCode>
                <c:ptCount val="20"/>
                <c:pt idx="0">
                  <c:v>0.69668042244112971</c:v>
                </c:pt>
                <c:pt idx="1">
                  <c:v>0.67826442450678048</c:v>
                </c:pt>
                <c:pt idx="2">
                  <c:v>0.65891074414299189</c:v>
                </c:pt>
                <c:pt idx="3">
                  <c:v>0.63854589491799529</c:v>
                </c:pt>
                <c:pt idx="4">
                  <c:v>0.61708850555141048</c:v>
                </c:pt>
                <c:pt idx="5">
                  <c:v>0.59444823324280016</c:v>
                </c:pt>
                <c:pt idx="6">
                  <c:v>0.57052449219120771</c:v>
                </c:pt>
                <c:pt idx="7">
                  <c:v>0.54520495956734394</c:v>
                </c:pt>
                <c:pt idx="8">
                  <c:v>0.51836381212833293</c:v>
                </c:pt>
                <c:pt idx="9">
                  <c:v>0.48985963506384056</c:v>
                </c:pt>
                <c:pt idx="10">
                  <c:v>0.4595329297234067</c:v>
                </c:pt>
                <c:pt idx="11">
                  <c:v>0.42720312749551254</c:v>
                </c:pt>
                <c:pt idx="12">
                  <c:v>0.39266499177283054</c:v>
                </c:pt>
                <c:pt idx="13">
                  <c:v>0.35568425653887314</c:v>
                </c:pt>
                <c:pt idx="14">
                  <c:v>0.31599230569313269</c:v>
                </c:pt>
                <c:pt idx="15">
                  <c:v>0.27327963760189228</c:v>
                </c:pt>
                <c:pt idx="16">
                  <c:v>0.2271877785028226</c:v>
                </c:pt>
                <c:pt idx="17">
                  <c:v>0.1772991975597184</c:v>
                </c:pt>
                <c:pt idx="18">
                  <c:v>0.12312462268430091</c:v>
                </c:pt>
                <c:pt idx="19">
                  <c:v>6.408694048331727E-2</c:v>
                </c:pt>
              </c:numCache>
            </c:numRef>
          </c:xVal>
          <c:yVal>
            <c:numRef>
              <c:f>'plot selective diss'!$BR$107:$BR$126</c:f>
              <c:numCache>
                <c:formatCode>0.000</c:formatCode>
                <c:ptCount val="20"/>
                <c:pt idx="0">
                  <c:v>8.4223934144902621</c:v>
                </c:pt>
                <c:pt idx="1">
                  <c:v>8.3121115838618191</c:v>
                </c:pt>
                <c:pt idx="2">
                  <c:v>8.1962145628301517</c:v>
                </c:pt>
                <c:pt idx="3">
                  <c:v>8.074262287367743</c:v>
                </c:pt>
                <c:pt idx="4">
                  <c:v>7.9457674760471679</c:v>
                </c:pt>
                <c:pt idx="5">
                  <c:v>7.8101891226491693</c:v>
                </c:pt>
                <c:pt idx="6">
                  <c:v>7.6669248820657412</c:v>
                </c:pt>
                <c:pt idx="7">
                  <c:v>7.515302123507098</c:v>
                </c:pt>
                <c:pt idx="8">
                  <c:v>7.3545673706962811</c:v>
                </c:pt>
                <c:pt idx="9">
                  <c:v>7.1838737792636751</c:v>
                </c:pt>
                <c:pt idx="10">
                  <c:v>7.0022662120932635</c:v>
                </c:pt>
                <c:pt idx="11">
                  <c:v>6.8086633573222146</c:v>
                </c:pt>
                <c:pt idx="12">
                  <c:v>6.6018361819734004</c:v>
                </c:pt>
                <c:pt idx="13">
                  <c:v>6.380381814193532</c:v>
                </c:pt>
                <c:pt idx="14">
                  <c:v>6.1426916810773671</c:v>
                </c:pt>
                <c:pt idx="15">
                  <c:v>5.8869123719723557</c:v>
                </c:pt>
                <c:pt idx="16">
                  <c:v>5.6108972129440824</c:v>
                </c:pt>
                <c:pt idx="17">
                  <c:v>5.3121458743810512</c:v>
                </c:pt>
                <c:pt idx="18">
                  <c:v>4.9877284134279662</c:v>
                </c:pt>
                <c:pt idx="19">
                  <c:v>4.6341888608935351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56-D340-83AB-F7402E5D55BD}"/>
            </c:ext>
          </c:extLst>
        </c:ser>
        <c:ser>
          <c:idx val="6"/>
          <c:order val="6"/>
          <c:tx>
            <c:v>plag only</c:v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diss'!$BV$139:$BV$158</c:f>
              <c:numCache>
                <c:formatCode>0.000</c:formatCode>
                <c:ptCount val="20"/>
                <c:pt idx="0">
                  <c:v>0.73075671937995923</c:v>
                </c:pt>
                <c:pt idx="1">
                  <c:v>0.74807157273812086</c:v>
                </c:pt>
                <c:pt idx="2">
                  <c:v>0.76622687059805084</c:v>
                </c:pt>
                <c:pt idx="3">
                  <c:v>0.78528532640013726</c:v>
                </c:pt>
                <c:pt idx="4">
                  <c:v>0.80531605225638347</c:v>
                </c:pt>
                <c:pt idx="5">
                  <c:v>0.8263953963843601</c:v>
                </c:pt>
                <c:pt idx="6">
                  <c:v>0.84860791559649273</c:v>
                </c:pt>
                <c:pt idx="7">
                  <c:v>0.87204750895744143</c:v>
                </c:pt>
                <c:pt idx="8">
                  <c:v>0.89681874465637534</c:v>
                </c:pt>
                <c:pt idx="9">
                  <c:v>0.92303841963637723</c:v>
                </c:pt>
                <c:pt idx="10">
                  <c:v>0.95083740105030945</c:v>
                </c:pt>
                <c:pt idx="11">
                  <c:v>0.98036281080208754</c:v>
                </c:pt>
                <c:pt idx="12">
                  <c:v>1.0117806301376848</c:v>
                </c:pt>
                <c:pt idx="13">
                  <c:v>1.0452788216353792</c:v>
                </c:pt>
                <c:pt idx="14">
                  <c:v>1.0810710926121578</c:v>
                </c:pt>
                <c:pt idx="15">
                  <c:v>1.1194014591402628</c:v>
                </c:pt>
                <c:pt idx="16">
                  <c:v>1.1605498166826753</c:v>
                </c:pt>
                <c:pt idx="17">
                  <c:v>1.2048387862500922</c:v>
                </c:pt>
                <c:pt idx="18">
                  <c:v>1.2526421903341594</c:v>
                </c:pt>
                <c:pt idx="19">
                  <c:v>1.3043956299612136</c:v>
                </c:pt>
              </c:numCache>
            </c:numRef>
          </c:xVal>
          <c:yVal>
            <c:numRef>
              <c:f>'plot selective diss'!$BR$139:$BR$158</c:f>
              <c:numCache>
                <c:formatCode>0.000</c:formatCode>
                <c:ptCount val="20"/>
                <c:pt idx="0">
                  <c:v>8.6006381321345575</c:v>
                </c:pt>
                <c:pt idx="1">
                  <c:v>8.6772856769313247</c:v>
                </c:pt>
                <c:pt idx="2">
                  <c:v>8.7576536117461856</c:v>
                </c:pt>
                <c:pt idx="3">
                  <c:v>8.8420195497435206</c:v>
                </c:pt>
                <c:pt idx="4">
                  <c:v>8.9306894290442713</c:v>
                </c:pt>
                <c:pt idx="5">
                  <c:v>9.024001219789179</c:v>
                </c:pt>
                <c:pt idx="6">
                  <c:v>9.1223292290505693</c:v>
                </c:pt>
                <c:pt idx="7">
                  <c:v>9.2260891191858487</c:v>
                </c:pt>
                <c:pt idx="8">
                  <c:v>9.3357437814940525</c:v>
                </c:pt>
                <c:pt idx="9">
                  <c:v>9.4518102402168491</c:v>
                </c:pt>
                <c:pt idx="10">
                  <c:v>9.5748678040988153</c:v>
                </c:pt>
                <c:pt idx="11">
                  <c:v>9.7055677366815836</c:v>
                </c:pt>
                <c:pt idx="12">
                  <c:v>9.844644786029324</c:v>
                </c:pt>
                <c:pt idx="13">
                  <c:v>9.9929310048219246</c:v>
                </c:pt>
                <c:pt idx="14">
                  <c:v>10.151372409800819</c:v>
                </c:pt>
                <c:pt idx="15">
                  <c:v>10.321049185270276</c:v>
                </c:pt>
                <c:pt idx="16">
                  <c:v>10.50320034259202</c:v>
                </c:pt>
                <c:pt idx="17">
                  <c:v>10.69925402602221</c:v>
                </c:pt>
                <c:pt idx="18">
                  <c:v>10.91086503306804</c:v>
                </c:pt>
                <c:pt idx="19">
                  <c:v>11.139961635860322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F56-D340-83AB-F7402E5D5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Ca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Phase selective</a:t>
            </a:r>
            <a:r>
              <a:rPr lang="en-US" baseline="0"/>
              <a:t> </a:t>
            </a:r>
            <a:r>
              <a:rPr lang="en-US"/>
              <a:t>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H9 basalt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18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diss'!$H$55</c:f>
              <c:numCache>
                <c:formatCode>0.00</c:formatCode>
                <c:ptCount val="1"/>
                <c:pt idx="0">
                  <c:v>0.71422586411936051</c:v>
                </c:pt>
              </c:numCache>
            </c:numRef>
          </c:xVal>
          <c:yVal>
            <c:numRef>
              <c:f>'plot selective diss'!$H$50</c:f>
              <c:numCache>
                <c:formatCode>0.00</c:formatCode>
                <c:ptCount val="1"/>
                <c:pt idx="0">
                  <c:v>4.3114552734047251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B3-5141-96F1-DFABECB96B94}"/>
            </c:ext>
          </c:extLst>
        </c:ser>
        <c:ser>
          <c:idx val="2"/>
          <c:order val="1"/>
          <c:tx>
            <c:v>P6-A LFGL soil</c:v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18"/>
            <c:spPr>
              <a:noFill/>
              <a:ln w="34925" cap="flat" cmpd="dbl" algn="ctr">
                <a:solidFill>
                  <a:schemeClr val="accent6"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'plot selective diss'!$G$13</c:f>
              <c:numCache>
                <c:formatCode>0.000</c:formatCode>
                <c:ptCount val="1"/>
                <c:pt idx="0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B3-5141-96F1-DFABECB96B94}"/>
            </c:ext>
          </c:extLst>
        </c:ser>
        <c:ser>
          <c:idx val="0"/>
          <c:order val="2"/>
          <c:tx>
            <c:v>Control 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data'!$O$42,'Morgan-Pompa solid data'!$O$50)</c:f>
              <c:numCache>
                <c:formatCode>0.000</c:formatCode>
                <c:ptCount val="2"/>
                <c:pt idx="0">
                  <c:v>1.006906154135103</c:v>
                </c:pt>
                <c:pt idx="1">
                  <c:v>0.88703637388092405</c:v>
                </c:pt>
              </c:numCache>
            </c:numRef>
          </c:xVal>
          <c:yVal>
            <c:numRef>
              <c:f>('Morgan-Pompa solid data'!$I$42,'Morgan-Pompa solid data'!$I$50)</c:f>
              <c:numCache>
                <c:formatCode>0.000</c:formatCode>
                <c:ptCount val="2"/>
                <c:pt idx="0">
                  <c:v>5.523863636363636</c:v>
                </c:pt>
                <c:pt idx="1">
                  <c:v>4.866547985311632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B3-5141-96F1-DFABECB96B94}"/>
            </c:ext>
          </c:extLst>
        </c:ser>
        <c:ser>
          <c:idx val="5"/>
          <c:order val="3"/>
          <c:tx>
            <c:v>All phases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'plot selective diss'!$BP$43:$BP$62</c:f>
              <c:numCache>
                <c:formatCode>0.000</c:formatCode>
                <c:ptCount val="20"/>
                <c:pt idx="0">
                  <c:v>4.3803060498698665</c:v>
                </c:pt>
                <c:pt idx="1">
                  <c:v>4.452312973697846</c:v>
                </c:pt>
                <c:pt idx="2">
                  <c:v>4.5276933411329701</c:v>
                </c:pt>
                <c:pt idx="3">
                  <c:v>4.6066899015156055</c:v>
                </c:pt>
                <c:pt idx="4">
                  <c:v>4.6895692672106302</c:v>
                </c:pt>
                <c:pt idx="5">
                  <c:v>4.7766249197487838</c:v>
                </c:pt>
                <c:pt idx="6">
                  <c:v>4.8681806821514026</c:v>
                </c:pt>
                <c:pt idx="7">
                  <c:v>4.9645947440197142</c:v>
                </c:pt>
                <c:pt idx="8">
                  <c:v>5.066264344848042</c:v>
                </c:pt>
                <c:pt idx="9">
                  <c:v>5.1736312446589352</c:v>
                </c:pt>
                <c:pt idx="10">
                  <c:v>5.2871881408296852</c:v>
                </c:pt>
                <c:pt idx="11">
                  <c:v>5.4074862277041511</c:v>
                </c:pt>
                <c:pt idx="12">
                  <c:v>5.5351441436942697</c:v>
                </c:pt>
                <c:pt idx="13">
                  <c:v>5.6708586123492388</c:v>
                </c:pt>
                <c:pt idx="14">
                  <c:v>5.8154171637591912</c:v>
                </c:pt>
                <c:pt idx="15">
                  <c:v>5.9697134267654679</c:v>
                </c:pt>
                <c:pt idx="16">
                  <c:v>6.1347656192121072</c:v>
                </c:pt>
                <c:pt idx="17">
                  <c:v>6.311739044686286</c:v>
                </c:pt>
                <c:pt idx="18">
                  <c:v>6.5019736465136955</c:v>
                </c:pt>
                <c:pt idx="19">
                  <c:v>6.7070179969829811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B3-5141-96F1-DFABECB96B94}"/>
            </c:ext>
          </c:extLst>
        </c:ser>
        <c:ser>
          <c:idx val="3"/>
          <c:order val="4"/>
          <c:tx>
            <c:v>ol only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diss'!$BV$75:$BV$94</c:f>
              <c:numCache>
                <c:formatCode>0.000</c:formatCode>
                <c:ptCount val="20"/>
                <c:pt idx="0">
                  <c:v>0.71600028683257755</c:v>
                </c:pt>
                <c:pt idx="1">
                  <c:v>0.71778422133949626</c:v>
                </c:pt>
                <c:pt idx="2">
                  <c:v>0.71957714291296138</c:v>
                </c:pt>
                <c:pt idx="3">
                  <c:v>0.72137911963674184</c:v>
                </c:pt>
                <c:pt idx="4">
                  <c:v>0.72319022028406166</c:v>
                </c:pt>
                <c:pt idx="5">
                  <c:v>0.72501051432634911</c:v>
                </c:pt>
                <c:pt idx="6">
                  <c:v>0.7268400719421203</c:v>
                </c:pt>
                <c:pt idx="7">
                  <c:v>0.7286789640259983</c:v>
                </c:pt>
                <c:pt idx="8">
                  <c:v>0.73052726219786912</c:v>
                </c:pt>
                <c:pt idx="9">
                  <c:v>0.73238503881218209</c:v>
                </c:pt>
                <c:pt idx="10">
                  <c:v>0.73425236696738971</c:v>
                </c:pt>
                <c:pt idx="11">
                  <c:v>0.73612932051553603</c:v>
                </c:pt>
                <c:pt idx="12">
                  <c:v>0.73801597407199315</c:v>
                </c:pt>
                <c:pt idx="13">
                  <c:v>0.73991240302534877</c:v>
                </c:pt>
                <c:pt idx="14">
                  <c:v>0.74181868354744729</c:v>
                </c:pt>
                <c:pt idx="15">
                  <c:v>0.7437348926035896</c:v>
                </c:pt>
                <c:pt idx="16">
                  <c:v>0.74566110796289053</c:v>
                </c:pt>
                <c:pt idx="17">
                  <c:v>0.7475974082088005</c:v>
                </c:pt>
                <c:pt idx="18">
                  <c:v>0.74954387274979217</c:v>
                </c:pt>
                <c:pt idx="19">
                  <c:v>0.75150058183021573</c:v>
                </c:pt>
              </c:numCache>
            </c:numRef>
          </c:xVal>
          <c:yVal>
            <c:numRef>
              <c:f>'plot selective diss'!$BP$75:$BP$94</c:f>
              <c:numCache>
                <c:formatCode>0.000</c:formatCode>
                <c:ptCount val="20"/>
                <c:pt idx="0">
                  <c:v>4.292029069965615</c:v>
                </c:pt>
                <c:pt idx="1">
                  <c:v>4.2725094700757253</c:v>
                </c:pt>
                <c:pt idx="2">
                  <c:v>4.2528915347690956</c:v>
                </c:pt>
                <c:pt idx="3">
                  <c:v>4.2331745190812011</c:v>
                </c:pt>
                <c:pt idx="4">
                  <c:v>4.2133576705035782</c:v>
                </c:pt>
                <c:pt idx="5">
                  <c:v>4.1934402288880914</c:v>
                </c:pt>
                <c:pt idx="6">
                  <c:v>4.1734214263497389</c:v>
                </c:pt>
                <c:pt idx="7">
                  <c:v>4.1533004871679626</c:v>
                </c:pt>
                <c:pt idx="8">
                  <c:v>4.1330766276864539</c:v>
                </c:pt>
                <c:pt idx="9">
                  <c:v>4.1127490562114106</c:v>
                </c:pt>
                <c:pt idx="10">
                  <c:v>4.0923169729082307</c:v>
                </c:pt>
                <c:pt idx="11">
                  <c:v>4.0717795696966013</c:v>
                </c:pt>
                <c:pt idx="12">
                  <c:v>4.0511360301439678</c:v>
                </c:pt>
                <c:pt idx="13">
                  <c:v>4.0303855293573418</c:v>
                </c:pt>
                <c:pt idx="14">
                  <c:v>4.0095272338734294</c:v>
                </c:pt>
                <c:pt idx="15">
                  <c:v>3.9885603015470354</c:v>
                </c:pt>
                <c:pt idx="16">
                  <c:v>3.9674838814377229</c:v>
                </c:pt>
                <c:pt idx="17">
                  <c:v>3.9462971136946954</c:v>
                </c:pt>
                <c:pt idx="18">
                  <c:v>3.9249991294398558</c:v>
                </c:pt>
                <c:pt idx="19">
                  <c:v>3.9035890506490403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B3-5141-96F1-DFABECB96B94}"/>
            </c:ext>
          </c:extLst>
        </c:ser>
        <c:ser>
          <c:idx val="4"/>
          <c:order val="5"/>
          <c:tx>
            <c:v>cpx only</c:v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diss'!$BV$107:$BV$126</c:f>
              <c:numCache>
                <c:formatCode>0.000</c:formatCode>
                <c:ptCount val="20"/>
                <c:pt idx="0">
                  <c:v>0.69668042244112971</c:v>
                </c:pt>
                <c:pt idx="1">
                  <c:v>0.67826442450678048</c:v>
                </c:pt>
                <c:pt idx="2">
                  <c:v>0.65891074414299189</c:v>
                </c:pt>
                <c:pt idx="3">
                  <c:v>0.63854589491799529</c:v>
                </c:pt>
                <c:pt idx="4">
                  <c:v>0.61708850555141048</c:v>
                </c:pt>
                <c:pt idx="5">
                  <c:v>0.59444823324280016</c:v>
                </c:pt>
                <c:pt idx="6">
                  <c:v>0.57052449219120771</c:v>
                </c:pt>
                <c:pt idx="7">
                  <c:v>0.54520495956734394</c:v>
                </c:pt>
                <c:pt idx="8">
                  <c:v>0.51836381212833293</c:v>
                </c:pt>
                <c:pt idx="9">
                  <c:v>0.48985963506384056</c:v>
                </c:pt>
                <c:pt idx="10">
                  <c:v>0.4595329297234067</c:v>
                </c:pt>
                <c:pt idx="11">
                  <c:v>0.42720312749551254</c:v>
                </c:pt>
                <c:pt idx="12">
                  <c:v>0.39266499177283054</c:v>
                </c:pt>
                <c:pt idx="13">
                  <c:v>0.35568425653887314</c:v>
                </c:pt>
                <c:pt idx="14">
                  <c:v>0.31599230569313269</c:v>
                </c:pt>
                <c:pt idx="15">
                  <c:v>0.27327963760189228</c:v>
                </c:pt>
                <c:pt idx="16">
                  <c:v>0.2271877785028226</c:v>
                </c:pt>
                <c:pt idx="17">
                  <c:v>0.1772991975597184</c:v>
                </c:pt>
                <c:pt idx="18">
                  <c:v>0.12312462268430091</c:v>
                </c:pt>
                <c:pt idx="19">
                  <c:v>6.408694048331727E-2</c:v>
                </c:pt>
              </c:numCache>
            </c:numRef>
          </c:xVal>
          <c:yVal>
            <c:numRef>
              <c:f>'plot selective diss'!$BP$107:$BP$126</c:f>
              <c:numCache>
                <c:formatCode>0.000</c:formatCode>
                <c:ptCount val="20"/>
                <c:pt idx="0">
                  <c:v>4.2259833180390061</c:v>
                </c:pt>
                <c:pt idx="1">
                  <c:v>4.1362718631059474</c:v>
                </c:pt>
                <c:pt idx="2">
                  <c:v>4.0419925940739727</c:v>
                </c:pt>
                <c:pt idx="3">
                  <c:v>3.9427875300866888</c:v>
                </c:pt>
                <c:pt idx="4">
                  <c:v>3.8382602801378272</c:v>
                </c:pt>
                <c:pt idx="5">
                  <c:v>3.7279707494739656</c:v>
                </c:pt>
                <c:pt idx="6">
                  <c:v>3.6114289457209918</c:v>
                </c:pt>
                <c:pt idx="7">
                  <c:v>3.4880877008962869</c:v>
                </c:pt>
                <c:pt idx="8">
                  <c:v>3.3573340812765156</c:v>
                </c:pt>
                <c:pt idx="9">
                  <c:v>3.2184792005776237</c:v>
                </c:pt>
                <c:pt idx="10">
                  <c:v>3.0707460791298895</c:v>
                </c:pt>
                <c:pt idx="11">
                  <c:v>2.9132550973269051</c:v>
                </c:pt>
                <c:pt idx="12">
                  <c:v>2.7450064682054824</c:v>
                </c:pt>
                <c:pt idx="13">
                  <c:v>2.5648589913128741</c:v>
                </c:pt>
                <c:pt idx="14">
                  <c:v>2.371504133639851</c:v>
                </c:pt>
                <c:pt idx="15">
                  <c:v>2.1634341929177725</c:v>
                </c:pt>
                <c:pt idx="16">
                  <c:v>1.9389029046819863</c:v>
                </c:pt>
                <c:pt idx="17">
                  <c:v>1.6958763145994733</c:v>
                </c:pt>
                <c:pt idx="18">
                  <c:v>1.4319709889266981</c:v>
                </c:pt>
                <c:pt idx="19">
                  <c:v>1.1443755849194559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3B3-5141-96F1-DFABECB96B94}"/>
            </c:ext>
          </c:extLst>
        </c:ser>
        <c:ser>
          <c:idx val="6"/>
          <c:order val="6"/>
          <c:tx>
            <c:v>plag only</c:v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diss'!$BV$139:$BV$158</c:f>
              <c:numCache>
                <c:formatCode>0.000</c:formatCode>
                <c:ptCount val="20"/>
                <c:pt idx="0">
                  <c:v>0.73075671937995923</c:v>
                </c:pt>
                <c:pt idx="1">
                  <c:v>0.74807157273812086</c:v>
                </c:pt>
                <c:pt idx="2">
                  <c:v>0.76622687059805084</c:v>
                </c:pt>
                <c:pt idx="3">
                  <c:v>0.78528532640013726</c:v>
                </c:pt>
                <c:pt idx="4">
                  <c:v>0.80531605225638347</c:v>
                </c:pt>
                <c:pt idx="5">
                  <c:v>0.8263953963843601</c:v>
                </c:pt>
                <c:pt idx="6">
                  <c:v>0.84860791559649273</c:v>
                </c:pt>
                <c:pt idx="7">
                  <c:v>0.87204750895744143</c:v>
                </c:pt>
                <c:pt idx="8">
                  <c:v>0.89681874465637534</c:v>
                </c:pt>
                <c:pt idx="9">
                  <c:v>0.92303841963637723</c:v>
                </c:pt>
                <c:pt idx="10">
                  <c:v>0.95083740105030945</c:v>
                </c:pt>
                <c:pt idx="11">
                  <c:v>0.98036281080208754</c:v>
                </c:pt>
                <c:pt idx="12">
                  <c:v>1.0117806301376848</c:v>
                </c:pt>
                <c:pt idx="13">
                  <c:v>1.0452788216353792</c:v>
                </c:pt>
                <c:pt idx="14">
                  <c:v>1.0810710926121578</c:v>
                </c:pt>
                <c:pt idx="15">
                  <c:v>1.1194014591402628</c:v>
                </c:pt>
                <c:pt idx="16">
                  <c:v>1.1605498166826753</c:v>
                </c:pt>
                <c:pt idx="17">
                  <c:v>1.2048387862500922</c:v>
                </c:pt>
                <c:pt idx="18">
                  <c:v>1.2526421903341594</c:v>
                </c:pt>
                <c:pt idx="19">
                  <c:v>1.3043956299612136</c:v>
                </c:pt>
              </c:numCache>
            </c:numRef>
          </c:xVal>
          <c:yVal>
            <c:numRef>
              <c:f>'plot selective diss'!$BP$139:$BP$158</c:f>
              <c:numCache>
                <c:formatCode>0.000</c:formatCode>
                <c:ptCount val="20"/>
                <c:pt idx="0">
                  <c:v>4.4112438535434171</c:v>
                </c:pt>
                <c:pt idx="1">
                  <c:v>4.5157656984003545</c:v>
                </c:pt>
                <c:pt idx="2">
                  <c:v>4.6253609220499143</c:v>
                </c:pt>
                <c:pt idx="3">
                  <c:v>4.740408096828296</c:v>
                </c:pt>
                <c:pt idx="4">
                  <c:v>4.8613244209236148</c:v>
                </c:pt>
                <c:pt idx="5">
                  <c:v>4.9885707735813947</c:v>
                </c:pt>
                <c:pt idx="6">
                  <c:v>5.1226575855772856</c:v>
                </c:pt>
                <c:pt idx="7">
                  <c:v>5.2641516825878112</c:v>
                </c:pt>
                <c:pt idx="8">
                  <c:v>5.4136842949109854</c:v>
                </c:pt>
                <c:pt idx="9">
                  <c:v>5.5719604722351939</c:v>
                </c:pt>
                <c:pt idx="10">
                  <c:v>5.739770199665446</c:v>
                </c:pt>
                <c:pt idx="11">
                  <c:v>5.9180015847991916</c:v>
                </c:pt>
                <c:pt idx="12">
                  <c:v>6.1076565804501177</c:v>
                </c:pt>
                <c:pt idx="13">
                  <c:v>6.3098698306743586</c:v>
                </c:pt>
                <c:pt idx="14">
                  <c:v>6.5259313887324799</c:v>
                </c:pt>
                <c:pt idx="15">
                  <c:v>6.7573142679684519</c:v>
                </c:pt>
                <c:pt idx="16">
                  <c:v>7.0057080691864391</c:v>
                </c:pt>
                <c:pt idx="17">
                  <c:v>7.2730603077670288</c:v>
                </c:pt>
                <c:pt idx="18">
                  <c:v>7.5616275789967986</c:v>
                </c:pt>
                <c:pt idx="19">
                  <c:v>7.8740394069007307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3B3-5141-96F1-DFABECB96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Mg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 i="0" u="none" strike="noStrike" kern="1200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Phase selective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H9 basalt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18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diss'!$H$55</c:f>
              <c:numCache>
                <c:formatCode>0.00</c:formatCode>
                <c:ptCount val="1"/>
                <c:pt idx="0">
                  <c:v>0.71422586411936051</c:v>
                </c:pt>
              </c:numCache>
            </c:numRef>
          </c:xVal>
          <c:yVal>
            <c:numRef>
              <c:f>'plot selective diss'!$H$56</c:f>
              <c:numCache>
                <c:formatCode>0.00</c:formatCode>
                <c:ptCount val="1"/>
                <c:pt idx="0">
                  <c:v>2.3776154921373918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6C-8C44-B2AD-1DCA11E38B75}"/>
            </c:ext>
          </c:extLst>
        </c:ser>
        <c:ser>
          <c:idx val="2"/>
          <c:order val="1"/>
          <c:tx>
            <c:v>P6-A LFGL soil</c:v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18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'plot selective diss'!$G$19</c:f>
              <c:numCache>
                <c:formatCode>0.000</c:formatCode>
                <c:ptCount val="1"/>
                <c:pt idx="0">
                  <c:v>4.9450000000000001E-2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6C-8C44-B2AD-1DCA11E38B75}"/>
            </c:ext>
          </c:extLst>
        </c:ser>
        <c:ser>
          <c:idx val="0"/>
          <c:order val="2"/>
          <c:tx>
            <c:v>Control 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data'!$O$42,'Morgan-Pompa solid data'!$O$50)</c:f>
              <c:numCache>
                <c:formatCode>0.000</c:formatCode>
                <c:ptCount val="2"/>
                <c:pt idx="0">
                  <c:v>1.006906154135103</c:v>
                </c:pt>
                <c:pt idx="1">
                  <c:v>0.88703637388092405</c:v>
                </c:pt>
              </c:numCache>
            </c:numRef>
          </c:xVal>
          <c:yVal>
            <c:numRef>
              <c:f>('Morgan-Pompa solid data'!$K$42,'Morgan-Pompa solid data'!$K$50)</c:f>
              <c:numCache>
                <c:formatCode>0.000</c:formatCode>
                <c:ptCount val="2"/>
                <c:pt idx="0">
                  <c:v>2.2551690088578389</c:v>
                </c:pt>
                <c:pt idx="1">
                  <c:v>2.2774239661820936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C6C-8C44-B2AD-1DCA11E38B75}"/>
            </c:ext>
          </c:extLst>
        </c:ser>
        <c:ser>
          <c:idx val="5"/>
          <c:order val="3"/>
          <c:tx>
            <c:v>All phases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'plot selective diss'!$BO$43:$BO$62</c:f>
              <c:numCache>
                <c:formatCode>0.000</c:formatCode>
                <c:ptCount val="20"/>
                <c:pt idx="0">
                  <c:v>2.3742127437152565</c:v>
                </c:pt>
                <c:pt idx="1">
                  <c:v>2.3706566638212387</c:v>
                </c:pt>
                <c:pt idx="2">
                  <c:v>2.3669339855732394</c:v>
                </c:pt>
                <c:pt idx="3">
                  <c:v>2.3630327207345365</c:v>
                </c:pt>
                <c:pt idx="4">
                  <c:v>2.3589397025869889</c:v>
                </c:pt>
                <c:pt idx="5">
                  <c:v>2.3546404374719971</c:v>
                </c:pt>
                <c:pt idx="6">
                  <c:v>2.3501189333088801</c:v>
                </c:pt>
                <c:pt idx="7">
                  <c:v>2.3453575008148384</c:v>
                </c:pt>
                <c:pt idx="8">
                  <c:v>2.3403365222183616</c:v>
                </c:pt>
                <c:pt idx="9">
                  <c:v>2.3350341810905468</c:v>
                </c:pt>
                <c:pt idx="10">
                  <c:v>2.3294261454485219</c:v>
                </c:pt>
                <c:pt idx="11">
                  <c:v>2.3234851944221315</c:v>
                </c:pt>
                <c:pt idx="12">
                  <c:v>2.3171807763990926</c:v>
                </c:pt>
                <c:pt idx="13">
                  <c:v>2.3104784835131444</c:v>
                </c:pt>
                <c:pt idx="14">
                  <c:v>2.3033394233943518</c:v>
                </c:pt>
                <c:pt idx="15">
                  <c:v>2.2957194639594856</c:v>
                </c:pt>
                <c:pt idx="16">
                  <c:v>2.2875683202663426</c:v>
                </c:pt>
                <c:pt idx="17">
                  <c:v>2.2788284435066077</c:v>
                </c:pt>
                <c:pt idx="18">
                  <c:v>2.2694336602449168</c:v>
                </c:pt>
                <c:pt idx="19">
                  <c:v>2.2593074938525337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6C-8C44-B2AD-1DCA11E38B75}"/>
            </c:ext>
          </c:extLst>
        </c:ser>
        <c:ser>
          <c:idx val="3"/>
          <c:order val="4"/>
          <c:tx>
            <c:v>ol only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diss'!$BV$75:$BV$94</c:f>
              <c:numCache>
                <c:formatCode>0.000</c:formatCode>
                <c:ptCount val="20"/>
                <c:pt idx="0">
                  <c:v>0.71600028683257755</c:v>
                </c:pt>
                <c:pt idx="1">
                  <c:v>0.71778422133949626</c:v>
                </c:pt>
                <c:pt idx="2">
                  <c:v>0.71957714291296138</c:v>
                </c:pt>
                <c:pt idx="3">
                  <c:v>0.72137911963674184</c:v>
                </c:pt>
                <c:pt idx="4">
                  <c:v>0.72319022028406166</c:v>
                </c:pt>
                <c:pt idx="5">
                  <c:v>0.72501051432634911</c:v>
                </c:pt>
                <c:pt idx="6">
                  <c:v>0.7268400719421203</c:v>
                </c:pt>
                <c:pt idx="7">
                  <c:v>0.7286789640259983</c:v>
                </c:pt>
                <c:pt idx="8">
                  <c:v>0.73052726219786912</c:v>
                </c:pt>
                <c:pt idx="9">
                  <c:v>0.73238503881218209</c:v>
                </c:pt>
                <c:pt idx="10">
                  <c:v>0.73425236696738971</c:v>
                </c:pt>
                <c:pt idx="11">
                  <c:v>0.73612932051553603</c:v>
                </c:pt>
                <c:pt idx="12">
                  <c:v>0.73801597407199315</c:v>
                </c:pt>
                <c:pt idx="13">
                  <c:v>0.73991240302534877</c:v>
                </c:pt>
                <c:pt idx="14">
                  <c:v>0.74181868354744729</c:v>
                </c:pt>
                <c:pt idx="15">
                  <c:v>0.7437348926035896</c:v>
                </c:pt>
                <c:pt idx="16">
                  <c:v>0.74566110796289053</c:v>
                </c:pt>
                <c:pt idx="17">
                  <c:v>0.7475974082088005</c:v>
                </c:pt>
                <c:pt idx="18">
                  <c:v>0.74954387274979217</c:v>
                </c:pt>
                <c:pt idx="19">
                  <c:v>0.75150058183021573</c:v>
                </c:pt>
              </c:numCache>
            </c:numRef>
          </c:xVal>
          <c:yVal>
            <c:numRef>
              <c:f>'plot selective diss'!$BO$75:$BO$94</c:f>
              <c:numCache>
                <c:formatCode>0.000</c:formatCode>
                <c:ptCount val="20"/>
                <c:pt idx="0">
                  <c:v>2.3835349020987464</c:v>
                </c:pt>
                <c:pt idx="1">
                  <c:v>2.3894863976713707</c:v>
                </c:pt>
                <c:pt idx="2">
                  <c:v>2.3954678755592402</c:v>
                </c:pt>
                <c:pt idx="3">
                  <c:v>2.4014795629008772</c:v>
                </c:pt>
                <c:pt idx="4">
                  <c:v>2.4075216891349385</c:v>
                </c:pt>
                <c:pt idx="5">
                  <c:v>2.4135944860294063</c:v>
                </c:pt>
                <c:pt idx="6">
                  <c:v>2.4196981877112194</c:v>
                </c:pt>
                <c:pt idx="7">
                  <c:v>2.4258330306963676</c:v>
                </c:pt>
                <c:pt idx="8">
                  <c:v>2.4319992539204365</c:v>
                </c:pt>
                <c:pt idx="9">
                  <c:v>2.4381970987696326</c:v>
                </c:pt>
                <c:pt idx="10">
                  <c:v>2.4444268091122789</c:v>
                </c:pt>
                <c:pt idx="11">
                  <c:v>2.4506886313308032</c:v>
                </c:pt>
                <c:pt idx="12">
                  <c:v>2.4569828143542178</c:v>
                </c:pt>
                <c:pt idx="13">
                  <c:v>2.4633096096911089</c:v>
                </c:pt>
                <c:pt idx="14">
                  <c:v>2.4696692714631361</c:v>
                </c:pt>
                <c:pt idx="15">
                  <c:v>2.4760620564390554</c:v>
                </c:pt>
                <c:pt idx="16">
                  <c:v>2.48248822406928</c:v>
                </c:pt>
                <c:pt idx="17">
                  <c:v>2.4889480365209771</c:v>
                </c:pt>
                <c:pt idx="18">
                  <c:v>2.4954417587137221</c:v>
                </c:pt>
                <c:pt idx="19">
                  <c:v>2.5019696583557165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CC6C-8C44-B2AD-1DCA11E38B75}"/>
            </c:ext>
          </c:extLst>
        </c:ser>
        <c:ser>
          <c:idx val="4"/>
          <c:order val="5"/>
          <c:tx>
            <c:v>cpx only</c:v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diss'!$BV$107:$BV$126</c:f>
              <c:numCache>
                <c:formatCode>0.000</c:formatCode>
                <c:ptCount val="20"/>
                <c:pt idx="0">
                  <c:v>0.69668042244112971</c:v>
                </c:pt>
                <c:pt idx="1">
                  <c:v>0.67826442450678048</c:v>
                </c:pt>
                <c:pt idx="2">
                  <c:v>0.65891074414299189</c:v>
                </c:pt>
                <c:pt idx="3">
                  <c:v>0.63854589491799529</c:v>
                </c:pt>
                <c:pt idx="4">
                  <c:v>0.61708850555141048</c:v>
                </c:pt>
                <c:pt idx="5">
                  <c:v>0.59444823324280016</c:v>
                </c:pt>
                <c:pt idx="6">
                  <c:v>0.57052449219120771</c:v>
                </c:pt>
                <c:pt idx="7">
                  <c:v>0.54520495956734394</c:v>
                </c:pt>
                <c:pt idx="8">
                  <c:v>0.51836381212833293</c:v>
                </c:pt>
                <c:pt idx="9">
                  <c:v>0.48985963506384056</c:v>
                </c:pt>
                <c:pt idx="10">
                  <c:v>0.4595329297234067</c:v>
                </c:pt>
                <c:pt idx="11">
                  <c:v>0.42720312749551254</c:v>
                </c:pt>
                <c:pt idx="12">
                  <c:v>0.39266499177283054</c:v>
                </c:pt>
                <c:pt idx="13">
                  <c:v>0.35568425653887314</c:v>
                </c:pt>
                <c:pt idx="14">
                  <c:v>0.31599230569313269</c:v>
                </c:pt>
                <c:pt idx="15">
                  <c:v>0.27327963760189228</c:v>
                </c:pt>
                <c:pt idx="16">
                  <c:v>0.2271877785028226</c:v>
                </c:pt>
                <c:pt idx="17">
                  <c:v>0.1772991975597184</c:v>
                </c:pt>
                <c:pt idx="18">
                  <c:v>0.12312462268430091</c:v>
                </c:pt>
                <c:pt idx="19">
                  <c:v>6.408694048331727E-2</c:v>
                </c:pt>
              </c:numCache>
            </c:numRef>
          </c:xVal>
          <c:yVal>
            <c:numRef>
              <c:f>'plot selective diss'!$BO$107:$BO$126</c:f>
              <c:numCache>
                <c:formatCode>0.000</c:formatCode>
                <c:ptCount val="20"/>
                <c:pt idx="0">
                  <c:v>2.4244276780599767</c:v>
                </c:pt>
                <c:pt idx="1">
                  <c:v>2.4735666571281616</c:v>
                </c:pt>
                <c:pt idx="2">
                  <c:v>2.5252076324192547</c:v>
                </c:pt>
                <c:pt idx="3">
                  <c:v>2.5795466860703922</c:v>
                </c:pt>
                <c:pt idx="4">
                  <c:v>2.6368009391769189</c:v>
                </c:pt>
                <c:pt idx="5">
                  <c:v>2.6972114513325351</c:v>
                </c:pt>
                <c:pt idx="6">
                  <c:v>2.7610466132910507</c:v>
                </c:pt>
                <c:pt idx="7">
                  <c:v>2.8286061334460593</c:v>
                </c:pt>
                <c:pt idx="8">
                  <c:v>2.9002257430308078</c:v>
                </c:pt>
                <c:pt idx="9">
                  <c:v>2.9762827758954473</c:v>
                </c:pt>
                <c:pt idx="10">
                  <c:v>3.0572028185802393</c:v>
                </c:pt>
                <c:pt idx="11">
                  <c:v>3.143467678112609</c:v>
                </c:pt>
                <c:pt idx="12">
                  <c:v>3.2356249825596013</c:v>
                </c:pt>
                <c:pt idx="13">
                  <c:v>3.3342998184857122</c:v>
                </c:pt>
                <c:pt idx="14">
                  <c:v>3.4402089279859016</c:v>
                </c:pt>
                <c:pt idx="15">
                  <c:v>3.5541781470726952</c:v>
                </c:pt>
                <c:pt idx="16">
                  <c:v>3.6771639829506659</c:v>
                </c:pt>
                <c:pt idx="17">
                  <c:v>3.8102805234413757</c:v>
                </c:pt>
                <c:pt idx="18">
                  <c:v>3.9548332818811276</c:v>
                </c:pt>
                <c:pt idx="19">
                  <c:v>4.1123621565177437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CC6C-8C44-B2AD-1DCA11E38B75}"/>
            </c:ext>
          </c:extLst>
        </c:ser>
        <c:ser>
          <c:idx val="6"/>
          <c:order val="6"/>
          <c:tx>
            <c:v>plag only</c:v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diss'!$BV$139:$BV$158</c:f>
              <c:numCache>
                <c:formatCode>0.000</c:formatCode>
                <c:ptCount val="20"/>
                <c:pt idx="0">
                  <c:v>0.73075671937995923</c:v>
                </c:pt>
                <c:pt idx="1">
                  <c:v>0.74807157273812086</c:v>
                </c:pt>
                <c:pt idx="2">
                  <c:v>0.76622687059805084</c:v>
                </c:pt>
                <c:pt idx="3">
                  <c:v>0.78528532640013726</c:v>
                </c:pt>
                <c:pt idx="4">
                  <c:v>0.80531605225638347</c:v>
                </c:pt>
                <c:pt idx="5">
                  <c:v>0.8263953963843601</c:v>
                </c:pt>
                <c:pt idx="6">
                  <c:v>0.84860791559649273</c:v>
                </c:pt>
                <c:pt idx="7">
                  <c:v>0.87204750895744143</c:v>
                </c:pt>
                <c:pt idx="8">
                  <c:v>0.89681874465637534</c:v>
                </c:pt>
                <c:pt idx="9">
                  <c:v>0.92303841963637723</c:v>
                </c:pt>
                <c:pt idx="10">
                  <c:v>0.95083740105030945</c:v>
                </c:pt>
                <c:pt idx="11">
                  <c:v>0.98036281080208754</c:v>
                </c:pt>
                <c:pt idx="12">
                  <c:v>1.0117806301376848</c:v>
                </c:pt>
                <c:pt idx="13">
                  <c:v>1.0452788216353792</c:v>
                </c:pt>
                <c:pt idx="14">
                  <c:v>1.0810710926121578</c:v>
                </c:pt>
                <c:pt idx="15">
                  <c:v>1.1194014591402628</c:v>
                </c:pt>
                <c:pt idx="16">
                  <c:v>1.1605498166826753</c:v>
                </c:pt>
                <c:pt idx="17">
                  <c:v>1.2048387862500922</c:v>
                </c:pt>
                <c:pt idx="18">
                  <c:v>1.2526421903341594</c:v>
                </c:pt>
                <c:pt idx="19">
                  <c:v>1.3043956299612136</c:v>
                </c:pt>
              </c:numCache>
            </c:numRef>
          </c:xVal>
          <c:yVal>
            <c:numRef>
              <c:f>'plot selective diss'!$BO$139:$BO$158</c:f>
              <c:numCache>
                <c:formatCode>0.000</c:formatCode>
                <c:ptCount val="20"/>
                <c:pt idx="0">
                  <c:v>2.3218226466759138</c:v>
                </c:pt>
                <c:pt idx="1">
                  <c:v>2.2633882819789313</c:v>
                </c:pt>
                <c:pt idx="2">
                  <c:v>2.2021175755868723</c:v>
                </c:pt>
                <c:pt idx="3">
                  <c:v>2.1377988814654754</c:v>
                </c:pt>
                <c:pt idx="4">
                  <c:v>2.0701989592704981</c:v>
                </c:pt>
                <c:pt idx="5">
                  <c:v>1.9990601481660553</c:v>
                </c:pt>
                <c:pt idx="6">
                  <c:v>1.924097084856677</c:v>
                </c:pt>
                <c:pt idx="7">
                  <c:v>1.844992877707442</c:v>
                </c:pt>
                <c:pt idx="8">
                  <c:v>1.7613946288002902</c:v>
                </c:pt>
                <c:pt idx="9">
                  <c:v>1.6729081704789106</c:v>
                </c:pt>
                <c:pt idx="10">
                  <c:v>1.5790918507824654</c:v>
                </c:pt>
                <c:pt idx="11">
                  <c:v>1.4794491610307792</c:v>
                </c:pt>
                <c:pt idx="12">
                  <c:v>1.3734199458208898</c:v>
                </c:pt>
                <c:pt idx="13">
                  <c:v>1.2603698668987402</c:v>
                </c:pt>
                <c:pt idx="14">
                  <c:v>1.1395777023722966</c:v>
                </c:pt>
                <c:pt idx="15">
                  <c:v>1.0102199440164334</c:v>
                </c:pt>
                <c:pt idx="16">
                  <c:v>0.87135199742872704</c:v>
                </c:pt>
                <c:pt idx="17">
                  <c:v>0.72188507754077313</c:v>
                </c:pt>
                <c:pt idx="18">
                  <c:v>0.56055760394199117</c:v>
                </c:pt>
                <c:pt idx="19">
                  <c:v>0.38589950531795308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C6C-8C44-B2AD-1DCA11E38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Na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Physical mixing &amp;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Phys mix only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'two-endmember mixing'!$U$13:$U$34</c:f>
              <c:numCache>
                <c:formatCode>0.000</c:formatCode>
                <c:ptCount val="22"/>
                <c:pt idx="0">
                  <c:v>0.55738749899999995</c:v>
                </c:pt>
                <c:pt idx="1">
                  <c:v>0.53665929359413911</c:v>
                </c:pt>
                <c:pt idx="2">
                  <c:v>0.51593108818827826</c:v>
                </c:pt>
                <c:pt idx="3">
                  <c:v>0.49520288278241725</c:v>
                </c:pt>
                <c:pt idx="4">
                  <c:v>0.47447467737655641</c:v>
                </c:pt>
                <c:pt idx="5">
                  <c:v>0.45374647197069551</c:v>
                </c:pt>
                <c:pt idx="6">
                  <c:v>0.43301826656483472</c:v>
                </c:pt>
                <c:pt idx="7">
                  <c:v>0.41229006115897376</c:v>
                </c:pt>
                <c:pt idx="8">
                  <c:v>0.39156185575311292</c:v>
                </c:pt>
                <c:pt idx="9">
                  <c:v>0.37083365034725202</c:v>
                </c:pt>
                <c:pt idx="10">
                  <c:v>0.35010544494139112</c:v>
                </c:pt>
                <c:pt idx="11">
                  <c:v>0.32937723953553028</c:v>
                </c:pt>
                <c:pt idx="12">
                  <c:v>0.30864903412966938</c:v>
                </c:pt>
                <c:pt idx="13">
                  <c:v>0.28792082872380842</c:v>
                </c:pt>
                <c:pt idx="14">
                  <c:v>0.26719262331794758</c:v>
                </c:pt>
                <c:pt idx="15">
                  <c:v>0.24646441791208668</c:v>
                </c:pt>
                <c:pt idx="16">
                  <c:v>0.2257362125062258</c:v>
                </c:pt>
                <c:pt idx="17">
                  <c:v>0.20500800710036493</c:v>
                </c:pt>
                <c:pt idx="18">
                  <c:v>0.184279801694504</c:v>
                </c:pt>
                <c:pt idx="19">
                  <c:v>0.16355159628864316</c:v>
                </c:pt>
                <c:pt idx="20">
                  <c:v>0.14282339088278223</c:v>
                </c:pt>
                <c:pt idx="21">
                  <c:v>0.12209518547692136</c:v>
                </c:pt>
              </c:numCache>
            </c:numRef>
          </c:xVal>
          <c:yVal>
            <c:numRef>
              <c:f>'two-endmember mixing'!$O$13:$O$34</c:f>
              <c:numCache>
                <c:formatCode>0.000</c:formatCode>
                <c:ptCount val="22"/>
                <c:pt idx="0">
                  <c:v>3.6604278939999997</c:v>
                </c:pt>
                <c:pt idx="1">
                  <c:v>3.4913598990476191</c:v>
                </c:pt>
                <c:pt idx="2">
                  <c:v>3.3222919040952386</c:v>
                </c:pt>
                <c:pt idx="3">
                  <c:v>3.1532239091428571</c:v>
                </c:pt>
                <c:pt idx="4">
                  <c:v>2.9841559141904761</c:v>
                </c:pt>
                <c:pt idx="5">
                  <c:v>2.8150879192380955</c:v>
                </c:pt>
                <c:pt idx="6">
                  <c:v>2.646019924285715</c:v>
                </c:pt>
                <c:pt idx="7">
                  <c:v>2.4769519293333335</c:v>
                </c:pt>
                <c:pt idx="8">
                  <c:v>2.3078839343809525</c:v>
                </c:pt>
                <c:pt idx="9">
                  <c:v>2.138815939428572</c:v>
                </c:pt>
                <c:pt idx="10">
                  <c:v>1.9697479444761907</c:v>
                </c:pt>
                <c:pt idx="11">
                  <c:v>1.8006799495238102</c:v>
                </c:pt>
                <c:pt idx="12">
                  <c:v>1.6316119545714298</c:v>
                </c:pt>
                <c:pt idx="13">
                  <c:v>1.4625439596190484</c:v>
                </c:pt>
                <c:pt idx="14">
                  <c:v>1.2934759646666674</c:v>
                </c:pt>
                <c:pt idx="15">
                  <c:v>1.1244079697142864</c:v>
                </c:pt>
                <c:pt idx="16">
                  <c:v>0.9553399747619058</c:v>
                </c:pt>
                <c:pt idx="17">
                  <c:v>0.7862719798095249</c:v>
                </c:pt>
                <c:pt idx="18">
                  <c:v>0.61720398485714389</c:v>
                </c:pt>
                <c:pt idx="19">
                  <c:v>0.44813598990476305</c:v>
                </c:pt>
                <c:pt idx="20">
                  <c:v>0.27906799495238194</c:v>
                </c:pt>
                <c:pt idx="21">
                  <c:v>0.11000000000000118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7-4D42-A80B-5596C3875521}"/>
            </c:ext>
          </c:extLst>
        </c:ser>
        <c:ser>
          <c:idx val="3"/>
          <c:order val="1"/>
          <c:tx>
            <c:v>Congruent weath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mixing'!$BV$13:$BV$33</c:f>
              <c:numCache>
                <c:formatCode>0.000</c:formatCode>
                <c:ptCount val="21"/>
                <c:pt idx="0">
                  <c:v>0.33974134223846059</c:v>
                </c:pt>
                <c:pt idx="1">
                  <c:v>0.33416067155226725</c:v>
                </c:pt>
                <c:pt idx="2">
                  <c:v>0.32828628135627436</c:v>
                </c:pt>
                <c:pt idx="3">
                  <c:v>0.3220943565550925</c:v>
                </c:pt>
                <c:pt idx="4">
                  <c:v>0.31555843593162286</c:v>
                </c:pt>
                <c:pt idx="5">
                  <c:v>0.30864903412966926</c:v>
                </c:pt>
                <c:pt idx="6">
                  <c:v>0.30133319692760069</c:v>
                </c:pt>
                <c:pt idx="7">
                  <c:v>0.29357397565267951</c:v>
                </c:pt>
                <c:pt idx="8">
                  <c:v>0.28532980304807576</c:v>
                </c:pt>
                <c:pt idx="9">
                  <c:v>0.27655374833994911</c:v>
                </c:pt>
                <c:pt idx="10">
                  <c:v>0.26719262331794752</c:v>
                </c:pt>
                <c:pt idx="11">
                  <c:v>0.25718590346684217</c:v>
                </c:pt>
                <c:pt idx="12">
                  <c:v>0.24646441791208659</c:v>
                </c:pt>
                <c:pt idx="13">
                  <c:v>0.23494874824216383</c:v>
                </c:pt>
                <c:pt idx="14">
                  <c:v>0.22254725782840093</c:v>
                </c:pt>
                <c:pt idx="15">
                  <c:v>0.20915364818153689</c:v>
                </c:pt>
                <c:pt idx="16">
                  <c:v>0.19464390439743429</c:v>
                </c:pt>
                <c:pt idx="17">
                  <c:v>0.17887244376254008</c:v>
                </c:pt>
                <c:pt idx="18">
                  <c:v>0.16166721397901918</c:v>
                </c:pt>
                <c:pt idx="19">
                  <c:v>0.14282339088278195</c:v>
                </c:pt>
                <c:pt idx="20">
                  <c:v>0.12209518547692116</c:v>
                </c:pt>
              </c:numCache>
            </c:numRef>
          </c:xVal>
          <c:yVal>
            <c:numRef>
              <c:f>'two-endmember mixing'!$BP$13:$BP$33</c:f>
              <c:numCache>
                <c:formatCode>0.000</c:formatCode>
                <c:ptCount val="21"/>
                <c:pt idx="0">
                  <c:v>1.8852139469999998</c:v>
                </c:pt>
                <c:pt idx="1">
                  <c:v>1.8396956406666669</c:v>
                </c:pt>
                <c:pt idx="2">
                  <c:v>1.7917816340000003</c:v>
                </c:pt>
                <c:pt idx="3">
                  <c:v>1.741277681027027</c:v>
                </c:pt>
                <c:pt idx="4">
                  <c:v>1.6879679528888889</c:v>
                </c:pt>
                <c:pt idx="5">
                  <c:v>1.6316119545714287</c:v>
                </c:pt>
                <c:pt idx="6">
                  <c:v>1.571940897529412</c:v>
                </c:pt>
                <c:pt idx="7">
                  <c:v>1.508653412787879</c:v>
                </c:pt>
                <c:pt idx="8">
                  <c:v>1.4414104602500002</c:v>
                </c:pt>
                <c:pt idx="9">
                  <c:v>1.3698292527096776</c:v>
                </c:pt>
                <c:pt idx="10">
                  <c:v>1.2934759646666669</c:v>
                </c:pt>
                <c:pt idx="11">
                  <c:v>1.2118569326206898</c:v>
                </c:pt>
                <c:pt idx="12">
                  <c:v>1.1244079697142859</c:v>
                </c:pt>
                <c:pt idx="13">
                  <c:v>1.0304813058518518</c:v>
                </c:pt>
                <c:pt idx="14">
                  <c:v>0.92932951400000008</c:v>
                </c:pt>
                <c:pt idx="15">
                  <c:v>0.82008557879999966</c:v>
                </c:pt>
                <c:pt idx="16">
                  <c:v>0.70173798233333318</c:v>
                </c:pt>
                <c:pt idx="17">
                  <c:v>0.57309929052173858</c:v>
                </c:pt>
                <c:pt idx="18">
                  <c:v>0.4327661721818174</c:v>
                </c:pt>
                <c:pt idx="19">
                  <c:v>0.27906799495238038</c:v>
                </c:pt>
                <c:pt idx="20">
                  <c:v>0.11000000000000038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2-894F-BA50-A1391AE8DBEE}"/>
            </c:ext>
          </c:extLst>
        </c:ser>
        <c:ser>
          <c:idx val="5"/>
          <c:order val="2"/>
          <c:tx>
            <c:v>Incongruent weath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'two-endmember mixing'!$BP$43:$BP$62</c:f>
              <c:numCache>
                <c:formatCode>0.000</c:formatCode>
                <c:ptCount val="20"/>
                <c:pt idx="0">
                  <c:v>4.3803060498698665</c:v>
                </c:pt>
                <c:pt idx="1">
                  <c:v>4.452312973697846</c:v>
                </c:pt>
                <c:pt idx="2">
                  <c:v>4.5276933411329701</c:v>
                </c:pt>
                <c:pt idx="3">
                  <c:v>4.6066899015156055</c:v>
                </c:pt>
                <c:pt idx="4">
                  <c:v>4.6895692672106302</c:v>
                </c:pt>
                <c:pt idx="5">
                  <c:v>4.7766249197487838</c:v>
                </c:pt>
                <c:pt idx="6">
                  <c:v>4.8681806821514026</c:v>
                </c:pt>
                <c:pt idx="7">
                  <c:v>4.9645947440197142</c:v>
                </c:pt>
                <c:pt idx="8">
                  <c:v>5.066264344848042</c:v>
                </c:pt>
                <c:pt idx="9">
                  <c:v>5.1736312446589352</c:v>
                </c:pt>
                <c:pt idx="10">
                  <c:v>5.2871881408296852</c:v>
                </c:pt>
                <c:pt idx="11">
                  <c:v>5.4074862277041511</c:v>
                </c:pt>
                <c:pt idx="12">
                  <c:v>5.5351441436942697</c:v>
                </c:pt>
                <c:pt idx="13">
                  <c:v>5.6708586123492388</c:v>
                </c:pt>
                <c:pt idx="14">
                  <c:v>5.8154171637591912</c:v>
                </c:pt>
                <c:pt idx="15">
                  <c:v>5.9697134267654679</c:v>
                </c:pt>
                <c:pt idx="16">
                  <c:v>6.1347656192121072</c:v>
                </c:pt>
                <c:pt idx="17">
                  <c:v>6.311739044686286</c:v>
                </c:pt>
                <c:pt idx="18">
                  <c:v>6.5019736465136955</c:v>
                </c:pt>
                <c:pt idx="19">
                  <c:v>6.7070179969829811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A-9A4F-AA0A-E81FDD7977FB}"/>
            </c:ext>
          </c:extLst>
        </c:ser>
        <c:ser>
          <c:idx val="1"/>
          <c:order val="3"/>
          <c:tx>
            <c:v>H9 basalt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8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mixing'!$D$18</c:f>
              <c:numCache>
                <c:formatCode>0.000</c:formatCode>
                <c:ptCount val="1"/>
                <c:pt idx="0">
                  <c:v>0.55738749899999995</c:v>
                </c:pt>
              </c:numCache>
            </c:numRef>
          </c:xVal>
          <c:yVal>
            <c:numRef>
              <c:f>'two-endmember mixing'!$D$13</c:f>
              <c:numCache>
                <c:formatCode>0.000</c:formatCode>
                <c:ptCount val="1"/>
                <c:pt idx="0">
                  <c:v>3.6604278940000001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37-4D42-A80B-5596C3875521}"/>
            </c:ext>
          </c:extLst>
        </c:ser>
        <c:ser>
          <c:idx val="2"/>
          <c:order val="4"/>
          <c:tx>
            <c:v>P6-A LFGL soil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8"/>
            <c:spPr>
              <a:noFill/>
              <a:ln w="34925" cap="flat" cmpd="dbl" algn="ctr">
                <a:solidFill>
                  <a:schemeClr val="accent6"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'two-endmember mixing'!$G$13</c:f>
              <c:numCache>
                <c:formatCode>0.000</c:formatCode>
                <c:ptCount val="1"/>
                <c:pt idx="0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7-4D42-A80B-5596C3875521}"/>
            </c:ext>
          </c:extLst>
        </c:ser>
        <c:ser>
          <c:idx val="4"/>
          <c:order val="5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'Morgan-Pompa solid data'!$O$35:$O$50</c:f>
              <c:numCache>
                <c:formatCode>0.000</c:formatCode>
                <c:ptCount val="16"/>
                <c:pt idx="0">
                  <c:v>0.55739447818193211</c:v>
                </c:pt>
                <c:pt idx="1">
                  <c:v>0.59335541225818567</c:v>
                </c:pt>
                <c:pt idx="2">
                  <c:v>0.62931634633443934</c:v>
                </c:pt>
                <c:pt idx="3">
                  <c:v>0.52143354410567833</c:v>
                </c:pt>
                <c:pt idx="4">
                  <c:v>0.59335541225818567</c:v>
                </c:pt>
                <c:pt idx="5">
                  <c:v>0.59335541225818567</c:v>
                </c:pt>
                <c:pt idx="6">
                  <c:v>0.61732936830902141</c:v>
                </c:pt>
                <c:pt idx="7">
                  <c:v>1.006906154135103</c:v>
                </c:pt>
                <c:pt idx="8">
                  <c:v>0.5633879671946409</c:v>
                </c:pt>
                <c:pt idx="9">
                  <c:v>0.50345307706755149</c:v>
                </c:pt>
                <c:pt idx="10">
                  <c:v>0.54540750015651418</c:v>
                </c:pt>
                <c:pt idx="11">
                  <c:v>0.54540750015651418</c:v>
                </c:pt>
                <c:pt idx="12">
                  <c:v>0.59934890127089469</c:v>
                </c:pt>
                <c:pt idx="13">
                  <c:v>0.65329030238527519</c:v>
                </c:pt>
                <c:pt idx="14">
                  <c:v>0.58136843423276774</c:v>
                </c:pt>
                <c:pt idx="15">
                  <c:v>0.88703637388092405</c:v>
                </c:pt>
              </c:numCache>
            </c:numRef>
          </c:xVal>
          <c:yVal>
            <c:numRef>
              <c:f>'Morgan-Pompa solid data'!$I$35:$I$50</c:f>
              <c:numCache>
                <c:formatCode>0.000</c:formatCode>
                <c:ptCount val="16"/>
                <c:pt idx="0">
                  <c:v>2.683536373560937</c:v>
                </c:pt>
                <c:pt idx="1">
                  <c:v>2.7016276300119095</c:v>
                </c:pt>
                <c:pt idx="2">
                  <c:v>2.991087733227471</c:v>
                </c:pt>
                <c:pt idx="3">
                  <c:v>2.6352930230250102</c:v>
                </c:pt>
                <c:pt idx="4">
                  <c:v>2.9488748015085346</c:v>
                </c:pt>
                <c:pt idx="5">
                  <c:v>2.7920839122667727</c:v>
                </c:pt>
                <c:pt idx="6">
                  <c:v>2.9669660579595076</c:v>
                </c:pt>
                <c:pt idx="7">
                  <c:v>5.523863636363636</c:v>
                </c:pt>
                <c:pt idx="8">
                  <c:v>2.7197188864628816</c:v>
                </c:pt>
                <c:pt idx="9">
                  <c:v>2.5026238090512103</c:v>
                </c:pt>
                <c:pt idx="10">
                  <c:v>2.6352930230250102</c:v>
                </c:pt>
                <c:pt idx="11">
                  <c:v>2.6533842794759828</c:v>
                </c:pt>
                <c:pt idx="12">
                  <c:v>2.8282664251687182</c:v>
                </c:pt>
                <c:pt idx="13">
                  <c:v>3.1539090412862252</c:v>
                </c:pt>
                <c:pt idx="14">
                  <c:v>2.8041447499007548</c:v>
                </c:pt>
                <c:pt idx="15">
                  <c:v>4.866547985311632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28-EF42-B161-173CD6A32A5D}"/>
            </c:ext>
          </c:extLst>
        </c:ser>
        <c:ser>
          <c:idx val="6"/>
          <c:order val="6"/>
          <c:tx>
            <c:v>Ave EXPT</c:v>
          </c:tx>
          <c:spPr>
            <a:ln w="63500" cap="flat" cmpd="dbl" algn="ctr">
              <a:noFill/>
              <a:round/>
            </a:ln>
            <a:effectLst/>
          </c:spPr>
          <c:marker>
            <c:symbol val="plus"/>
            <c:size val="40"/>
            <c:spPr>
              <a:noFill/>
              <a:ln w="63500" cap="flat" cmpd="dbl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'two-endmember mixing'!$D$39</c:f>
              <c:numCache>
                <c:formatCode>0.000</c:formatCode>
                <c:ptCount val="1"/>
                <c:pt idx="0">
                  <c:v>0.5783716897264134</c:v>
                </c:pt>
              </c:numCache>
            </c:numRef>
          </c:xVal>
          <c:yVal>
            <c:numRef>
              <c:f>'two-endmember mixing'!$D$34</c:f>
              <c:numCache>
                <c:formatCode>0.000</c:formatCode>
                <c:ptCount val="1"/>
                <c:pt idx="0">
                  <c:v>2.7869149818522092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8A-9A4F-AA0A-E81FDD797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Mg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 i="0" u="none" strike="noStrike" kern="1200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Phase selective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H9 basalt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18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diss'!$H$55</c:f>
              <c:numCache>
                <c:formatCode>0.00</c:formatCode>
                <c:ptCount val="1"/>
                <c:pt idx="0">
                  <c:v>0.71422586411936051</c:v>
                </c:pt>
              </c:numCache>
            </c:numRef>
          </c:xVal>
          <c:yVal>
            <c:numRef>
              <c:f>'plot selective diss'!$H$57</c:f>
              <c:numCache>
                <c:formatCode>0.00</c:formatCode>
                <c:ptCount val="1"/>
                <c:pt idx="0">
                  <c:v>0.52868554271518309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17-8C41-909A-71B8FDF86823}"/>
            </c:ext>
          </c:extLst>
        </c:ser>
        <c:ser>
          <c:idx val="2"/>
          <c:order val="1"/>
          <c:tx>
            <c:v>P6-A LFGL soil</c:v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18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'plot selective diss'!$G$20</c:f>
              <c:numCache>
                <c:formatCode>0.000</c:formatCode>
                <c:ptCount val="1"/>
                <c:pt idx="0">
                  <c:v>0.37959999999999999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17-8C41-909A-71B8FDF86823}"/>
            </c:ext>
          </c:extLst>
        </c:ser>
        <c:ser>
          <c:idx val="0"/>
          <c:order val="2"/>
          <c:tx>
            <c:v>Control 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data'!$O$42,'Morgan-Pompa solid data'!$O$50)</c:f>
              <c:numCache>
                <c:formatCode>0.000</c:formatCode>
                <c:ptCount val="2"/>
                <c:pt idx="0">
                  <c:v>1.006906154135103</c:v>
                </c:pt>
                <c:pt idx="1">
                  <c:v>0.88703637388092405</c:v>
                </c:pt>
              </c:numCache>
            </c:numRef>
          </c:xVal>
          <c:yVal>
            <c:numRef>
              <c:f>('Morgan-Pompa solid data'!$H$42,'Morgan-Pompa solid data'!$H$50)</c:f>
              <c:numCache>
                <c:formatCode>0.000</c:formatCode>
                <c:ptCount val="2"/>
                <c:pt idx="0">
                  <c:v>0.41507511014385057</c:v>
                </c:pt>
                <c:pt idx="1">
                  <c:v>0.48148712776686658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17-8C41-909A-71B8FDF86823}"/>
            </c:ext>
          </c:extLst>
        </c:ser>
        <c:ser>
          <c:idx val="5"/>
          <c:order val="3"/>
          <c:tx>
            <c:v>All phases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'plot selective diss'!$BQ$43:$BQ$62</c:f>
              <c:numCache>
                <c:formatCode>0.000</c:formatCode>
                <c:ptCount val="20"/>
                <c:pt idx="0">
                  <c:v>0.52433056778504694</c:v>
                </c:pt>
                <c:pt idx="1">
                  <c:v>0.5197763928745841</c:v>
                </c:pt>
                <c:pt idx="2">
                  <c:v>0.51500885997823898</c:v>
                </c:pt>
                <c:pt idx="3">
                  <c:v>0.51001261608693038</c:v>
                </c:pt>
                <c:pt idx="4">
                  <c:v>0.50477079894244214</c:v>
                </c:pt>
                <c:pt idx="5">
                  <c:v>0.4992648469099632</c:v>
                </c:pt>
                <c:pt idx="6">
                  <c:v>0.49347427936623095</c:v>
                </c:pt>
                <c:pt idx="7">
                  <c:v>0.4873764421273365</c:v>
                </c:pt>
                <c:pt idx="8">
                  <c:v>0.4809462112462719</c:v>
                </c:pt>
                <c:pt idx="9">
                  <c:v>0.47415564701523971</c:v>
                </c:pt>
                <c:pt idx="10">
                  <c:v>0.46697358812481521</c:v>
                </c:pt>
                <c:pt idx="11">
                  <c:v>0.45936517354611195</c:v>
                </c:pt>
                <c:pt idx="12">
                  <c:v>0.45129127665929247</c:v>
                </c:pt>
                <c:pt idx="13">
                  <c:v>0.44270783224481092</c:v>
                </c:pt>
                <c:pt idx="14">
                  <c:v>0.43356503190109957</c:v>
                </c:pt>
                <c:pt idx="15">
                  <c:v>0.42380635686812551</c:v>
                </c:pt>
                <c:pt idx="16">
                  <c:v>0.41336740858652582</c:v>
                </c:pt>
                <c:pt idx="17">
                  <c:v>0.40217448586094762</c:v>
                </c:pt>
                <c:pt idx="18">
                  <c:v>0.3901428421704885</c:v>
                </c:pt>
                <c:pt idx="19">
                  <c:v>0.3771745359744042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17-8C41-909A-71B8FDF86823}"/>
            </c:ext>
          </c:extLst>
        </c:ser>
        <c:ser>
          <c:idx val="3"/>
          <c:order val="4"/>
          <c:tx>
            <c:v>ol only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diss'!$BV$75:$BV$94</c:f>
              <c:numCache>
                <c:formatCode>0.000</c:formatCode>
                <c:ptCount val="20"/>
                <c:pt idx="0">
                  <c:v>0.71600028683257755</c:v>
                </c:pt>
                <c:pt idx="1">
                  <c:v>0.71778422133949626</c:v>
                </c:pt>
                <c:pt idx="2">
                  <c:v>0.71957714291296138</c:v>
                </c:pt>
                <c:pt idx="3">
                  <c:v>0.72137911963674184</c:v>
                </c:pt>
                <c:pt idx="4">
                  <c:v>0.72319022028406166</c:v>
                </c:pt>
                <c:pt idx="5">
                  <c:v>0.72501051432634911</c:v>
                </c:pt>
                <c:pt idx="6">
                  <c:v>0.7268400719421203</c:v>
                </c:pt>
                <c:pt idx="7">
                  <c:v>0.7286789640259983</c:v>
                </c:pt>
                <c:pt idx="8">
                  <c:v>0.73052726219786912</c:v>
                </c:pt>
                <c:pt idx="9">
                  <c:v>0.73238503881218209</c:v>
                </c:pt>
                <c:pt idx="10">
                  <c:v>0.73425236696738971</c:v>
                </c:pt>
                <c:pt idx="11">
                  <c:v>0.73612932051553603</c:v>
                </c:pt>
                <c:pt idx="12">
                  <c:v>0.73801597407199315</c:v>
                </c:pt>
                <c:pt idx="13">
                  <c:v>0.73991240302534877</c:v>
                </c:pt>
                <c:pt idx="14">
                  <c:v>0.74181868354744729</c:v>
                </c:pt>
                <c:pt idx="15">
                  <c:v>0.7437348926035896</c:v>
                </c:pt>
                <c:pt idx="16">
                  <c:v>0.74566110796289053</c:v>
                </c:pt>
                <c:pt idx="17">
                  <c:v>0.7475974082088005</c:v>
                </c:pt>
                <c:pt idx="18">
                  <c:v>0.74954387274979217</c:v>
                </c:pt>
                <c:pt idx="19">
                  <c:v>0.75150058183021573</c:v>
                </c:pt>
              </c:numCache>
            </c:numRef>
          </c:xVal>
          <c:yVal>
            <c:numRef>
              <c:f>'plot selective diss'!$BQ$75:$BQ$94</c:f>
              <c:numCache>
                <c:formatCode>0.000</c:formatCode>
                <c:ptCount val="20"/>
                <c:pt idx="0">
                  <c:v>0.52998961260156718</c:v>
                </c:pt>
                <c:pt idx="1">
                  <c:v>0.53130038543093794</c:v>
                </c:pt>
                <c:pt idx="2">
                  <c:v>0.53261776164322394</c:v>
                </c:pt>
                <c:pt idx="3">
                  <c:v>0.53394179126400299</c:v>
                </c:pt>
                <c:pt idx="4">
                  <c:v>0.53527252482544019</c:v>
                </c:pt>
                <c:pt idx="5">
                  <c:v>0.5366100133727173</c:v>
                </c:pt>
                <c:pt idx="6">
                  <c:v>0.53795430847055892</c:v>
                </c:pt>
                <c:pt idx="7">
                  <c:v>0.53930546220986053</c:v>
                </c:pt>
                <c:pt idx="8">
                  <c:v>0.54066352721441546</c:v>
                </c:pt>
                <c:pt idx="9">
                  <c:v>0.54202855664774818</c:v>
                </c:pt>
                <c:pt idx="10">
                  <c:v>0.5434006042200511</c:v>
                </c:pt>
                <c:pt idx="11">
                  <c:v>0.54477972419522946</c:v>
                </c:pt>
                <c:pt idx="12">
                  <c:v>0.54616597139805501</c:v>
                </c:pt>
                <c:pt idx="13">
                  <c:v>0.54755940122143132</c:v>
                </c:pt>
                <c:pt idx="14">
                  <c:v>0.54896006963377197</c:v>
                </c:pt>
                <c:pt idx="15">
                  <c:v>0.55036803318649463</c:v>
                </c:pt>
                <c:pt idx="16">
                  <c:v>0.55178334902163106</c:v>
                </c:pt>
                <c:pt idx="17">
                  <c:v>0.55320607487955886</c:v>
                </c:pt>
                <c:pt idx="18">
                  <c:v>0.55463626910685282</c:v>
                </c:pt>
                <c:pt idx="19">
                  <c:v>0.55607399066426166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17-8C41-909A-71B8FDF86823}"/>
            </c:ext>
          </c:extLst>
        </c:ser>
        <c:ser>
          <c:idx val="4"/>
          <c:order val="5"/>
          <c:tx>
            <c:v>cpx only</c:v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diss'!$BV$107:$BV$126</c:f>
              <c:numCache>
                <c:formatCode>0.000</c:formatCode>
                <c:ptCount val="20"/>
                <c:pt idx="0">
                  <c:v>0.69668042244112971</c:v>
                </c:pt>
                <c:pt idx="1">
                  <c:v>0.67826442450678048</c:v>
                </c:pt>
                <c:pt idx="2">
                  <c:v>0.65891074414299189</c:v>
                </c:pt>
                <c:pt idx="3">
                  <c:v>0.63854589491799529</c:v>
                </c:pt>
                <c:pt idx="4">
                  <c:v>0.61708850555141048</c:v>
                </c:pt>
                <c:pt idx="5">
                  <c:v>0.59444823324280016</c:v>
                </c:pt>
                <c:pt idx="6">
                  <c:v>0.57052449219120771</c:v>
                </c:pt>
                <c:pt idx="7">
                  <c:v>0.54520495956734394</c:v>
                </c:pt>
                <c:pt idx="8">
                  <c:v>0.51836381212833293</c:v>
                </c:pt>
                <c:pt idx="9">
                  <c:v>0.48985963506384056</c:v>
                </c:pt>
                <c:pt idx="10">
                  <c:v>0.4595329297234067</c:v>
                </c:pt>
                <c:pt idx="11">
                  <c:v>0.42720312749551254</c:v>
                </c:pt>
                <c:pt idx="12">
                  <c:v>0.39266499177283054</c:v>
                </c:pt>
                <c:pt idx="13">
                  <c:v>0.35568425653887314</c:v>
                </c:pt>
                <c:pt idx="14">
                  <c:v>0.31599230569313269</c:v>
                </c:pt>
                <c:pt idx="15">
                  <c:v>0.27327963760189228</c:v>
                </c:pt>
                <c:pt idx="16">
                  <c:v>0.2271877785028226</c:v>
                </c:pt>
                <c:pt idx="17">
                  <c:v>0.1772991975597184</c:v>
                </c:pt>
                <c:pt idx="18">
                  <c:v>0.12312462268430091</c:v>
                </c:pt>
                <c:pt idx="19">
                  <c:v>6.408694048331727E-2</c:v>
                </c:pt>
              </c:numCache>
            </c:numRef>
          </c:xVal>
          <c:yVal>
            <c:numRef>
              <c:f>'plot selective diss'!$BQ$107:$BQ$126</c:f>
              <c:numCache>
                <c:formatCode>0.000</c:formatCode>
                <c:ptCount val="20"/>
                <c:pt idx="0">
                  <c:v>0.54139219948495199</c:v>
                </c:pt>
                <c:pt idx="1">
                  <c:v>0.55472993200518317</c:v>
                </c:pt>
                <c:pt idx="2">
                  <c:v>0.5687467782762613</c:v>
                </c:pt>
                <c:pt idx="3">
                  <c:v>0.58349596063098019</c:v>
                </c:pt>
                <c:pt idx="4">
                  <c:v>0.59903641198062763</c:v>
                </c:pt>
                <c:pt idx="5">
                  <c:v>0.61543356283359418</c:v>
                </c:pt>
                <c:pt idx="6">
                  <c:v>0.63276026216137038</c:v>
                </c:pt>
                <c:pt idx="7">
                  <c:v>0.65109785944381138</c:v>
                </c:pt>
                <c:pt idx="8">
                  <c:v>0.67053748179573858</c:v>
                </c:pt>
                <c:pt idx="9">
                  <c:v>0.69118154847900026</c:v>
                </c:pt>
                <c:pt idx="10">
                  <c:v>0.71314557592364525</c:v>
                </c:pt>
                <c:pt idx="11">
                  <c:v>0.73656034041725715</c:v>
                </c:pt>
                <c:pt idx="12">
                  <c:v>0.76157448397107252</c:v>
                </c:pt>
                <c:pt idx="13">
                  <c:v>0.78835767306081661</c:v>
                </c:pt>
                <c:pt idx="14">
                  <c:v>0.81710445210987492</c:v>
                </c:pt>
                <c:pt idx="15">
                  <c:v>0.8480389767692097</c:v>
                </c:pt>
                <c:pt idx="16">
                  <c:v>0.88142087061037577</c:v>
                </c:pt>
                <c:pt idx="17">
                  <c:v>0.91755252911756624</c:v>
                </c:pt>
                <c:pt idx="18">
                  <c:v>0.95678830616648969</c:v>
                </c:pt>
                <c:pt idx="19">
                  <c:v>0.99954617444048843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17-8C41-909A-71B8FDF86823}"/>
            </c:ext>
          </c:extLst>
        </c:ser>
        <c:ser>
          <c:idx val="6"/>
          <c:order val="6"/>
          <c:tx>
            <c:v>plag only</c:v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diss'!$BV$139:$BV$158</c:f>
              <c:numCache>
                <c:formatCode>0.000</c:formatCode>
                <c:ptCount val="20"/>
                <c:pt idx="0">
                  <c:v>0.73075671937995923</c:v>
                </c:pt>
                <c:pt idx="1">
                  <c:v>0.74807157273812086</c:v>
                </c:pt>
                <c:pt idx="2">
                  <c:v>0.76622687059805084</c:v>
                </c:pt>
                <c:pt idx="3">
                  <c:v>0.78528532640013726</c:v>
                </c:pt>
                <c:pt idx="4">
                  <c:v>0.80531605225638347</c:v>
                </c:pt>
                <c:pt idx="5">
                  <c:v>0.8263953963843601</c:v>
                </c:pt>
                <c:pt idx="6">
                  <c:v>0.84860791559649273</c:v>
                </c:pt>
                <c:pt idx="7">
                  <c:v>0.87204750895744143</c:v>
                </c:pt>
                <c:pt idx="8">
                  <c:v>0.89681874465637534</c:v>
                </c:pt>
                <c:pt idx="9">
                  <c:v>0.92303841963637723</c:v>
                </c:pt>
                <c:pt idx="10">
                  <c:v>0.95083740105030945</c:v>
                </c:pt>
                <c:pt idx="11">
                  <c:v>0.98036281080208754</c:v>
                </c:pt>
                <c:pt idx="12">
                  <c:v>1.0117806301376848</c:v>
                </c:pt>
                <c:pt idx="13">
                  <c:v>1.0452788216353792</c:v>
                </c:pt>
                <c:pt idx="14">
                  <c:v>1.0810710926121578</c:v>
                </c:pt>
                <c:pt idx="15">
                  <c:v>1.1194014591402628</c:v>
                </c:pt>
                <c:pt idx="16">
                  <c:v>1.1605498166826753</c:v>
                </c:pt>
                <c:pt idx="17">
                  <c:v>1.2048387862500922</c:v>
                </c:pt>
                <c:pt idx="18">
                  <c:v>1.2526421903341594</c:v>
                </c:pt>
                <c:pt idx="19">
                  <c:v>1.3043956299612136</c:v>
                </c:pt>
              </c:numCache>
            </c:numRef>
          </c:xVal>
          <c:yVal>
            <c:numRef>
              <c:f>'plot selective diss'!$BQ$139:$BQ$158</c:f>
              <c:numCache>
                <c:formatCode>0.000</c:formatCode>
                <c:ptCount val="20"/>
                <c:pt idx="0">
                  <c:v>0.51399792008060596</c:v>
                </c:pt>
                <c:pt idx="1">
                  <c:v>0.49861442432878905</c:v>
                </c:pt>
                <c:pt idx="2">
                  <c:v>0.48248423011206748</c:v>
                </c:pt>
                <c:pt idx="3">
                  <c:v>0.46555161926039162</c:v>
                </c:pt>
                <c:pt idx="4">
                  <c:v>0.44775518866168107</c:v>
                </c:pt>
                <c:pt idx="5">
                  <c:v>0.42902710623810325</c:v>
                </c:pt>
                <c:pt idx="6">
                  <c:v>0.40929224693154614</c:v>
                </c:pt>
                <c:pt idx="7">
                  <c:v>0.38846718549823622</c:v>
                </c:pt>
                <c:pt idx="8">
                  <c:v>0.36645901764030958</c:v>
                </c:pt>
                <c:pt idx="9">
                  <c:v>0.34316397434277274</c:v>
                </c:pt>
                <c:pt idx="10">
                  <c:v>0.31846578581988316</c:v>
                </c:pt>
                <c:pt idx="11">
                  <c:v>0.29223374064503727</c:v>
                </c:pt>
                <c:pt idx="12">
                  <c:v>0.26432037168469963</c:v>
                </c:pt>
                <c:pt idx="13">
                  <c:v>0.23455868234556207</c:v>
                </c:pt>
                <c:pt idx="14">
                  <c:v>0.2027588029512841</c:v>
                </c:pt>
                <c:pt idx="15">
                  <c:v>0.16870393581186713</c:v>
                </c:pt>
                <c:pt idx="16">
                  <c:v>0.13214540595579036</c:v>
                </c:pt>
                <c:pt idx="17">
                  <c:v>9.279657861665748E-2</c:v>
                </c:pt>
                <c:pt idx="18">
                  <c:v>5.0325328734370962E-2</c:v>
                </c:pt>
                <c:pt idx="19">
                  <c:v>4.3446437019203062E-3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217-8C41-909A-71B8FDF86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 i="0" u="none" strike="noStrike" kern="1200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Phase selective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H9 basalt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18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diss'!$H$55</c:f>
              <c:numCache>
                <c:formatCode>0.00</c:formatCode>
                <c:ptCount val="1"/>
                <c:pt idx="0">
                  <c:v>0.71422586411936051</c:v>
                </c:pt>
              </c:numCache>
            </c:numRef>
          </c:xVal>
          <c:yVal>
            <c:numRef>
              <c:f>'plot selective diss'!$H$54</c:f>
              <c:numCache>
                <c:formatCode>0.00</c:formatCode>
                <c:ptCount val="1"/>
                <c:pt idx="0">
                  <c:v>6.2313020130867462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79-A04B-B34C-181D831BFBAD}"/>
            </c:ext>
          </c:extLst>
        </c:ser>
        <c:ser>
          <c:idx val="2"/>
          <c:order val="1"/>
          <c:tx>
            <c:v>LFGL P6-A soil</c:v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'plot selective diss'!$G$17</c:f>
              <c:numCache>
                <c:formatCode>0.000</c:formatCode>
                <c:ptCount val="1"/>
                <c:pt idx="0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79-A04B-B34C-181D831BFBAD}"/>
            </c:ext>
          </c:extLst>
        </c:ser>
        <c:ser>
          <c:idx val="0"/>
          <c:order val="2"/>
          <c:tx>
            <c:v>Control 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data'!$O$42,'Morgan-Pompa solid data'!$O$50)</c:f>
              <c:numCache>
                <c:formatCode>0.000</c:formatCode>
                <c:ptCount val="2"/>
                <c:pt idx="0">
                  <c:v>1.006906154135103</c:v>
                </c:pt>
                <c:pt idx="1">
                  <c:v>0.88703637388092405</c:v>
                </c:pt>
              </c:numCache>
            </c:numRef>
          </c:xVal>
          <c:yVal>
            <c:numRef>
              <c:f>('Morgan-Pompa solid data'!$G$42,'Morgan-Pompa solid data'!$G$50)</c:f>
              <c:numCache>
                <c:formatCode>0.000</c:formatCode>
                <c:ptCount val="2"/>
                <c:pt idx="0">
                  <c:v>8.4631122132672036</c:v>
                </c:pt>
                <c:pt idx="1">
                  <c:v>7.6937383756974578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79-A04B-B34C-181D831BFBAD}"/>
            </c:ext>
          </c:extLst>
        </c:ser>
        <c:ser>
          <c:idx val="5"/>
          <c:order val="3"/>
          <c:tx>
            <c:v>All phases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'plot selective diss'!$BU$43:$BU$62</c:f>
              <c:numCache>
                <c:formatCode>0.000</c:formatCode>
                <c:ptCount val="20"/>
                <c:pt idx="0">
                  <c:v>6.3478350362119489</c:v>
                </c:pt>
                <c:pt idx="1">
                  <c:v>6.4697081710846209</c:v>
                </c:pt>
                <c:pt idx="2">
                  <c:v>6.5972909256141588</c:v>
                </c:pt>
                <c:pt idx="3">
                  <c:v>6.7309941578337389</c:v>
                </c:pt>
                <c:pt idx="4">
                  <c:v>6.8712691144148765</c:v>
                </c:pt>
                <c:pt idx="5">
                  <c:v>7.0186125186207944</c:v>
                </c:pt>
                <c:pt idx="6">
                  <c:v>7.1735724472843305</c:v>
                </c:pt>
                <c:pt idx="7">
                  <c:v>7.3367551433507465</c:v>
                </c:pt>
                <c:pt idx="8">
                  <c:v>7.5088329424774276</c:v>
                </c:pt>
                <c:pt idx="9">
                  <c:v>7.6905535321914558</c:v>
                </c:pt>
                <c:pt idx="10">
                  <c:v>7.8827508124946863</c:v>
                </c:pt>
                <c:pt idx="11">
                  <c:v>8.0863576906554666</c:v>
                </c:pt>
                <c:pt idx="12">
                  <c:v>8.3024212243539086</c:v>
                </c:pt>
                <c:pt idx="13">
                  <c:v>8.5321206319007832</c:v>
                </c:pt>
                <c:pt idx="14">
                  <c:v>8.7767888234634572</c:v>
                </c:pt>
                <c:pt idx="15">
                  <c:v>9.0379382834325579</c:v>
                </c:pt>
                <c:pt idx="16">
                  <c:v>9.3172923655362982</c:v>
                </c:pt>
                <c:pt idx="17">
                  <c:v>9.6168233690161653</c:v>
                </c:pt>
                <c:pt idx="18">
                  <c:v>9.9387991743060429</c:v>
                </c:pt>
                <c:pt idx="19">
                  <c:v>10.285840770463107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79-A04B-B34C-181D831BFBAD}"/>
            </c:ext>
          </c:extLst>
        </c:ser>
        <c:ser>
          <c:idx val="3"/>
          <c:order val="4"/>
          <c:tx>
            <c:v>ol only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diss'!$BV$75:$BV$94</c:f>
              <c:numCache>
                <c:formatCode>0.000</c:formatCode>
                <c:ptCount val="20"/>
                <c:pt idx="0">
                  <c:v>0.71600028683257755</c:v>
                </c:pt>
                <c:pt idx="1">
                  <c:v>0.71778422133949626</c:v>
                </c:pt>
                <c:pt idx="2">
                  <c:v>0.71957714291296138</c:v>
                </c:pt>
                <c:pt idx="3">
                  <c:v>0.72137911963674184</c:v>
                </c:pt>
                <c:pt idx="4">
                  <c:v>0.72319022028406166</c:v>
                </c:pt>
                <c:pt idx="5">
                  <c:v>0.72501051432634911</c:v>
                </c:pt>
                <c:pt idx="6">
                  <c:v>0.7268400719421203</c:v>
                </c:pt>
                <c:pt idx="7">
                  <c:v>0.7286789640259983</c:v>
                </c:pt>
                <c:pt idx="8">
                  <c:v>0.73052726219786912</c:v>
                </c:pt>
                <c:pt idx="9">
                  <c:v>0.73238503881218209</c:v>
                </c:pt>
                <c:pt idx="10">
                  <c:v>0.73425236696738971</c:v>
                </c:pt>
                <c:pt idx="11">
                  <c:v>0.73612932051553603</c:v>
                </c:pt>
                <c:pt idx="12">
                  <c:v>0.73801597407199315</c:v>
                </c:pt>
                <c:pt idx="13">
                  <c:v>0.73991240302534877</c:v>
                </c:pt>
                <c:pt idx="14">
                  <c:v>0.74181868354744729</c:v>
                </c:pt>
                <c:pt idx="15">
                  <c:v>0.7437348926035896</c:v>
                </c:pt>
                <c:pt idx="16">
                  <c:v>0.74566110796289053</c:v>
                </c:pt>
                <c:pt idx="17">
                  <c:v>0.7475974082088005</c:v>
                </c:pt>
                <c:pt idx="18">
                  <c:v>0.74954387274979217</c:v>
                </c:pt>
                <c:pt idx="19">
                  <c:v>0.75150058183021573</c:v>
                </c:pt>
              </c:numCache>
            </c:numRef>
          </c:xVal>
          <c:yVal>
            <c:numRef>
              <c:f>'plot selective diss'!$BU$75:$BU$94</c:f>
              <c:numCache>
                <c:formatCode>0.000</c:formatCode>
                <c:ptCount val="20"/>
                <c:pt idx="0">
                  <c:v>6.176780813050434</c:v>
                </c:pt>
                <c:pt idx="1">
                  <c:v>6.1219910457481932</c:v>
                </c:pt>
                <c:pt idx="2">
                  <c:v>6.0669252597452017</c:v>
                </c:pt>
                <c:pt idx="3">
                  <c:v>6.0115813639928124</c:v>
                </c:pt>
                <c:pt idx="4">
                  <c:v>5.9559572462672179</c:v>
                </c:pt>
                <c:pt idx="5">
                  <c:v>5.9000507729007383</c:v>
                </c:pt>
                <c:pt idx="6">
                  <c:v>5.8438597885089951</c:v>
                </c:pt>
                <c:pt idx="7">
                  <c:v>5.787382115713914</c:v>
                </c:pt>
                <c:pt idx="8">
                  <c:v>5.7306155548624789</c:v>
                </c:pt>
                <c:pt idx="9">
                  <c:v>5.6735578837411484</c:v>
                </c:pt>
                <c:pt idx="10">
                  <c:v>5.6162068572858832</c:v>
                </c:pt>
                <c:pt idx="11">
                  <c:v>5.5585602072876776</c:v>
                </c:pt>
                <c:pt idx="12">
                  <c:v>5.5006156420935284</c:v>
                </c:pt>
                <c:pt idx="13">
                  <c:v>5.4423708463027562</c:v>
                </c:pt>
                <c:pt idx="14">
                  <c:v>5.3838234804585996</c:v>
                </c:pt>
                <c:pt idx="15">
                  <c:v>5.324971180734976</c:v>
                </c:pt>
                <c:pt idx="16">
                  <c:v>5.2658115586183554</c:v>
                </c:pt>
                <c:pt idx="17">
                  <c:v>5.2063422005846167</c:v>
                </c:pt>
                <c:pt idx="18">
                  <c:v>5.1465606677708315</c:v>
                </c:pt>
                <c:pt idx="19">
                  <c:v>5.0864644956418577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79-A04B-B34C-181D831BFBAD}"/>
            </c:ext>
          </c:extLst>
        </c:ser>
        <c:ser>
          <c:idx val="4"/>
          <c:order val="5"/>
          <c:tx>
            <c:v>cpx only</c:v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diss'!$BV$107:$BV$126</c:f>
              <c:numCache>
                <c:formatCode>0.000</c:formatCode>
                <c:ptCount val="20"/>
                <c:pt idx="0">
                  <c:v>0.69668042244112971</c:v>
                </c:pt>
                <c:pt idx="1">
                  <c:v>0.67826442450678048</c:v>
                </c:pt>
                <c:pt idx="2">
                  <c:v>0.65891074414299189</c:v>
                </c:pt>
                <c:pt idx="3">
                  <c:v>0.63854589491799529</c:v>
                </c:pt>
                <c:pt idx="4">
                  <c:v>0.61708850555141048</c:v>
                </c:pt>
                <c:pt idx="5">
                  <c:v>0.59444823324280016</c:v>
                </c:pt>
                <c:pt idx="6">
                  <c:v>0.57052449219120771</c:v>
                </c:pt>
                <c:pt idx="7">
                  <c:v>0.54520495956734394</c:v>
                </c:pt>
                <c:pt idx="8">
                  <c:v>0.51836381212833293</c:v>
                </c:pt>
                <c:pt idx="9">
                  <c:v>0.48985963506384056</c:v>
                </c:pt>
                <c:pt idx="10">
                  <c:v>0.4595329297234067</c:v>
                </c:pt>
                <c:pt idx="11">
                  <c:v>0.42720312749551254</c:v>
                </c:pt>
                <c:pt idx="12">
                  <c:v>0.39266499177283054</c:v>
                </c:pt>
                <c:pt idx="13">
                  <c:v>0.35568425653887314</c:v>
                </c:pt>
                <c:pt idx="14">
                  <c:v>0.31599230569313269</c:v>
                </c:pt>
                <c:pt idx="15">
                  <c:v>0.27327963760189228</c:v>
                </c:pt>
                <c:pt idx="16">
                  <c:v>0.2271877785028226</c:v>
                </c:pt>
                <c:pt idx="17">
                  <c:v>0.1772991975597184</c:v>
                </c:pt>
                <c:pt idx="18">
                  <c:v>0.12312462268430091</c:v>
                </c:pt>
                <c:pt idx="19">
                  <c:v>6.408694048331727E-2</c:v>
                </c:pt>
              </c:numCache>
            </c:numRef>
          </c:xVal>
          <c:yVal>
            <c:numRef>
              <c:f>'plot selective diss'!$BU$107:$BU$126</c:f>
              <c:numCache>
                <c:formatCode>0.000</c:formatCode>
                <c:ptCount val="20"/>
                <c:pt idx="0">
                  <c:v>6.2127770277737842</c:v>
                </c:pt>
                <c:pt idx="1">
                  <c:v>6.1933378762225662</c:v>
                </c:pt>
                <c:pt idx="2">
                  <c:v>6.172908946603509</c:v>
                </c:pt>
                <c:pt idx="3">
                  <c:v>6.1514126697352305</c:v>
                </c:pt>
                <c:pt idx="4">
                  <c:v>6.1287631535223435</c:v>
                </c:pt>
                <c:pt idx="5">
                  <c:v>6.1048650359108594</c:v>
                </c:pt>
                <c:pt idx="6">
                  <c:v>6.0796121427669805</c:v>
                </c:pt>
                <c:pt idx="7">
                  <c:v>6.0528859108442852</c:v>
                </c:pt>
                <c:pt idx="8">
                  <c:v>6.0245535264285417</c:v>
                </c:pt>
                <c:pt idx="9">
                  <c:v>5.9944657180037844</c:v>
                </c:pt>
                <c:pt idx="10">
                  <c:v>5.9624541255142844</c:v>
                </c:pt>
                <c:pt idx="11">
                  <c:v>5.9283281483411043</c:v>
                </c:pt>
                <c:pt idx="12">
                  <c:v>5.8918711473681906</c:v>
                </c:pt>
                <c:pt idx="13">
                  <c:v>5.8528358412581936</c:v>
                </c:pt>
                <c:pt idx="14">
                  <c:v>5.8109386901722502</c:v>
                </c:pt>
                <c:pt idx="15">
                  <c:v>5.7658529972251511</c:v>
                </c:pt>
                <c:pt idx="16">
                  <c:v>5.7172003726159231</c:v>
                </c:pt>
                <c:pt idx="17">
                  <c:v>5.664540088384495</c:v>
                </c:pt>
                <c:pt idx="18">
                  <c:v>5.6073556895275729</c:v>
                </c:pt>
                <c:pt idx="19">
                  <c:v>5.5450379994611003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D79-A04B-B34C-181D831BFBAD}"/>
            </c:ext>
          </c:extLst>
        </c:ser>
        <c:ser>
          <c:idx val="6"/>
          <c:order val="6"/>
          <c:tx>
            <c:v>plag only</c:v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diss'!$BV$139:$BV$158</c:f>
              <c:numCache>
                <c:formatCode>0.000</c:formatCode>
                <c:ptCount val="20"/>
                <c:pt idx="0">
                  <c:v>0.73075671937995923</c:v>
                </c:pt>
                <c:pt idx="1">
                  <c:v>0.74807157273812086</c:v>
                </c:pt>
                <c:pt idx="2">
                  <c:v>0.76622687059805084</c:v>
                </c:pt>
                <c:pt idx="3">
                  <c:v>0.78528532640013726</c:v>
                </c:pt>
                <c:pt idx="4">
                  <c:v>0.80531605225638347</c:v>
                </c:pt>
                <c:pt idx="5">
                  <c:v>0.8263953963843601</c:v>
                </c:pt>
                <c:pt idx="6">
                  <c:v>0.84860791559649273</c:v>
                </c:pt>
                <c:pt idx="7">
                  <c:v>0.87204750895744143</c:v>
                </c:pt>
                <c:pt idx="8">
                  <c:v>0.89681874465637534</c:v>
                </c:pt>
                <c:pt idx="9">
                  <c:v>0.92303841963637723</c:v>
                </c:pt>
                <c:pt idx="10">
                  <c:v>0.95083740105030945</c:v>
                </c:pt>
                <c:pt idx="11">
                  <c:v>0.98036281080208754</c:v>
                </c:pt>
                <c:pt idx="12">
                  <c:v>1.0117806301376848</c:v>
                </c:pt>
                <c:pt idx="13">
                  <c:v>1.0452788216353792</c:v>
                </c:pt>
                <c:pt idx="14">
                  <c:v>1.0810710926121578</c:v>
                </c:pt>
                <c:pt idx="15">
                  <c:v>1.1194014591402628</c:v>
                </c:pt>
                <c:pt idx="16">
                  <c:v>1.1605498166826753</c:v>
                </c:pt>
                <c:pt idx="17">
                  <c:v>1.2048387862500922</c:v>
                </c:pt>
                <c:pt idx="18">
                  <c:v>1.2526421903341594</c:v>
                </c:pt>
                <c:pt idx="19">
                  <c:v>1.3043956299612136</c:v>
                </c:pt>
              </c:numCache>
            </c:numRef>
          </c:xVal>
          <c:yVal>
            <c:numRef>
              <c:f>'plot selective diss'!$BU$139:$BU$158</c:f>
              <c:numCache>
                <c:formatCode>0.000</c:formatCode>
                <c:ptCount val="20"/>
                <c:pt idx="0">
                  <c:v>6.3755261297988879</c:v>
                </c:pt>
                <c:pt idx="1">
                  <c:v>6.5265904951218117</c:v>
                </c:pt>
                <c:pt idx="2">
                  <c:v>6.6849873635056944</c:v>
                </c:pt>
                <c:pt idx="3">
                  <c:v>6.8512638817194675</c:v>
                </c:pt>
                <c:pt idx="4">
                  <c:v>7.0260230220852167</c:v>
                </c:pt>
                <c:pt idx="5">
                  <c:v>7.209930888715534</c:v>
                </c:pt>
                <c:pt idx="6">
                  <c:v>7.4037252020483919</c:v>
                </c:pt>
                <c:pt idx="7">
                  <c:v>7.6082251895016535</c:v>
                </c:pt>
                <c:pt idx="8">
                  <c:v>7.8243431618412895</c:v>
                </c:pt>
                <c:pt idx="9">
                  <c:v>8.0530981202516241</c:v>
                </c:pt>
                <c:pt idx="10">
                  <c:v>8.2956318222156646</c:v>
                </c:pt>
                <c:pt idx="11">
                  <c:v>8.5532278406624052</c:v>
                </c:pt>
                <c:pt idx="12">
                  <c:v>8.8273342878605359</c:v>
                </c:pt>
                <c:pt idx="13">
                  <c:v>9.1195910533895184</c:v>
                </c:pt>
                <c:pt idx="14">
                  <c:v>9.4318626381803021</c:v>
                </c:pt>
                <c:pt idx="15">
                  <c:v>9.7662779735220724</c:v>
                </c:pt>
                <c:pt idx="16">
                  <c:v>10.125279022369838</c:v>
                </c:pt>
                <c:pt idx="17">
                  <c:v>10.511680509007579</c:v>
                </c:pt>
                <c:pt idx="18">
                  <c:v>10.928743867781622</c:v>
                </c:pt>
                <c:pt idx="19">
                  <c:v>11.380269523172402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D79-A04B-B34C-181D831BF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 i="0" u="none" strike="noStrike" kern="1200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Phase selective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H9 basalt</c:v>
          </c:tx>
          <c:spPr>
            <a:ln w="25400" cap="flat" cmpd="dbl" algn="ctr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circle"/>
            <c:size val="18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diss'!$H$55</c:f>
              <c:numCache>
                <c:formatCode>0.00</c:formatCode>
                <c:ptCount val="1"/>
                <c:pt idx="0">
                  <c:v>0.71422586411936051</c:v>
                </c:pt>
              </c:numCache>
            </c:numRef>
          </c:xVal>
          <c:yVal>
            <c:numRef>
              <c:f>'plot selective diss'!$H$53</c:f>
              <c:numCache>
                <c:formatCode>0.00</c:formatCode>
                <c:ptCount val="1"/>
                <c:pt idx="0">
                  <c:v>8.4706366076614064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86-264F-8C54-BCDD4BC22807}"/>
            </c:ext>
          </c:extLst>
        </c:ser>
        <c:ser>
          <c:idx val="2"/>
          <c:order val="1"/>
          <c:tx>
            <c:v>LFGL P6-A soil</c:v>
          </c:tx>
          <c:spPr>
            <a:ln w="25400" cap="flat" cmpd="dbl" algn="ctr">
              <a:solidFill>
                <a:schemeClr val="accent3">
                  <a:alpha val="50000"/>
                </a:schemeClr>
              </a:solidFill>
              <a:round/>
            </a:ln>
            <a:effectLst/>
          </c:spPr>
          <c:marker>
            <c:symbol val="circle"/>
            <c:size val="18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'plot selective diss'!$G$16</c:f>
              <c:numCache>
                <c:formatCode>0.000</c:formatCode>
                <c:ptCount val="1"/>
                <c:pt idx="0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86-264F-8C54-BCDD4BC22807}"/>
            </c:ext>
          </c:extLst>
        </c:ser>
        <c:ser>
          <c:idx val="0"/>
          <c:order val="2"/>
          <c:tx>
            <c:v>Control 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data'!$O$42,'Morgan-Pompa solid data'!$O$50)</c:f>
              <c:numCache>
                <c:formatCode>0.000</c:formatCode>
                <c:ptCount val="2"/>
                <c:pt idx="0">
                  <c:v>1.006906154135103</c:v>
                </c:pt>
                <c:pt idx="1">
                  <c:v>0.88703637388092405</c:v>
                </c:pt>
              </c:numCache>
            </c:numRef>
          </c:xVal>
          <c:yVal>
            <c:numRef>
              <c:f>('Morgan-Pompa solid data'!$D$42,'Morgan-Pompa solid data'!$D$50)</c:f>
              <c:numCache>
                <c:formatCode>0.000</c:formatCode>
                <c:ptCount val="2"/>
                <c:pt idx="0">
                  <c:v>7.7272133462794601</c:v>
                </c:pt>
                <c:pt idx="1">
                  <c:v>7.7272133462794601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86-264F-8C54-BCDD4BC22807}"/>
            </c:ext>
          </c:extLst>
        </c:ser>
        <c:ser>
          <c:idx val="5"/>
          <c:order val="3"/>
          <c:tx>
            <c:v>All phases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'plot selective diss'!$BT$43:$BT$62</c:f>
              <c:numCache>
                <c:formatCode>0.000</c:formatCode>
                <c:ptCount val="20"/>
                <c:pt idx="0">
                  <c:v>8.4206821118315762</c:v>
                </c:pt>
                <c:pt idx="1">
                  <c:v>8.368447981598786</c:v>
                </c:pt>
                <c:pt idx="2">
                  <c:v>8.3137667409585383</c:v>
                </c:pt>
                <c:pt idx="3">
                  <c:v>8.2564622985020542</c:v>
                </c:pt>
                <c:pt idx="4">
                  <c:v>8.1963412524806056</c:v>
                </c:pt>
                <c:pt idx="5">
                  <c:v>8.1331907101377414</c:v>
                </c:pt>
                <c:pt idx="6">
                  <c:v>8.0667757688700732</c:v>
                </c:pt>
                <c:pt idx="7">
                  <c:v>7.9968365964103167</c:v>
                </c:pt>
                <c:pt idx="8">
                  <c:v>7.9230850335318754</c:v>
                </c:pt>
                <c:pt idx="9">
                  <c:v>7.8452006256267319</c:v>
                </c:pt>
                <c:pt idx="10">
                  <c:v>7.7628259679120877</c:v>
                </c:pt>
                <c:pt idx="11">
                  <c:v>7.6755612216556388</c:v>
                </c:pt>
                <c:pt idx="12">
                  <c:v>7.5829576239099001</c:v>
                </c:pt>
                <c:pt idx="13">
                  <c:v>7.4845097684351591</c:v>
                </c:pt>
                <c:pt idx="14">
                  <c:v>7.3796463775388981</c:v>
                </c:pt>
                <c:pt idx="15">
                  <c:v>7.2677192090410996</c:v>
                </c:pt>
                <c:pt idx="16">
                  <c:v>7.1479896433668175</c:v>
                </c:pt>
                <c:pt idx="17">
                  <c:v>7.0196123643145372</c:v>
                </c:pt>
                <c:pt idx="18">
                  <c:v>6.881615371270172</c:v>
                </c:pt>
                <c:pt idx="19">
                  <c:v>6.7328753232784475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86-264F-8C54-BCDD4BC22807}"/>
            </c:ext>
          </c:extLst>
        </c:ser>
        <c:ser>
          <c:idx val="3"/>
          <c:order val="4"/>
          <c:tx>
            <c:v>ol only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diss'!$BV$75:$BV$94</c:f>
              <c:numCache>
                <c:formatCode>0.000</c:formatCode>
                <c:ptCount val="20"/>
                <c:pt idx="0">
                  <c:v>0.71600028683257755</c:v>
                </c:pt>
                <c:pt idx="1">
                  <c:v>0.71778422133949626</c:v>
                </c:pt>
                <c:pt idx="2">
                  <c:v>0.71957714291296138</c:v>
                </c:pt>
                <c:pt idx="3">
                  <c:v>0.72137911963674184</c:v>
                </c:pt>
                <c:pt idx="4">
                  <c:v>0.72319022028406166</c:v>
                </c:pt>
                <c:pt idx="5">
                  <c:v>0.72501051432634911</c:v>
                </c:pt>
                <c:pt idx="6">
                  <c:v>0.7268400719421203</c:v>
                </c:pt>
                <c:pt idx="7">
                  <c:v>0.7286789640259983</c:v>
                </c:pt>
                <c:pt idx="8">
                  <c:v>0.73052726219786912</c:v>
                </c:pt>
                <c:pt idx="9">
                  <c:v>0.73238503881218209</c:v>
                </c:pt>
                <c:pt idx="10">
                  <c:v>0.73425236696738971</c:v>
                </c:pt>
                <c:pt idx="11">
                  <c:v>0.73612932051553603</c:v>
                </c:pt>
                <c:pt idx="12">
                  <c:v>0.73801597407199315</c:v>
                </c:pt>
                <c:pt idx="13">
                  <c:v>0.73991240302534877</c:v>
                </c:pt>
                <c:pt idx="14">
                  <c:v>0.74181868354744729</c:v>
                </c:pt>
                <c:pt idx="15">
                  <c:v>0.7437348926035896</c:v>
                </c:pt>
                <c:pt idx="16">
                  <c:v>0.74566110796289053</c:v>
                </c:pt>
                <c:pt idx="17">
                  <c:v>0.7475974082088005</c:v>
                </c:pt>
                <c:pt idx="18">
                  <c:v>0.74954387274979217</c:v>
                </c:pt>
                <c:pt idx="19">
                  <c:v>0.75150058183021573</c:v>
                </c:pt>
              </c:numCache>
            </c:numRef>
          </c:xVal>
          <c:yVal>
            <c:numRef>
              <c:f>'plot selective diss'!$BT$75:$BT$94</c:f>
              <c:numCache>
                <c:formatCode>0.000</c:formatCode>
                <c:ptCount val="20"/>
                <c:pt idx="0">
                  <c:v>8.4917931109972749</c:v>
                </c:pt>
                <c:pt idx="1">
                  <c:v>8.5130627631172029</c:v>
                </c:pt>
                <c:pt idx="2">
                  <c:v>8.5344395670290183</c:v>
                </c:pt>
                <c:pt idx="3">
                  <c:v>8.5559243344879015</c:v>
                </c:pt>
                <c:pt idx="4">
                  <c:v>8.5775178854693248</c:v>
                </c:pt>
                <c:pt idx="5">
                  <c:v>8.5992210482733817</c:v>
                </c:pt>
                <c:pt idx="6">
                  <c:v>8.6210346596306948</c:v>
                </c:pt>
                <c:pt idx="7">
                  <c:v>8.6429595648099387</c:v>
                </c:pt>
                <c:pt idx="8">
                  <c:v>8.6649966177270326</c:v>
                </c:pt>
                <c:pt idx="9">
                  <c:v>8.6871466810559994</c:v>
                </c:pt>
                <c:pt idx="10">
                  <c:v>8.7094106263415316</c:v>
                </c:pt>
                <c:pt idx="11">
                  <c:v>8.7317893341133193</c:v>
                </c:pt>
                <c:pt idx="12">
                  <c:v>8.7542836940021154</c:v>
                </c:pt>
                <c:pt idx="13">
                  <c:v>8.7768946048576417</c:v>
                </c:pt>
                <c:pt idx="14">
                  <c:v>8.7996229748683028</c:v>
                </c:pt>
                <c:pt idx="15">
                  <c:v>8.8224697216827934</c:v>
                </c:pt>
                <c:pt idx="16">
                  <c:v>8.8454357725335964</c:v>
                </c:pt>
                <c:pt idx="17">
                  <c:v>8.8685220643624234</c:v>
                </c:pt>
                <c:pt idx="18">
                  <c:v>8.8917295439476334</c:v>
                </c:pt>
                <c:pt idx="19">
                  <c:v>8.9150591680336682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86-264F-8C54-BCDD4BC22807}"/>
            </c:ext>
          </c:extLst>
        </c:ser>
        <c:ser>
          <c:idx val="4"/>
          <c:order val="5"/>
          <c:tx>
            <c:v>cpx only</c:v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diss'!$BV$107:$BV$126</c:f>
              <c:numCache>
                <c:formatCode>0.000</c:formatCode>
                <c:ptCount val="20"/>
                <c:pt idx="0">
                  <c:v>0.69668042244112971</c:v>
                </c:pt>
                <c:pt idx="1">
                  <c:v>0.67826442450678048</c:v>
                </c:pt>
                <c:pt idx="2">
                  <c:v>0.65891074414299189</c:v>
                </c:pt>
                <c:pt idx="3">
                  <c:v>0.63854589491799529</c:v>
                </c:pt>
                <c:pt idx="4">
                  <c:v>0.61708850555141048</c:v>
                </c:pt>
                <c:pt idx="5">
                  <c:v>0.59444823324280016</c:v>
                </c:pt>
                <c:pt idx="6">
                  <c:v>0.57052449219120771</c:v>
                </c:pt>
                <c:pt idx="7">
                  <c:v>0.54520495956734394</c:v>
                </c:pt>
                <c:pt idx="8">
                  <c:v>0.51836381212833293</c:v>
                </c:pt>
                <c:pt idx="9">
                  <c:v>0.48985963506384056</c:v>
                </c:pt>
                <c:pt idx="10">
                  <c:v>0.4595329297234067</c:v>
                </c:pt>
                <c:pt idx="11">
                  <c:v>0.42720312749551254</c:v>
                </c:pt>
                <c:pt idx="12">
                  <c:v>0.39266499177283054</c:v>
                </c:pt>
                <c:pt idx="13">
                  <c:v>0.35568425653887314</c:v>
                </c:pt>
                <c:pt idx="14">
                  <c:v>0.31599230569313269</c:v>
                </c:pt>
                <c:pt idx="15">
                  <c:v>0.27327963760189228</c:v>
                </c:pt>
                <c:pt idx="16">
                  <c:v>0.2271877785028226</c:v>
                </c:pt>
                <c:pt idx="17">
                  <c:v>0.1772991975597184</c:v>
                </c:pt>
                <c:pt idx="18">
                  <c:v>0.12312462268430091</c:v>
                </c:pt>
                <c:pt idx="19">
                  <c:v>6.408694048331727E-2</c:v>
                </c:pt>
              </c:numCache>
            </c:numRef>
          </c:xVal>
          <c:yVal>
            <c:numRef>
              <c:f>'plot selective diss'!$BT$107:$BT$126</c:f>
              <c:numCache>
                <c:formatCode>0.000</c:formatCode>
                <c:ptCount val="20"/>
                <c:pt idx="0">
                  <c:v>8.6373661554941261</c:v>
                </c:pt>
                <c:pt idx="1">
                  <c:v>8.8123814065762662</c:v>
                </c:pt>
                <c:pt idx="2">
                  <c:v>8.9963078622756445</c:v>
                </c:pt>
                <c:pt idx="3">
                  <c:v>9.1898438961668543</c:v>
                </c:pt>
                <c:pt idx="4">
                  <c:v>9.3937628149757888</c:v>
                </c:pt>
                <c:pt idx="5">
                  <c:v>9.6089231856917774</c:v>
                </c:pt>
                <c:pt idx="6">
                  <c:v>9.8362809190003251</c:v>
                </c:pt>
                <c:pt idx="7">
                  <c:v>10.076903467680282</c:v>
                </c:pt>
                <c:pt idx="8">
                  <c:v>10.33198658482211</c:v>
                </c:pt>
                <c:pt idx="9">
                  <c:v>10.602874196974103</c:v>
                </c:pt>
                <c:pt idx="10">
                  <c:v>10.891082089295285</c:v>
                </c:pt>
                <c:pt idx="11">
                  <c:v>11.19832628396351</c:v>
                </c:pt>
                <c:pt idx="12">
                  <c:v>11.526557233867111</c:v>
                </c:pt>
                <c:pt idx="13">
                  <c:v>11.878001271015993</c:v>
                </c:pt>
                <c:pt idx="14">
                  <c:v>12.255211171232711</c:v>
                </c:pt>
                <c:pt idx="15">
                  <c:v>12.661128263373211</c:v>
                </c:pt>
                <c:pt idx="16">
                  <c:v>13.099159279765773</c:v>
                </c:pt>
                <c:pt idx="17">
                  <c:v>13.573272197839225</c:v>
                </c:pt>
                <c:pt idx="18">
                  <c:v>14.088116783394094</c:v>
                </c:pt>
                <c:pt idx="19">
                  <c:v>14.649177596419097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F86-264F-8C54-BCDD4BC22807}"/>
            </c:ext>
          </c:extLst>
        </c:ser>
        <c:ser>
          <c:idx val="6"/>
          <c:order val="6"/>
          <c:tx>
            <c:v>plag only</c:v>
          </c:tx>
          <c:spPr>
            <a:ln w="25400" cap="flat" cmpd="dbl" algn="ctr">
              <a:solidFill>
                <a:schemeClr val="accent1">
                  <a:lumMod val="60000"/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diss'!$BV$139:$BV$158</c:f>
              <c:numCache>
                <c:formatCode>0.000</c:formatCode>
                <c:ptCount val="20"/>
                <c:pt idx="0">
                  <c:v>0.73075671937995923</c:v>
                </c:pt>
                <c:pt idx="1">
                  <c:v>0.74807157273812086</c:v>
                </c:pt>
                <c:pt idx="2">
                  <c:v>0.76622687059805084</c:v>
                </c:pt>
                <c:pt idx="3">
                  <c:v>0.78528532640013726</c:v>
                </c:pt>
                <c:pt idx="4">
                  <c:v>0.80531605225638347</c:v>
                </c:pt>
                <c:pt idx="5">
                  <c:v>0.8263953963843601</c:v>
                </c:pt>
                <c:pt idx="6">
                  <c:v>0.84860791559649273</c:v>
                </c:pt>
                <c:pt idx="7">
                  <c:v>0.87204750895744143</c:v>
                </c:pt>
                <c:pt idx="8">
                  <c:v>0.89681874465637534</c:v>
                </c:pt>
                <c:pt idx="9">
                  <c:v>0.92303841963637723</c:v>
                </c:pt>
                <c:pt idx="10">
                  <c:v>0.95083740105030945</c:v>
                </c:pt>
                <c:pt idx="11">
                  <c:v>0.98036281080208754</c:v>
                </c:pt>
                <c:pt idx="12">
                  <c:v>1.0117806301376848</c:v>
                </c:pt>
                <c:pt idx="13">
                  <c:v>1.0452788216353792</c:v>
                </c:pt>
                <c:pt idx="14">
                  <c:v>1.0810710926121578</c:v>
                </c:pt>
                <c:pt idx="15">
                  <c:v>1.1194014591402628</c:v>
                </c:pt>
                <c:pt idx="16">
                  <c:v>1.1605498166826753</c:v>
                </c:pt>
                <c:pt idx="17">
                  <c:v>1.2048387862500922</c:v>
                </c:pt>
                <c:pt idx="18">
                  <c:v>1.2526421903341594</c:v>
                </c:pt>
                <c:pt idx="19">
                  <c:v>1.3043956299612136</c:v>
                </c:pt>
              </c:numCache>
            </c:numRef>
          </c:xVal>
          <c:yVal>
            <c:numRef>
              <c:f>'plot selective diss'!$BT$139:$BT$158</c:f>
              <c:numCache>
                <c:formatCode>0.000</c:formatCode>
                <c:ptCount val="20"/>
                <c:pt idx="0">
                  <c:v>8.2718475072344386</c:v>
                </c:pt>
                <c:pt idx="1">
                  <c:v>8.0636451466156522</c:v>
                </c:pt>
                <c:pt idx="2">
                  <c:v>7.8453368656279414</c:v>
                </c:pt>
                <c:pt idx="3">
                  <c:v>7.6161685668463193</c:v>
                </c:pt>
                <c:pt idx="4">
                  <c:v>7.3753092120535495</c:v>
                </c:pt>
                <c:pt idx="5">
                  <c:v>7.1218407525201188</c:v>
                </c:pt>
                <c:pt idx="6">
                  <c:v>6.8547464353120455</c:v>
                </c:pt>
                <c:pt idx="7">
                  <c:v>6.5728971716338433</c:v>
                </c:pt>
                <c:pt idx="8">
                  <c:v>6.275035581860033</c:v>
                </c:pt>
                <c:pt idx="9">
                  <c:v>5.9597572417798093</c:v>
                </c:pt>
                <c:pt idx="10">
                  <c:v>5.6254885400209069</c:v>
                </c:pt>
                <c:pt idx="11">
                  <c:v>5.2704604100448895</c:v>
                </c:pt>
                <c:pt idx="12">
                  <c:v>4.8926770112566738</c:v>
                </c:pt>
                <c:pt idx="13">
                  <c:v>4.4898781886496906</c:v>
                </c:pt>
                <c:pt idx="14">
                  <c:v>4.0594942197459112</c:v>
                </c:pt>
                <c:pt idx="15">
                  <c:v>3.5985909346035641</c:v>
                </c:pt>
                <c:pt idx="16">
                  <c:v>3.1038027317408581</c:v>
                </c:pt>
                <c:pt idx="17">
                  <c:v>2.571250256558427</c:v>
                </c:pt>
                <c:pt idx="18">
                  <c:v>1.9964384825259851</c:v>
                </c:pt>
                <c:pt idx="19">
                  <c:v>1.3741295274567542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F86-264F-8C54-BCDD4BC22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Al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 i="0" u="none" strike="noStrike" kern="1200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Phase selective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H9 basalt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8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diss'!$H$55</c:f>
              <c:numCache>
                <c:formatCode>0.00</c:formatCode>
                <c:ptCount val="1"/>
                <c:pt idx="0">
                  <c:v>0.71422586411936051</c:v>
                </c:pt>
              </c:numCache>
            </c:numRef>
          </c:xVal>
          <c:yVal>
            <c:numRef>
              <c:f>'plot selective diss'!$H$52</c:f>
              <c:numCache>
                <c:formatCode>0.00</c:formatCode>
                <c:ptCount val="1"/>
                <c:pt idx="0">
                  <c:v>22.371484435706261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55-4540-BF5D-78E302A00508}"/>
            </c:ext>
          </c:extLst>
        </c:ser>
        <c:ser>
          <c:idx val="2"/>
          <c:order val="1"/>
          <c:tx>
            <c:v>P6-A LFGL soil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8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'plot selective diss'!$G$15</c:f>
              <c:numCache>
                <c:formatCode>0.000</c:formatCode>
                <c:ptCount val="1"/>
                <c:pt idx="0">
                  <c:v>40.950000000000003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55-4540-BF5D-78E302A00508}"/>
            </c:ext>
          </c:extLst>
        </c:ser>
        <c:ser>
          <c:idx val="0"/>
          <c:order val="2"/>
          <c:tx>
            <c:v>Control 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data'!$O$42,'Morgan-Pompa solid data'!$O$50)</c:f>
              <c:numCache>
                <c:formatCode>0.000</c:formatCode>
                <c:ptCount val="2"/>
                <c:pt idx="0">
                  <c:v>1.006906154135103</c:v>
                </c:pt>
                <c:pt idx="1">
                  <c:v>0.88703637388092405</c:v>
                </c:pt>
              </c:numCache>
            </c:numRef>
          </c:xVal>
          <c:yVal>
            <c:numRef>
              <c:f>('Morgan-Pompa solid data'!$M$42,'Morgan-Pompa solid data'!$M$50)</c:f>
              <c:numCache>
                <c:formatCode>0.000</c:formatCode>
                <c:ptCount val="2"/>
                <c:pt idx="0">
                  <c:v>21.735445376472935</c:v>
                </c:pt>
                <c:pt idx="1">
                  <c:v>21.268016443645564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55-4540-BF5D-78E302A00508}"/>
            </c:ext>
          </c:extLst>
        </c:ser>
        <c:ser>
          <c:idx val="5"/>
          <c:order val="3"/>
          <c:tx>
            <c:v>All phases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'plot selective diss'!$BS$43:$BS$62</c:f>
              <c:numCache>
                <c:formatCode>0.000</c:formatCode>
                <c:ptCount val="20"/>
                <c:pt idx="0">
                  <c:v>22.318724097259555</c:v>
                </c:pt>
                <c:pt idx="1">
                  <c:v>22.263529141613606</c:v>
                </c:pt>
                <c:pt idx="2">
                  <c:v>22.205748364210915</c:v>
                </c:pt>
                <c:pt idx="3">
                  <c:v>22.145195692124577</c:v>
                </c:pt>
                <c:pt idx="4">
                  <c:v>22.081666760873063</c:v>
                </c:pt>
                <c:pt idx="5">
                  <c:v>22.014936610144069</c:v>
                </c:pt>
                <c:pt idx="6">
                  <c:v>21.94475702217812</c:v>
                </c:pt>
                <c:pt idx="7">
                  <c:v>21.870853436445451</c:v>
                </c:pt>
                <c:pt idx="8">
                  <c:v>21.792921359779236</c:v>
                </c:pt>
                <c:pt idx="9">
                  <c:v>21.710622173008503</c:v>
                </c:pt>
                <c:pt idx="10">
                  <c:v>21.623578212313706</c:v>
                </c:pt>
                <c:pt idx="11">
                  <c:v>21.531366974611206</c:v>
                </c:pt>
                <c:pt idx="12">
                  <c:v>21.433514259395082</c:v>
                </c:pt>
                <c:pt idx="13">
                  <c:v>21.329486012114035</c:v>
                </c:pt>
                <c:pt idx="14">
                  <c:v>21.218678572924222</c:v>
                </c:pt>
                <c:pt idx="15">
                  <c:v>21.100406954859945</c:v>
                </c:pt>
                <c:pt idx="16">
                  <c:v>20.973890670632592</c:v>
                </c:pt>
                <c:pt idx="17">
                  <c:v>20.838236488364046</c:v>
                </c:pt>
                <c:pt idx="18">
                  <c:v>20.692417310818399</c:v>
                </c:pt>
                <c:pt idx="19">
                  <c:v>20.53524612188329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55-4540-BF5D-78E302A00508}"/>
            </c:ext>
          </c:extLst>
        </c:ser>
        <c:ser>
          <c:idx val="3"/>
          <c:order val="4"/>
          <c:tx>
            <c:v>ol only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diss'!$BV$75:$BV$94</c:f>
              <c:numCache>
                <c:formatCode>0.000</c:formatCode>
                <c:ptCount val="20"/>
                <c:pt idx="0">
                  <c:v>0.71600028683257755</c:v>
                </c:pt>
                <c:pt idx="1">
                  <c:v>0.71778422133949626</c:v>
                </c:pt>
                <c:pt idx="2">
                  <c:v>0.71957714291296138</c:v>
                </c:pt>
                <c:pt idx="3">
                  <c:v>0.72137911963674184</c:v>
                </c:pt>
                <c:pt idx="4">
                  <c:v>0.72319022028406166</c:v>
                </c:pt>
                <c:pt idx="5">
                  <c:v>0.72501051432634911</c:v>
                </c:pt>
                <c:pt idx="6">
                  <c:v>0.7268400719421203</c:v>
                </c:pt>
                <c:pt idx="7">
                  <c:v>0.7286789640259983</c:v>
                </c:pt>
                <c:pt idx="8">
                  <c:v>0.73052726219786912</c:v>
                </c:pt>
                <c:pt idx="9">
                  <c:v>0.73238503881218209</c:v>
                </c:pt>
                <c:pt idx="10">
                  <c:v>0.73425236696738971</c:v>
                </c:pt>
                <c:pt idx="11">
                  <c:v>0.73612932051553603</c:v>
                </c:pt>
                <c:pt idx="12">
                  <c:v>0.73801597407199315</c:v>
                </c:pt>
                <c:pt idx="13">
                  <c:v>0.73991240302534877</c:v>
                </c:pt>
                <c:pt idx="14">
                  <c:v>0.74181868354744729</c:v>
                </c:pt>
                <c:pt idx="15">
                  <c:v>0.7437348926035896</c:v>
                </c:pt>
                <c:pt idx="16">
                  <c:v>0.74566110796289053</c:v>
                </c:pt>
                <c:pt idx="17">
                  <c:v>0.7475974082088005</c:v>
                </c:pt>
                <c:pt idx="18">
                  <c:v>0.74954387274979217</c:v>
                </c:pt>
                <c:pt idx="19">
                  <c:v>0.75150058183021573</c:v>
                </c:pt>
              </c:numCache>
            </c:numRef>
          </c:xVal>
          <c:yVal>
            <c:numRef>
              <c:f>'plot selective diss'!$BS$75:$BS$94</c:f>
              <c:numCache>
                <c:formatCode>0.000</c:formatCode>
                <c:ptCount val="20"/>
                <c:pt idx="0">
                  <c:v>22.383053306180035</c:v>
                </c:pt>
                <c:pt idx="1">
                  <c:v>22.394661639766721</c:v>
                </c:pt>
                <c:pt idx="2">
                  <c:v>22.406328453564438</c:v>
                </c:pt>
                <c:pt idx="3">
                  <c:v>22.41805419060465</c:v>
                </c:pt>
                <c:pt idx="4">
                  <c:v>22.429839298405195</c:v>
                </c:pt>
                <c:pt idx="5">
                  <c:v>22.441684229027238</c:v>
                </c:pt>
                <c:pt idx="6">
                  <c:v>22.453589439133083</c:v>
                </c:pt>
                <c:pt idx="7">
                  <c:v>22.465555390044837</c:v>
                </c:pt>
                <c:pt idx="8">
                  <c:v>22.477582547804005</c:v>
                </c:pt>
                <c:pt idx="9">
                  <c:v>22.489671383232015</c:v>
                </c:pt>
                <c:pt idx="10">
                  <c:v>22.501822371991626</c:v>
                </c:pt>
                <c:pt idx="11">
                  <c:v>22.514035994649351</c:v>
                </c:pt>
                <c:pt idx="12">
                  <c:v>22.52631273673877</c:v>
                </c:pt>
                <c:pt idx="13">
                  <c:v>22.538653088824915</c:v>
                </c:pt>
                <c:pt idx="14">
                  <c:v>22.551057546569577</c:v>
                </c:pt>
                <c:pt idx="15">
                  <c:v>22.563526610797695</c:v>
                </c:pt>
                <c:pt idx="16">
                  <c:v>22.576060787564746</c:v>
                </c:pt>
                <c:pt idx="17">
                  <c:v>22.588660588225213</c:v>
                </c:pt>
                <c:pt idx="18">
                  <c:v>22.601326529502121</c:v>
                </c:pt>
                <c:pt idx="19">
                  <c:v>22.614059133557685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055-4540-BF5D-78E302A00508}"/>
            </c:ext>
          </c:extLst>
        </c:ser>
        <c:ser>
          <c:idx val="4"/>
          <c:order val="5"/>
          <c:tx>
            <c:v>cpx only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diss'!$BV$107:$BV$126</c:f>
              <c:numCache>
                <c:formatCode>0.000</c:formatCode>
                <c:ptCount val="20"/>
                <c:pt idx="0">
                  <c:v>0.69668042244112971</c:v>
                </c:pt>
                <c:pt idx="1">
                  <c:v>0.67826442450678048</c:v>
                </c:pt>
                <c:pt idx="2">
                  <c:v>0.65891074414299189</c:v>
                </c:pt>
                <c:pt idx="3">
                  <c:v>0.63854589491799529</c:v>
                </c:pt>
                <c:pt idx="4">
                  <c:v>0.61708850555141048</c:v>
                </c:pt>
                <c:pt idx="5">
                  <c:v>0.59444823324280016</c:v>
                </c:pt>
                <c:pt idx="6">
                  <c:v>0.57052449219120771</c:v>
                </c:pt>
                <c:pt idx="7">
                  <c:v>0.54520495956734394</c:v>
                </c:pt>
                <c:pt idx="8">
                  <c:v>0.51836381212833293</c:v>
                </c:pt>
                <c:pt idx="9">
                  <c:v>0.48985963506384056</c:v>
                </c:pt>
                <c:pt idx="10">
                  <c:v>0.4595329297234067</c:v>
                </c:pt>
                <c:pt idx="11">
                  <c:v>0.42720312749551254</c:v>
                </c:pt>
                <c:pt idx="12">
                  <c:v>0.39266499177283054</c:v>
                </c:pt>
                <c:pt idx="13">
                  <c:v>0.35568425653887314</c:v>
                </c:pt>
                <c:pt idx="14">
                  <c:v>0.31599230569313269</c:v>
                </c:pt>
                <c:pt idx="15">
                  <c:v>0.27327963760189228</c:v>
                </c:pt>
                <c:pt idx="16">
                  <c:v>0.2271877785028226</c:v>
                </c:pt>
                <c:pt idx="17">
                  <c:v>0.1772991975597184</c:v>
                </c:pt>
                <c:pt idx="18">
                  <c:v>0.12312462268430091</c:v>
                </c:pt>
                <c:pt idx="19">
                  <c:v>6.408694048331727E-2</c:v>
                </c:pt>
              </c:numCache>
            </c:numRef>
          </c:xVal>
          <c:yVal>
            <c:numRef>
              <c:f>'plot selective diss'!$BS$107:$BS$126</c:f>
              <c:numCache>
                <c:formatCode>0.000</c:formatCode>
                <c:ptCount val="20"/>
                <c:pt idx="0">
                  <c:v>22.369906964485015</c:v>
                </c:pt>
                <c:pt idx="1">
                  <c:v>22.368231666658524</c:v>
                </c:pt>
                <c:pt idx="2">
                  <c:v>22.366471068141756</c:v>
                </c:pt>
                <c:pt idx="3">
                  <c:v>22.364618483895978</c:v>
                </c:pt>
                <c:pt idx="4">
                  <c:v>22.362666511600146</c:v>
                </c:pt>
                <c:pt idx="5">
                  <c:v>22.36060693279671</c:v>
                </c:pt>
                <c:pt idx="6">
                  <c:v>22.358430597225425</c:v>
                </c:pt>
                <c:pt idx="7">
                  <c:v>22.356127286912088</c:v>
                </c:pt>
                <c:pt idx="8">
                  <c:v>22.353685555753923</c:v>
                </c:pt>
                <c:pt idx="9">
                  <c:v>22.351092539287905</c:v>
                </c:pt>
                <c:pt idx="10">
                  <c:v>22.348333727969479</c:v>
                </c:pt>
                <c:pt idx="11">
                  <c:v>22.345392695526034</c:v>
                </c:pt>
                <c:pt idx="12">
                  <c:v>22.342250771644775</c:v>
                </c:pt>
                <c:pt idx="13">
                  <c:v>22.338886645216206</c:v>
                </c:pt>
                <c:pt idx="14">
                  <c:v>22.335275880313965</c:v>
                </c:pt>
                <c:pt idx="15">
                  <c:v>22.331390321666976</c:v>
                </c:pt>
                <c:pt idx="16">
                  <c:v>22.327197359024233</c:v>
                </c:pt>
                <c:pt idx="17">
                  <c:v>22.322659009730401</c:v>
                </c:pt>
                <c:pt idx="18">
                  <c:v>22.317730764849873</c:v>
                </c:pt>
                <c:pt idx="19">
                  <c:v>22.312360124549802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055-4540-BF5D-78E302A00508}"/>
            </c:ext>
          </c:extLst>
        </c:ser>
        <c:ser>
          <c:idx val="6"/>
          <c:order val="6"/>
          <c:tx>
            <c:v>plag only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60000"/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'plot selective diss'!$BV$139:$BV$158</c:f>
              <c:numCache>
                <c:formatCode>0.000</c:formatCode>
                <c:ptCount val="20"/>
                <c:pt idx="0">
                  <c:v>0.73075671937995923</c:v>
                </c:pt>
                <c:pt idx="1">
                  <c:v>0.74807157273812086</c:v>
                </c:pt>
                <c:pt idx="2">
                  <c:v>0.76622687059805084</c:v>
                </c:pt>
                <c:pt idx="3">
                  <c:v>0.78528532640013726</c:v>
                </c:pt>
                <c:pt idx="4">
                  <c:v>0.80531605225638347</c:v>
                </c:pt>
                <c:pt idx="5">
                  <c:v>0.8263953963843601</c:v>
                </c:pt>
                <c:pt idx="6">
                  <c:v>0.84860791559649273</c:v>
                </c:pt>
                <c:pt idx="7">
                  <c:v>0.87204750895744143</c:v>
                </c:pt>
                <c:pt idx="8">
                  <c:v>0.89681874465637534</c:v>
                </c:pt>
                <c:pt idx="9">
                  <c:v>0.92303841963637723</c:v>
                </c:pt>
                <c:pt idx="10">
                  <c:v>0.95083740105030945</c:v>
                </c:pt>
                <c:pt idx="11">
                  <c:v>0.98036281080208754</c:v>
                </c:pt>
                <c:pt idx="12">
                  <c:v>1.0117806301376848</c:v>
                </c:pt>
                <c:pt idx="13">
                  <c:v>1.0452788216353792</c:v>
                </c:pt>
                <c:pt idx="14">
                  <c:v>1.0810710926121578</c:v>
                </c:pt>
                <c:pt idx="15">
                  <c:v>1.1194014591402628</c:v>
                </c:pt>
                <c:pt idx="16">
                  <c:v>1.1605498166826753</c:v>
                </c:pt>
                <c:pt idx="17">
                  <c:v>1.2048387862500922</c:v>
                </c:pt>
                <c:pt idx="18">
                  <c:v>1.2526421903341594</c:v>
                </c:pt>
                <c:pt idx="19">
                  <c:v>1.3043956299612136</c:v>
                </c:pt>
              </c:numCache>
            </c:numRef>
          </c:xVal>
          <c:yVal>
            <c:numRef>
              <c:f>'plot selective diss'!$BS$139:$BS$158</c:f>
              <c:numCache>
                <c:formatCode>0.000</c:formatCode>
                <c:ptCount val="20"/>
                <c:pt idx="0">
                  <c:v>22.333256222846764</c:v>
                </c:pt>
                <c:pt idx="1">
                  <c:v>22.293196960756333</c:v>
                </c:pt>
                <c:pt idx="2">
                  <c:v>22.251193264839507</c:v>
                </c:pt>
                <c:pt idx="3">
                  <c:v>22.207100042666486</c:v>
                </c:pt>
                <c:pt idx="4">
                  <c:v>22.160757397982252</c:v>
                </c:pt>
                <c:pt idx="5">
                  <c:v>22.111988693237837</c:v>
                </c:pt>
                <c:pt idx="6">
                  <c:v>22.060598299660636</c:v>
                </c:pt>
                <c:pt idx="7">
                  <c:v>22.006368974449703</c:v>
                </c:pt>
                <c:pt idx="8">
                  <c:v>21.949058790953423</c:v>
                </c:pt>
                <c:pt idx="9">
                  <c:v>21.888397530345362</c:v>
                </c:pt>
                <c:pt idx="10">
                  <c:v>21.824082421272674</c:v>
                </c:pt>
                <c:pt idx="11">
                  <c:v>21.755773085749695</c:v>
                </c:pt>
                <c:pt idx="12">
                  <c:v>21.683085513233745</c:v>
                </c:pt>
                <c:pt idx="13">
                  <c:v>21.605584837657478</c:v>
                </c:pt>
                <c:pt idx="14">
                  <c:v>21.522776630495009</c:v>
                </c:pt>
                <c:pt idx="15">
                  <c:v>21.434096341554078</c:v>
                </c:pt>
                <c:pt idx="16">
                  <c:v>21.33889641087692</c:v>
                </c:pt>
                <c:pt idx="17">
                  <c:v>21.23643042962274</c:v>
                </c:pt>
                <c:pt idx="18">
                  <c:v>21.125833530335932</c:v>
                </c:pt>
                <c:pt idx="19">
                  <c:v>21.006097916108267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055-4540-BF5D-78E302A00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'Morgan-Pompa fluid data'!$C$31:$C$37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10</c:v>
                </c:pt>
                <c:pt idx="5">
                  <c:v>14</c:v>
                </c:pt>
                <c:pt idx="6">
                  <c:v>18</c:v>
                </c:pt>
              </c:numCache>
            </c:numRef>
          </c:xVal>
          <c:yVal>
            <c:numRef>
              <c:f>'Morgan-Pompa fluid data'!$L$31:$L$37</c:f>
              <c:numCache>
                <c:formatCode>0.00E+00</c:formatCode>
                <c:ptCount val="7"/>
                <c:pt idx="0">
                  <c:v>5.2094490482000001E-3</c:v>
                </c:pt>
                <c:pt idx="1">
                  <c:v>6.6477732850000002E-3</c:v>
                </c:pt>
                <c:pt idx="2">
                  <c:v>6.8741764240000027E-3</c:v>
                </c:pt>
                <c:pt idx="3">
                  <c:v>7.6342260645000017E-3</c:v>
                </c:pt>
                <c:pt idx="4">
                  <c:v>7.4424821882999991E-3</c:v>
                </c:pt>
                <c:pt idx="5">
                  <c:v>7.8710494631999989E-3</c:v>
                </c:pt>
                <c:pt idx="6">
                  <c:v>8.4446070557999981E-3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E-9445-9DCC-FB22DA02B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16655"/>
        <c:axId val="610818367"/>
      </c:scatterChart>
      <c:valAx>
        <c:axId val="61081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18367"/>
        <c:crosses val="autoZero"/>
        <c:crossBetween val="midCat"/>
      </c:valAx>
      <c:valAx>
        <c:axId val="61081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1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WWTP Effluent concentrations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Compiled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'Effluent data'!$B$14:$B$47</c:f>
              <c:numCache>
                <c:formatCode>0.0</c:formatCode>
                <c:ptCount val="34"/>
                <c:pt idx="0">
                  <c:v>83.37</c:v>
                </c:pt>
                <c:pt idx="1">
                  <c:v>91.779368953040105</c:v>
                </c:pt>
                <c:pt idx="2">
                  <c:v>88.683351946496401</c:v>
                </c:pt>
                <c:pt idx="3">
                  <c:v>99.509949350990226</c:v>
                </c:pt>
                <c:pt idx="4">
                  <c:v>103.92534156298903</c:v>
                </c:pt>
                <c:pt idx="5">
                  <c:v>102.05620220527265</c:v>
                </c:pt>
                <c:pt idx="6">
                  <c:v>135.99918235782485</c:v>
                </c:pt>
                <c:pt idx="7">
                  <c:v>120.94756089210608</c:v>
                </c:pt>
                <c:pt idx="8">
                  <c:v>111.7190710653059</c:v>
                </c:pt>
                <c:pt idx="9">
                  <c:v>96.789604913120044</c:v>
                </c:pt>
                <c:pt idx="10">
                  <c:v>137.70090957477009</c:v>
                </c:pt>
                <c:pt idx="11">
                  <c:v>119.16368251325744</c:v>
                </c:pt>
                <c:pt idx="12">
                  <c:v>135.64445930806644</c:v>
                </c:pt>
                <c:pt idx="13">
                  <c:v>120.64271360501472</c:v>
                </c:pt>
                <c:pt idx="14">
                  <c:v>133.53167306863259</c:v>
                </c:pt>
                <c:pt idx="15">
                  <c:v>118.26871937079983</c:v>
                </c:pt>
                <c:pt idx="16">
                  <c:v>101.2337954464836</c:v>
                </c:pt>
                <c:pt idx="17">
                  <c:v>99.941848979125922</c:v>
                </c:pt>
                <c:pt idx="18">
                  <c:v>95.933593496990994</c:v>
                </c:pt>
                <c:pt idx="19">
                  <c:v>94.925757639352653</c:v>
                </c:pt>
                <c:pt idx="20">
                  <c:v>113.53409823590175</c:v>
                </c:pt>
                <c:pt idx="21">
                  <c:v>107.2456305823622</c:v>
                </c:pt>
                <c:pt idx="22">
                  <c:v>119.53058348454209</c:v>
                </c:pt>
                <c:pt idx="23">
                  <c:v>117.07777058325151</c:v>
                </c:pt>
                <c:pt idx="24">
                  <c:v>121.92215623867818</c:v>
                </c:pt>
                <c:pt idx="25">
                  <c:v>110.59799225637092</c:v>
                </c:pt>
                <c:pt idx="26">
                  <c:v>127.49026817999892</c:v>
                </c:pt>
                <c:pt idx="27">
                  <c:v>117.77737829555537</c:v>
                </c:pt>
                <c:pt idx="28">
                  <c:v>112.12568548046876</c:v>
                </c:pt>
                <c:pt idx="29">
                  <c:v>99.799405815905786</c:v>
                </c:pt>
                <c:pt idx="30">
                  <c:v>100.21586317688349</c:v>
                </c:pt>
                <c:pt idx="31">
                  <c:v>100.21326642076568</c:v>
                </c:pt>
                <c:pt idx="32">
                  <c:v>91.095339814803594</c:v>
                </c:pt>
                <c:pt idx="33">
                  <c:v>91.109461425797392</c:v>
                </c:pt>
              </c:numCache>
            </c:numRef>
          </c:xVal>
          <c:yVal>
            <c:numRef>
              <c:f>'Effluent data'!$E$14:$E$47</c:f>
              <c:numCache>
                <c:formatCode>0.0</c:formatCode>
                <c:ptCount val="34"/>
                <c:pt idx="0">
                  <c:v>128.6</c:v>
                </c:pt>
                <c:pt idx="1">
                  <c:v>120.01511770382089</c:v>
                </c:pt>
                <c:pt idx="2">
                  <c:v>113.058439998004</c:v>
                </c:pt>
                <c:pt idx="3">
                  <c:v>145.19540476300881</c:v>
                </c:pt>
                <c:pt idx="4">
                  <c:v>177.22109718342907</c:v>
                </c:pt>
                <c:pt idx="5">
                  <c:v>164.40736245352704</c:v>
                </c:pt>
                <c:pt idx="6">
                  <c:v>265.35766614022725</c:v>
                </c:pt>
                <c:pt idx="7">
                  <c:v>231.95403320630123</c:v>
                </c:pt>
                <c:pt idx="8">
                  <c:v>198.31224309646632</c:v>
                </c:pt>
                <c:pt idx="9">
                  <c:v>170.9554560505365</c:v>
                </c:pt>
                <c:pt idx="10">
                  <c:v>265.95845322327148</c:v>
                </c:pt>
                <c:pt idx="11">
                  <c:v>234.96764663882081</c:v>
                </c:pt>
                <c:pt idx="12">
                  <c:v>252.29951144081329</c:v>
                </c:pt>
                <c:pt idx="13">
                  <c:v>240.37814256573128</c:v>
                </c:pt>
                <c:pt idx="14">
                  <c:v>241.83458636901602</c:v>
                </c:pt>
                <c:pt idx="15">
                  <c:v>227.94657458677</c:v>
                </c:pt>
                <c:pt idx="16">
                  <c:v>199.66015515782135</c:v>
                </c:pt>
                <c:pt idx="17">
                  <c:v>201.08349622164948</c:v>
                </c:pt>
                <c:pt idx="18">
                  <c:v>178.08655128228438</c:v>
                </c:pt>
                <c:pt idx="19">
                  <c:v>178.66969504588852</c:v>
                </c:pt>
                <c:pt idx="20">
                  <c:v>143.50666106547044</c:v>
                </c:pt>
                <c:pt idx="21">
                  <c:v>142.65845881962824</c:v>
                </c:pt>
                <c:pt idx="22">
                  <c:v>124.22835725053535</c:v>
                </c:pt>
                <c:pt idx="23">
                  <c:v>111.90143257042961</c:v>
                </c:pt>
                <c:pt idx="24">
                  <c:v>127.79321660147062</c:v>
                </c:pt>
                <c:pt idx="25">
                  <c:v>112.56796861773938</c:v>
                </c:pt>
                <c:pt idx="26">
                  <c:v>155.52028457134742</c:v>
                </c:pt>
                <c:pt idx="27">
                  <c:v>138.25637426043534</c:v>
                </c:pt>
                <c:pt idx="28">
                  <c:v>139.78644352808874</c:v>
                </c:pt>
                <c:pt idx="29">
                  <c:v>120.59852966616707</c:v>
                </c:pt>
                <c:pt idx="30">
                  <c:v>128.73756549753818</c:v>
                </c:pt>
                <c:pt idx="31">
                  <c:v>114.96072205182853</c:v>
                </c:pt>
                <c:pt idx="32">
                  <c:v>137.23352389053309</c:v>
                </c:pt>
                <c:pt idx="33">
                  <c:v>122.60993678692111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5C-4812-B22D-6A9E94A6C585}"/>
            </c:ext>
          </c:extLst>
        </c:ser>
        <c:ser>
          <c:idx val="0"/>
          <c:order val="1"/>
          <c:tx>
            <c:v>This study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8"/>
            <c:spPr>
              <a:noFill/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'Effluent data'!$B$12</c:f>
              <c:numCache>
                <c:formatCode>0.00</c:formatCode>
                <c:ptCount val="1"/>
                <c:pt idx="0">
                  <c:v>85.941665898086072</c:v>
                </c:pt>
              </c:numCache>
            </c:numRef>
          </c:xVal>
          <c:yVal>
            <c:numRef>
              <c:f>'Effluent data'!$E$12</c:f>
              <c:numCache>
                <c:formatCode>0.00</c:formatCode>
                <c:ptCount val="1"/>
                <c:pt idx="0">
                  <c:v>145.64499654138777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5C-4812-B22D-6A9E94A6C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86503"/>
        <c:axId val="455788551"/>
      </c:scatterChart>
      <c:valAx>
        <c:axId val="455786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 conc (microgram/g)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88551"/>
        <c:crosses val="autoZero"/>
        <c:crossBetween val="midCat"/>
      </c:valAx>
      <c:valAx>
        <c:axId val="455788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 conc (microgram/g)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86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WWTP Effluent concentrations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Compiled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'Effluent data'!$C$14:$C$47</c:f>
              <c:numCache>
                <c:formatCode>0.0</c:formatCode>
                <c:ptCount val="34"/>
                <c:pt idx="0">
                  <c:v>15.44</c:v>
                </c:pt>
                <c:pt idx="1">
                  <c:v>14.1564</c:v>
                </c:pt>
                <c:pt idx="2">
                  <c:v>12.2123108804153</c:v>
                </c:pt>
                <c:pt idx="3">
                  <c:v>14.035208962338841</c:v>
                </c:pt>
                <c:pt idx="4">
                  <c:v>15.911742227339099</c:v>
                </c:pt>
                <c:pt idx="5">
                  <c:v>13.269059906937464</c:v>
                </c:pt>
                <c:pt idx="6">
                  <c:v>10.355061472350592</c:v>
                </c:pt>
                <c:pt idx="7">
                  <c:v>7.3418346849630689</c:v>
                </c:pt>
                <c:pt idx="8">
                  <c:v>15.683049874932788</c:v>
                </c:pt>
                <c:pt idx="9">
                  <c:v>11.960834638103814</c:v>
                </c:pt>
                <c:pt idx="10">
                  <c:v>15.262342809529654</c:v>
                </c:pt>
                <c:pt idx="11">
                  <c:v>11.286815535546719</c:v>
                </c:pt>
                <c:pt idx="12">
                  <c:v>10.111222106829226</c:v>
                </c:pt>
                <c:pt idx="13">
                  <c:v>7.6913565283360699</c:v>
                </c:pt>
                <c:pt idx="14">
                  <c:v>10.065835317806393</c:v>
                </c:pt>
                <c:pt idx="15">
                  <c:v>7.8983348540503782</c:v>
                </c:pt>
                <c:pt idx="16">
                  <c:v>14.802473061263205</c:v>
                </c:pt>
                <c:pt idx="17">
                  <c:v>12.43079745422388</c:v>
                </c:pt>
                <c:pt idx="18">
                  <c:v>13.833727313279676</c:v>
                </c:pt>
                <c:pt idx="19">
                  <c:v>12.117032407560519</c:v>
                </c:pt>
                <c:pt idx="20">
                  <c:v>8.955330857992351</c:v>
                </c:pt>
                <c:pt idx="21">
                  <c:v>8.2094543754759837</c:v>
                </c:pt>
                <c:pt idx="22">
                  <c:v>8.578965318506194</c:v>
                </c:pt>
                <c:pt idx="23">
                  <c:v>7.5999361160956642</c:v>
                </c:pt>
                <c:pt idx="24">
                  <c:v>8.9974853345868873</c:v>
                </c:pt>
                <c:pt idx="25">
                  <c:v>7.6960461120063739</c:v>
                </c:pt>
                <c:pt idx="26">
                  <c:v>11.705836697723969</c:v>
                </c:pt>
                <c:pt idx="27">
                  <c:v>10.893442012959994</c:v>
                </c:pt>
                <c:pt idx="28">
                  <c:v>12.037796722742195</c:v>
                </c:pt>
                <c:pt idx="29">
                  <c:v>10.999185037119489</c:v>
                </c:pt>
                <c:pt idx="30">
                  <c:v>14.176602851457279</c:v>
                </c:pt>
                <c:pt idx="31">
                  <c:v>12.360862483536261</c:v>
                </c:pt>
                <c:pt idx="32">
                  <c:v>15.392624548127433</c:v>
                </c:pt>
                <c:pt idx="33">
                  <c:v>13.474448340260897</c:v>
                </c:pt>
              </c:numCache>
            </c:numRef>
          </c:xVal>
          <c:yVal>
            <c:numRef>
              <c:f>'Effluent data'!$E$14:$E$47</c:f>
              <c:numCache>
                <c:formatCode>0.0</c:formatCode>
                <c:ptCount val="34"/>
                <c:pt idx="0">
                  <c:v>128.6</c:v>
                </c:pt>
                <c:pt idx="1">
                  <c:v>120.01511770382089</c:v>
                </c:pt>
                <c:pt idx="2">
                  <c:v>113.058439998004</c:v>
                </c:pt>
                <c:pt idx="3">
                  <c:v>145.19540476300881</c:v>
                </c:pt>
                <c:pt idx="4">
                  <c:v>177.22109718342907</c:v>
                </c:pt>
                <c:pt idx="5">
                  <c:v>164.40736245352704</c:v>
                </c:pt>
                <c:pt idx="6">
                  <c:v>265.35766614022725</c:v>
                </c:pt>
                <c:pt idx="7">
                  <c:v>231.95403320630123</c:v>
                </c:pt>
                <c:pt idx="8">
                  <c:v>198.31224309646632</c:v>
                </c:pt>
                <c:pt idx="9">
                  <c:v>170.9554560505365</c:v>
                </c:pt>
                <c:pt idx="10">
                  <c:v>265.95845322327148</c:v>
                </c:pt>
                <c:pt idx="11">
                  <c:v>234.96764663882081</c:v>
                </c:pt>
                <c:pt idx="12">
                  <c:v>252.29951144081329</c:v>
                </c:pt>
                <c:pt idx="13">
                  <c:v>240.37814256573128</c:v>
                </c:pt>
                <c:pt idx="14">
                  <c:v>241.83458636901602</c:v>
                </c:pt>
                <c:pt idx="15">
                  <c:v>227.94657458677</c:v>
                </c:pt>
                <c:pt idx="16">
                  <c:v>199.66015515782135</c:v>
                </c:pt>
                <c:pt idx="17">
                  <c:v>201.08349622164948</c:v>
                </c:pt>
                <c:pt idx="18">
                  <c:v>178.08655128228438</c:v>
                </c:pt>
                <c:pt idx="19">
                  <c:v>178.66969504588852</c:v>
                </c:pt>
                <c:pt idx="20">
                  <c:v>143.50666106547044</c:v>
                </c:pt>
                <c:pt idx="21">
                  <c:v>142.65845881962824</c:v>
                </c:pt>
                <c:pt idx="22">
                  <c:v>124.22835725053535</c:v>
                </c:pt>
                <c:pt idx="23">
                  <c:v>111.90143257042961</c:v>
                </c:pt>
                <c:pt idx="24">
                  <c:v>127.79321660147062</c:v>
                </c:pt>
                <c:pt idx="25">
                  <c:v>112.56796861773938</c:v>
                </c:pt>
                <c:pt idx="26">
                  <c:v>155.52028457134742</c:v>
                </c:pt>
                <c:pt idx="27">
                  <c:v>138.25637426043534</c:v>
                </c:pt>
                <c:pt idx="28">
                  <c:v>139.78644352808874</c:v>
                </c:pt>
                <c:pt idx="29">
                  <c:v>120.59852966616707</c:v>
                </c:pt>
                <c:pt idx="30">
                  <c:v>128.73756549753818</c:v>
                </c:pt>
                <c:pt idx="31">
                  <c:v>114.96072205182853</c:v>
                </c:pt>
                <c:pt idx="32">
                  <c:v>137.23352389053309</c:v>
                </c:pt>
                <c:pt idx="33">
                  <c:v>122.60993678692111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70-44C0-B610-9BBE90F2C944}"/>
            </c:ext>
          </c:extLst>
        </c:ser>
        <c:ser>
          <c:idx val="0"/>
          <c:order val="1"/>
          <c:tx>
            <c:v>This study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8"/>
            <c:spPr>
              <a:noFill/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'Effluent data'!$C$12</c:f>
              <c:numCache>
                <c:formatCode>0.00</c:formatCode>
                <c:ptCount val="1"/>
                <c:pt idx="0">
                  <c:v>10.89557989393588</c:v>
                </c:pt>
              </c:numCache>
            </c:numRef>
          </c:xVal>
          <c:yVal>
            <c:numRef>
              <c:f>'Effluent data'!$E$12</c:f>
              <c:numCache>
                <c:formatCode>0.00</c:formatCode>
                <c:ptCount val="1"/>
                <c:pt idx="0">
                  <c:v>145.64499654138777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70-44C0-B610-9BBE90F2C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86503"/>
        <c:axId val="455788551"/>
      </c:scatterChart>
      <c:valAx>
        <c:axId val="455786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 conc (microgram/g)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88551"/>
        <c:crosses val="autoZero"/>
        <c:crossBetween val="midCat"/>
      </c:valAx>
      <c:valAx>
        <c:axId val="455788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conc (microgram/g)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86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WWTP Effluent concentrations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Compiled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'Effluent data'!$D$14:$D$47</c:f>
              <c:numCache>
                <c:formatCode>0.0</c:formatCode>
                <c:ptCount val="34"/>
                <c:pt idx="0">
                  <c:v>43.05</c:v>
                </c:pt>
                <c:pt idx="1">
                  <c:v>40.593555588026483</c:v>
                </c:pt>
                <c:pt idx="2">
                  <c:v>39.892648263126397</c:v>
                </c:pt>
                <c:pt idx="3">
                  <c:v>41.310822514131182</c:v>
                </c:pt>
                <c:pt idx="4">
                  <c:v>45.799269354020808</c:v>
                </c:pt>
                <c:pt idx="5">
                  <c:v>44.429542846644907</c:v>
                </c:pt>
                <c:pt idx="6">
                  <c:v>55.015144443419651</c:v>
                </c:pt>
                <c:pt idx="7">
                  <c:v>50.523291311567235</c:v>
                </c:pt>
                <c:pt idx="8">
                  <c:v>47.363959440969275</c:v>
                </c:pt>
                <c:pt idx="9">
                  <c:v>44.64440849490623</c:v>
                </c:pt>
                <c:pt idx="10">
                  <c:v>55.890592620001883</c:v>
                </c:pt>
                <c:pt idx="11">
                  <c:v>53.345828475825037</c:v>
                </c:pt>
                <c:pt idx="12">
                  <c:v>57.58177454452764</c:v>
                </c:pt>
                <c:pt idx="13">
                  <c:v>52.185623644655841</c:v>
                </c:pt>
                <c:pt idx="14">
                  <c:v>57.580771819142761</c:v>
                </c:pt>
                <c:pt idx="15">
                  <c:v>53.362784767166346</c:v>
                </c:pt>
                <c:pt idx="16">
                  <c:v>45.262199348887783</c:v>
                </c:pt>
                <c:pt idx="17">
                  <c:v>44.673487329982834</c:v>
                </c:pt>
                <c:pt idx="18">
                  <c:v>43.251092337067888</c:v>
                </c:pt>
                <c:pt idx="19">
                  <c:v>42.709206836574417</c:v>
                </c:pt>
                <c:pt idx="20">
                  <c:v>51.355816365605619</c:v>
                </c:pt>
                <c:pt idx="21">
                  <c:v>48.964128496788092</c:v>
                </c:pt>
                <c:pt idx="22">
                  <c:v>51.296882526831418</c:v>
                </c:pt>
                <c:pt idx="23">
                  <c:v>51.996474122476904</c:v>
                </c:pt>
                <c:pt idx="24">
                  <c:v>49.835221873470239</c:v>
                </c:pt>
                <c:pt idx="25">
                  <c:v>49.394696903424872</c:v>
                </c:pt>
                <c:pt idx="26">
                  <c:v>52.902517082119047</c:v>
                </c:pt>
                <c:pt idx="27">
                  <c:v>53.16754744418359</c:v>
                </c:pt>
                <c:pt idx="28">
                  <c:v>46.308956370126332</c:v>
                </c:pt>
                <c:pt idx="29">
                  <c:v>44.719431735948376</c:v>
                </c:pt>
                <c:pt idx="30">
                  <c:v>44.833404827631206</c:v>
                </c:pt>
                <c:pt idx="31">
                  <c:v>45.351499135596384</c:v>
                </c:pt>
                <c:pt idx="32">
                  <c:v>41.70864826190887</c:v>
                </c:pt>
                <c:pt idx="33">
                  <c:v>41.955377155730517</c:v>
                </c:pt>
              </c:numCache>
            </c:numRef>
          </c:xVal>
          <c:yVal>
            <c:numRef>
              <c:f>'Effluent data'!$E$14:$E$47</c:f>
              <c:numCache>
                <c:formatCode>0.0</c:formatCode>
                <c:ptCount val="34"/>
                <c:pt idx="0">
                  <c:v>128.6</c:v>
                </c:pt>
                <c:pt idx="1">
                  <c:v>120.01511770382089</c:v>
                </c:pt>
                <c:pt idx="2">
                  <c:v>113.058439998004</c:v>
                </c:pt>
                <c:pt idx="3">
                  <c:v>145.19540476300881</c:v>
                </c:pt>
                <c:pt idx="4">
                  <c:v>177.22109718342907</c:v>
                </c:pt>
                <c:pt idx="5">
                  <c:v>164.40736245352704</c:v>
                </c:pt>
                <c:pt idx="6">
                  <c:v>265.35766614022725</c:v>
                </c:pt>
                <c:pt idx="7">
                  <c:v>231.95403320630123</c:v>
                </c:pt>
                <c:pt idx="8">
                  <c:v>198.31224309646632</c:v>
                </c:pt>
                <c:pt idx="9">
                  <c:v>170.9554560505365</c:v>
                </c:pt>
                <c:pt idx="10">
                  <c:v>265.95845322327148</c:v>
                </c:pt>
                <c:pt idx="11">
                  <c:v>234.96764663882081</c:v>
                </c:pt>
                <c:pt idx="12">
                  <c:v>252.29951144081329</c:v>
                </c:pt>
                <c:pt idx="13">
                  <c:v>240.37814256573128</c:v>
                </c:pt>
                <c:pt idx="14">
                  <c:v>241.83458636901602</c:v>
                </c:pt>
                <c:pt idx="15">
                  <c:v>227.94657458677</c:v>
                </c:pt>
                <c:pt idx="16">
                  <c:v>199.66015515782135</c:v>
                </c:pt>
                <c:pt idx="17">
                  <c:v>201.08349622164948</c:v>
                </c:pt>
                <c:pt idx="18">
                  <c:v>178.08655128228438</c:v>
                </c:pt>
                <c:pt idx="19">
                  <c:v>178.66969504588852</c:v>
                </c:pt>
                <c:pt idx="20">
                  <c:v>143.50666106547044</c:v>
                </c:pt>
                <c:pt idx="21">
                  <c:v>142.65845881962824</c:v>
                </c:pt>
                <c:pt idx="22">
                  <c:v>124.22835725053535</c:v>
                </c:pt>
                <c:pt idx="23">
                  <c:v>111.90143257042961</c:v>
                </c:pt>
                <c:pt idx="24">
                  <c:v>127.79321660147062</c:v>
                </c:pt>
                <c:pt idx="25">
                  <c:v>112.56796861773938</c:v>
                </c:pt>
                <c:pt idx="26">
                  <c:v>155.52028457134742</c:v>
                </c:pt>
                <c:pt idx="27">
                  <c:v>138.25637426043534</c:v>
                </c:pt>
                <c:pt idx="28">
                  <c:v>139.78644352808874</c:v>
                </c:pt>
                <c:pt idx="29">
                  <c:v>120.59852966616707</c:v>
                </c:pt>
                <c:pt idx="30">
                  <c:v>128.73756549753818</c:v>
                </c:pt>
                <c:pt idx="31">
                  <c:v>114.96072205182853</c:v>
                </c:pt>
                <c:pt idx="32">
                  <c:v>137.23352389053309</c:v>
                </c:pt>
                <c:pt idx="33">
                  <c:v>122.60993678692111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1-47D3-900A-F20FC4457B12}"/>
            </c:ext>
          </c:extLst>
        </c:ser>
        <c:ser>
          <c:idx val="0"/>
          <c:order val="1"/>
          <c:tx>
            <c:v>This study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8"/>
            <c:spPr>
              <a:noFill/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'Effluent data'!$D$12</c:f>
              <c:numCache>
                <c:formatCode>0.00</c:formatCode>
                <c:ptCount val="1"/>
                <c:pt idx="0">
                  <c:v>38.245709015448391</c:v>
                </c:pt>
              </c:numCache>
            </c:numRef>
          </c:xVal>
          <c:yVal>
            <c:numRef>
              <c:f>'Effluent data'!$E$12</c:f>
              <c:numCache>
                <c:formatCode>0.00</c:formatCode>
                <c:ptCount val="1"/>
                <c:pt idx="0">
                  <c:v>145.64499654138777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31-47D3-900A-F20FC4457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786503"/>
        <c:axId val="455788551"/>
      </c:scatterChart>
      <c:valAx>
        <c:axId val="455786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 conc (microgram/g)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88551"/>
        <c:crosses val="autoZero"/>
        <c:crossBetween val="midCat"/>
      </c:valAx>
      <c:valAx>
        <c:axId val="455788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 conc (microgram/g)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786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Physical mixing &amp;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Phys mix only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'two-endmember mixing'!$U$13:$U$34</c:f>
              <c:numCache>
                <c:formatCode>0.000</c:formatCode>
                <c:ptCount val="22"/>
                <c:pt idx="0">
                  <c:v>0.55738749899999995</c:v>
                </c:pt>
                <c:pt idx="1">
                  <c:v>0.53665929359413911</c:v>
                </c:pt>
                <c:pt idx="2">
                  <c:v>0.51593108818827826</c:v>
                </c:pt>
                <c:pt idx="3">
                  <c:v>0.49520288278241725</c:v>
                </c:pt>
                <c:pt idx="4">
                  <c:v>0.47447467737655641</c:v>
                </c:pt>
                <c:pt idx="5">
                  <c:v>0.45374647197069551</c:v>
                </c:pt>
                <c:pt idx="6">
                  <c:v>0.43301826656483472</c:v>
                </c:pt>
                <c:pt idx="7">
                  <c:v>0.41229006115897376</c:v>
                </c:pt>
                <c:pt idx="8">
                  <c:v>0.39156185575311292</c:v>
                </c:pt>
                <c:pt idx="9">
                  <c:v>0.37083365034725202</c:v>
                </c:pt>
                <c:pt idx="10">
                  <c:v>0.35010544494139112</c:v>
                </c:pt>
                <c:pt idx="11">
                  <c:v>0.32937723953553028</c:v>
                </c:pt>
                <c:pt idx="12">
                  <c:v>0.30864903412966938</c:v>
                </c:pt>
                <c:pt idx="13">
                  <c:v>0.28792082872380842</c:v>
                </c:pt>
                <c:pt idx="14">
                  <c:v>0.26719262331794758</c:v>
                </c:pt>
                <c:pt idx="15">
                  <c:v>0.24646441791208668</c:v>
                </c:pt>
                <c:pt idx="16">
                  <c:v>0.2257362125062258</c:v>
                </c:pt>
                <c:pt idx="17">
                  <c:v>0.20500800710036493</c:v>
                </c:pt>
                <c:pt idx="18">
                  <c:v>0.184279801694504</c:v>
                </c:pt>
                <c:pt idx="19">
                  <c:v>0.16355159628864316</c:v>
                </c:pt>
                <c:pt idx="20">
                  <c:v>0.14282339088278223</c:v>
                </c:pt>
                <c:pt idx="21">
                  <c:v>0.12209518547692136</c:v>
                </c:pt>
              </c:numCache>
            </c:numRef>
          </c:xVal>
          <c:yVal>
            <c:numRef>
              <c:f>'two-endmember mixing'!$O$13:$O$34</c:f>
              <c:numCache>
                <c:formatCode>0.000</c:formatCode>
                <c:ptCount val="22"/>
                <c:pt idx="0">
                  <c:v>3.6604278939999997</c:v>
                </c:pt>
                <c:pt idx="1">
                  <c:v>3.4913598990476191</c:v>
                </c:pt>
                <c:pt idx="2">
                  <c:v>3.3222919040952386</c:v>
                </c:pt>
                <c:pt idx="3">
                  <c:v>3.1532239091428571</c:v>
                </c:pt>
                <c:pt idx="4">
                  <c:v>2.9841559141904761</c:v>
                </c:pt>
                <c:pt idx="5">
                  <c:v>2.8150879192380955</c:v>
                </c:pt>
                <c:pt idx="6">
                  <c:v>2.646019924285715</c:v>
                </c:pt>
                <c:pt idx="7">
                  <c:v>2.4769519293333335</c:v>
                </c:pt>
                <c:pt idx="8">
                  <c:v>2.3078839343809525</c:v>
                </c:pt>
                <c:pt idx="9">
                  <c:v>2.138815939428572</c:v>
                </c:pt>
                <c:pt idx="10">
                  <c:v>1.9697479444761907</c:v>
                </c:pt>
                <c:pt idx="11">
                  <c:v>1.8006799495238102</c:v>
                </c:pt>
                <c:pt idx="12">
                  <c:v>1.6316119545714298</c:v>
                </c:pt>
                <c:pt idx="13">
                  <c:v>1.4625439596190484</c:v>
                </c:pt>
                <c:pt idx="14">
                  <c:v>1.2934759646666674</c:v>
                </c:pt>
                <c:pt idx="15">
                  <c:v>1.1244079697142864</c:v>
                </c:pt>
                <c:pt idx="16">
                  <c:v>0.9553399747619058</c:v>
                </c:pt>
                <c:pt idx="17">
                  <c:v>0.7862719798095249</c:v>
                </c:pt>
                <c:pt idx="18">
                  <c:v>0.61720398485714389</c:v>
                </c:pt>
                <c:pt idx="19">
                  <c:v>0.44813598990476305</c:v>
                </c:pt>
                <c:pt idx="20">
                  <c:v>0.27906799495238194</c:v>
                </c:pt>
                <c:pt idx="21">
                  <c:v>0.11000000000000118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D-1D4F-8DB0-35B70D52E1CC}"/>
            </c:ext>
          </c:extLst>
        </c:ser>
        <c:ser>
          <c:idx val="3"/>
          <c:order val="1"/>
          <c:tx>
            <c:v>Congruent weath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mixing'!$BV$13:$BV$33</c:f>
              <c:numCache>
                <c:formatCode>0.000</c:formatCode>
                <c:ptCount val="21"/>
                <c:pt idx="0">
                  <c:v>0.33974134223846059</c:v>
                </c:pt>
                <c:pt idx="1">
                  <c:v>0.33416067155226725</c:v>
                </c:pt>
                <c:pt idx="2">
                  <c:v>0.32828628135627436</c:v>
                </c:pt>
                <c:pt idx="3">
                  <c:v>0.3220943565550925</c:v>
                </c:pt>
                <c:pt idx="4">
                  <c:v>0.31555843593162286</c:v>
                </c:pt>
                <c:pt idx="5">
                  <c:v>0.30864903412966926</c:v>
                </c:pt>
                <c:pt idx="6">
                  <c:v>0.30133319692760069</c:v>
                </c:pt>
                <c:pt idx="7">
                  <c:v>0.29357397565267951</c:v>
                </c:pt>
                <c:pt idx="8">
                  <c:v>0.28532980304807576</c:v>
                </c:pt>
                <c:pt idx="9">
                  <c:v>0.27655374833994911</c:v>
                </c:pt>
                <c:pt idx="10">
                  <c:v>0.26719262331794752</c:v>
                </c:pt>
                <c:pt idx="11">
                  <c:v>0.25718590346684217</c:v>
                </c:pt>
                <c:pt idx="12">
                  <c:v>0.24646441791208659</c:v>
                </c:pt>
                <c:pt idx="13">
                  <c:v>0.23494874824216383</c:v>
                </c:pt>
                <c:pt idx="14">
                  <c:v>0.22254725782840093</c:v>
                </c:pt>
                <c:pt idx="15">
                  <c:v>0.20915364818153689</c:v>
                </c:pt>
                <c:pt idx="16">
                  <c:v>0.19464390439743429</c:v>
                </c:pt>
                <c:pt idx="17">
                  <c:v>0.17887244376254008</c:v>
                </c:pt>
                <c:pt idx="18">
                  <c:v>0.16166721397901918</c:v>
                </c:pt>
                <c:pt idx="19">
                  <c:v>0.14282339088278195</c:v>
                </c:pt>
                <c:pt idx="20">
                  <c:v>0.12209518547692116</c:v>
                </c:pt>
              </c:numCache>
            </c:numRef>
          </c:xVal>
          <c:yVal>
            <c:numRef>
              <c:f>'two-endmember mixing'!$BP$13:$BP$33</c:f>
              <c:numCache>
                <c:formatCode>0.000</c:formatCode>
                <c:ptCount val="21"/>
                <c:pt idx="0">
                  <c:v>1.8852139469999998</c:v>
                </c:pt>
                <c:pt idx="1">
                  <c:v>1.8396956406666669</c:v>
                </c:pt>
                <c:pt idx="2">
                  <c:v>1.7917816340000003</c:v>
                </c:pt>
                <c:pt idx="3">
                  <c:v>1.741277681027027</c:v>
                </c:pt>
                <c:pt idx="4">
                  <c:v>1.6879679528888889</c:v>
                </c:pt>
                <c:pt idx="5">
                  <c:v>1.6316119545714287</c:v>
                </c:pt>
                <c:pt idx="6">
                  <c:v>1.571940897529412</c:v>
                </c:pt>
                <c:pt idx="7">
                  <c:v>1.508653412787879</c:v>
                </c:pt>
                <c:pt idx="8">
                  <c:v>1.4414104602500002</c:v>
                </c:pt>
                <c:pt idx="9">
                  <c:v>1.3698292527096776</c:v>
                </c:pt>
                <c:pt idx="10">
                  <c:v>1.2934759646666669</c:v>
                </c:pt>
                <c:pt idx="11">
                  <c:v>1.2118569326206898</c:v>
                </c:pt>
                <c:pt idx="12">
                  <c:v>1.1244079697142859</c:v>
                </c:pt>
                <c:pt idx="13">
                  <c:v>1.0304813058518518</c:v>
                </c:pt>
                <c:pt idx="14">
                  <c:v>0.92932951400000008</c:v>
                </c:pt>
                <c:pt idx="15">
                  <c:v>0.82008557879999966</c:v>
                </c:pt>
                <c:pt idx="16">
                  <c:v>0.70173798233333318</c:v>
                </c:pt>
                <c:pt idx="17">
                  <c:v>0.57309929052173858</c:v>
                </c:pt>
                <c:pt idx="18">
                  <c:v>0.4327661721818174</c:v>
                </c:pt>
                <c:pt idx="19">
                  <c:v>0.27906799495238038</c:v>
                </c:pt>
                <c:pt idx="20">
                  <c:v>0.11000000000000038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D-1D4F-8DB0-35B70D52E1CC}"/>
            </c:ext>
          </c:extLst>
        </c:ser>
        <c:ser>
          <c:idx val="5"/>
          <c:order val="2"/>
          <c:tx>
            <c:v>Incongruent weath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'two-endmember mixing'!$BP$43:$BP$62</c:f>
              <c:numCache>
                <c:formatCode>0.000</c:formatCode>
                <c:ptCount val="20"/>
                <c:pt idx="0">
                  <c:v>4.3803060498698665</c:v>
                </c:pt>
                <c:pt idx="1">
                  <c:v>4.452312973697846</c:v>
                </c:pt>
                <c:pt idx="2">
                  <c:v>4.5276933411329701</c:v>
                </c:pt>
                <c:pt idx="3">
                  <c:v>4.6066899015156055</c:v>
                </c:pt>
                <c:pt idx="4">
                  <c:v>4.6895692672106302</c:v>
                </c:pt>
                <c:pt idx="5">
                  <c:v>4.7766249197487838</c:v>
                </c:pt>
                <c:pt idx="6">
                  <c:v>4.8681806821514026</c:v>
                </c:pt>
                <c:pt idx="7">
                  <c:v>4.9645947440197142</c:v>
                </c:pt>
                <c:pt idx="8">
                  <c:v>5.066264344848042</c:v>
                </c:pt>
                <c:pt idx="9">
                  <c:v>5.1736312446589352</c:v>
                </c:pt>
                <c:pt idx="10">
                  <c:v>5.2871881408296852</c:v>
                </c:pt>
                <c:pt idx="11">
                  <c:v>5.4074862277041511</c:v>
                </c:pt>
                <c:pt idx="12">
                  <c:v>5.5351441436942697</c:v>
                </c:pt>
                <c:pt idx="13">
                  <c:v>5.6708586123492388</c:v>
                </c:pt>
                <c:pt idx="14">
                  <c:v>5.8154171637591912</c:v>
                </c:pt>
                <c:pt idx="15">
                  <c:v>5.9697134267654679</c:v>
                </c:pt>
                <c:pt idx="16">
                  <c:v>6.1347656192121072</c:v>
                </c:pt>
                <c:pt idx="17">
                  <c:v>6.311739044686286</c:v>
                </c:pt>
                <c:pt idx="18">
                  <c:v>6.5019736465136955</c:v>
                </c:pt>
                <c:pt idx="19">
                  <c:v>6.7070179969829811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AD-1D4F-8DB0-35B70D52E1CC}"/>
            </c:ext>
          </c:extLst>
        </c:ser>
        <c:ser>
          <c:idx val="1"/>
          <c:order val="3"/>
          <c:tx>
            <c:v>H9 basalt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8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mixing'!$D$18</c:f>
              <c:numCache>
                <c:formatCode>0.000</c:formatCode>
                <c:ptCount val="1"/>
                <c:pt idx="0">
                  <c:v>0.55738749899999995</c:v>
                </c:pt>
              </c:numCache>
            </c:numRef>
          </c:xVal>
          <c:yVal>
            <c:numRef>
              <c:f>'two-endmember mixing'!$D$13</c:f>
              <c:numCache>
                <c:formatCode>0.000</c:formatCode>
                <c:ptCount val="1"/>
                <c:pt idx="0">
                  <c:v>3.6604278940000001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D-1D4F-8DB0-35B70D52E1CC}"/>
            </c:ext>
          </c:extLst>
        </c:ser>
        <c:ser>
          <c:idx val="2"/>
          <c:order val="4"/>
          <c:tx>
            <c:v>P6-A LFGL soil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8"/>
            <c:spPr>
              <a:noFill/>
              <a:ln w="34925" cap="flat" cmpd="dbl" algn="ctr">
                <a:solidFill>
                  <a:schemeClr val="accent6"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'two-endmember mixing'!$G$13</c:f>
              <c:numCache>
                <c:formatCode>0.000</c:formatCode>
                <c:ptCount val="1"/>
                <c:pt idx="0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6AD-1D4F-8DB0-35B70D52E1CC}"/>
            </c:ext>
          </c:extLst>
        </c:ser>
        <c:ser>
          <c:idx val="4"/>
          <c:order val="5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'Morgan-Pompa solid data'!$O$35:$O$50</c:f>
              <c:numCache>
                <c:formatCode>0.000</c:formatCode>
                <c:ptCount val="16"/>
                <c:pt idx="0">
                  <c:v>0.55739447818193211</c:v>
                </c:pt>
                <c:pt idx="1">
                  <c:v>0.59335541225818567</c:v>
                </c:pt>
                <c:pt idx="2">
                  <c:v>0.62931634633443934</c:v>
                </c:pt>
                <c:pt idx="3">
                  <c:v>0.52143354410567833</c:v>
                </c:pt>
                <c:pt idx="4">
                  <c:v>0.59335541225818567</c:v>
                </c:pt>
                <c:pt idx="5">
                  <c:v>0.59335541225818567</c:v>
                </c:pt>
                <c:pt idx="6">
                  <c:v>0.61732936830902141</c:v>
                </c:pt>
                <c:pt idx="7">
                  <c:v>1.006906154135103</c:v>
                </c:pt>
                <c:pt idx="8">
                  <c:v>0.5633879671946409</c:v>
                </c:pt>
                <c:pt idx="9">
                  <c:v>0.50345307706755149</c:v>
                </c:pt>
                <c:pt idx="10">
                  <c:v>0.54540750015651418</c:v>
                </c:pt>
                <c:pt idx="11">
                  <c:v>0.54540750015651418</c:v>
                </c:pt>
                <c:pt idx="12">
                  <c:v>0.59934890127089469</c:v>
                </c:pt>
                <c:pt idx="13">
                  <c:v>0.65329030238527519</c:v>
                </c:pt>
                <c:pt idx="14">
                  <c:v>0.58136843423276774</c:v>
                </c:pt>
                <c:pt idx="15">
                  <c:v>0.88703637388092405</c:v>
                </c:pt>
              </c:numCache>
            </c:numRef>
          </c:xVal>
          <c:yVal>
            <c:numRef>
              <c:f>'Morgan-Pompa solid data'!$I$35:$I$50</c:f>
              <c:numCache>
                <c:formatCode>0.000</c:formatCode>
                <c:ptCount val="16"/>
                <c:pt idx="0">
                  <c:v>2.683536373560937</c:v>
                </c:pt>
                <c:pt idx="1">
                  <c:v>2.7016276300119095</c:v>
                </c:pt>
                <c:pt idx="2">
                  <c:v>2.991087733227471</c:v>
                </c:pt>
                <c:pt idx="3">
                  <c:v>2.6352930230250102</c:v>
                </c:pt>
                <c:pt idx="4">
                  <c:v>2.9488748015085346</c:v>
                </c:pt>
                <c:pt idx="5">
                  <c:v>2.7920839122667727</c:v>
                </c:pt>
                <c:pt idx="6">
                  <c:v>2.9669660579595076</c:v>
                </c:pt>
                <c:pt idx="7">
                  <c:v>5.523863636363636</c:v>
                </c:pt>
                <c:pt idx="8">
                  <c:v>2.7197188864628816</c:v>
                </c:pt>
                <c:pt idx="9">
                  <c:v>2.5026238090512103</c:v>
                </c:pt>
                <c:pt idx="10">
                  <c:v>2.6352930230250102</c:v>
                </c:pt>
                <c:pt idx="11">
                  <c:v>2.6533842794759828</c:v>
                </c:pt>
                <c:pt idx="12">
                  <c:v>2.8282664251687182</c:v>
                </c:pt>
                <c:pt idx="13">
                  <c:v>3.1539090412862252</c:v>
                </c:pt>
                <c:pt idx="14">
                  <c:v>2.8041447499007548</c:v>
                </c:pt>
                <c:pt idx="15">
                  <c:v>4.866547985311632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6AD-1D4F-8DB0-35B70D52E1CC}"/>
            </c:ext>
          </c:extLst>
        </c:ser>
        <c:ser>
          <c:idx val="6"/>
          <c:order val="6"/>
          <c:tx>
            <c:v>Ave EXPT</c:v>
          </c:tx>
          <c:spPr>
            <a:ln w="63500" cap="flat" cmpd="dbl" algn="ctr">
              <a:noFill/>
              <a:round/>
            </a:ln>
            <a:effectLst/>
          </c:spPr>
          <c:marker>
            <c:symbol val="plus"/>
            <c:size val="40"/>
            <c:spPr>
              <a:noFill/>
              <a:ln w="63500" cap="flat" cmpd="dbl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'two-endmember mixing'!$D$39</c:f>
              <c:numCache>
                <c:formatCode>0.000</c:formatCode>
                <c:ptCount val="1"/>
                <c:pt idx="0">
                  <c:v>0.5783716897264134</c:v>
                </c:pt>
              </c:numCache>
            </c:numRef>
          </c:xVal>
          <c:yVal>
            <c:numRef>
              <c:f>'two-endmember mixing'!$D$34</c:f>
              <c:numCache>
                <c:formatCode>0.000</c:formatCode>
                <c:ptCount val="1"/>
                <c:pt idx="0">
                  <c:v>2.7869149818522092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6AD-1D4F-8DB0-35B70D52E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Mg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Physical mixing &amp;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 only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'two-endmember mixing'!$U$13:$U$34</c:f>
              <c:numCache>
                <c:formatCode>0.000</c:formatCode>
                <c:ptCount val="22"/>
                <c:pt idx="0">
                  <c:v>0.55738749899999995</c:v>
                </c:pt>
                <c:pt idx="1">
                  <c:v>0.53665929359413911</c:v>
                </c:pt>
                <c:pt idx="2">
                  <c:v>0.51593108818827826</c:v>
                </c:pt>
                <c:pt idx="3">
                  <c:v>0.49520288278241725</c:v>
                </c:pt>
                <c:pt idx="4">
                  <c:v>0.47447467737655641</c:v>
                </c:pt>
                <c:pt idx="5">
                  <c:v>0.45374647197069551</c:v>
                </c:pt>
                <c:pt idx="6">
                  <c:v>0.43301826656483472</c:v>
                </c:pt>
                <c:pt idx="7">
                  <c:v>0.41229006115897376</c:v>
                </c:pt>
                <c:pt idx="8">
                  <c:v>0.39156185575311292</c:v>
                </c:pt>
                <c:pt idx="9">
                  <c:v>0.37083365034725202</c:v>
                </c:pt>
                <c:pt idx="10">
                  <c:v>0.35010544494139112</c:v>
                </c:pt>
                <c:pt idx="11">
                  <c:v>0.32937723953553028</c:v>
                </c:pt>
                <c:pt idx="12">
                  <c:v>0.30864903412966938</c:v>
                </c:pt>
                <c:pt idx="13">
                  <c:v>0.28792082872380842</c:v>
                </c:pt>
                <c:pt idx="14">
                  <c:v>0.26719262331794758</c:v>
                </c:pt>
                <c:pt idx="15">
                  <c:v>0.24646441791208668</c:v>
                </c:pt>
                <c:pt idx="16">
                  <c:v>0.2257362125062258</c:v>
                </c:pt>
                <c:pt idx="17">
                  <c:v>0.20500800710036493</c:v>
                </c:pt>
                <c:pt idx="18">
                  <c:v>0.184279801694504</c:v>
                </c:pt>
                <c:pt idx="19">
                  <c:v>0.16355159628864316</c:v>
                </c:pt>
                <c:pt idx="20">
                  <c:v>0.14282339088278223</c:v>
                </c:pt>
                <c:pt idx="21">
                  <c:v>0.12209518547692136</c:v>
                </c:pt>
              </c:numCache>
            </c:numRef>
          </c:xVal>
          <c:yVal>
            <c:numRef>
              <c:f>'two-endmember mixing'!$T$13:$T$34</c:f>
              <c:numCache>
                <c:formatCode>0.000</c:formatCode>
                <c:ptCount val="22"/>
                <c:pt idx="0">
                  <c:v>5.9381225410000003</c:v>
                </c:pt>
                <c:pt idx="1">
                  <c:v>5.6958309914285712</c:v>
                </c:pt>
                <c:pt idx="2">
                  <c:v>5.453539441857143</c:v>
                </c:pt>
                <c:pt idx="3">
                  <c:v>5.2112478922857148</c:v>
                </c:pt>
                <c:pt idx="4">
                  <c:v>4.9689563427142858</c:v>
                </c:pt>
                <c:pt idx="5">
                  <c:v>4.7266647931428576</c:v>
                </c:pt>
                <c:pt idx="6">
                  <c:v>4.4843732435714294</c:v>
                </c:pt>
                <c:pt idx="7">
                  <c:v>4.2420816940000012</c:v>
                </c:pt>
                <c:pt idx="8">
                  <c:v>3.9997901444285722</c:v>
                </c:pt>
                <c:pt idx="9">
                  <c:v>3.757498594857144</c:v>
                </c:pt>
                <c:pt idx="10">
                  <c:v>3.5152070452857149</c:v>
                </c:pt>
                <c:pt idx="11">
                  <c:v>3.2729154957142867</c:v>
                </c:pt>
                <c:pt idx="12">
                  <c:v>3.0306239461428586</c:v>
                </c:pt>
                <c:pt idx="13">
                  <c:v>2.7883323965714295</c:v>
                </c:pt>
                <c:pt idx="14">
                  <c:v>2.5460408470000013</c:v>
                </c:pt>
                <c:pt idx="15">
                  <c:v>2.3037492974285727</c:v>
                </c:pt>
                <c:pt idx="16">
                  <c:v>2.0614577478571445</c:v>
                </c:pt>
                <c:pt idx="17">
                  <c:v>1.8191661982857161</c:v>
                </c:pt>
                <c:pt idx="18">
                  <c:v>1.5768746487142871</c:v>
                </c:pt>
                <c:pt idx="19">
                  <c:v>1.3345830991428589</c:v>
                </c:pt>
                <c:pt idx="20">
                  <c:v>1.09229154957143</c:v>
                </c:pt>
                <c:pt idx="21">
                  <c:v>0.85000000000000164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B-E746-90C5-46D3A0BC36D8}"/>
            </c:ext>
          </c:extLst>
        </c:ser>
        <c:ser>
          <c:idx val="3"/>
          <c:order val="1"/>
          <c:tx>
            <c:v>Congruent weath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mixing'!$BV$13:$BV$33</c:f>
              <c:numCache>
                <c:formatCode>0.000</c:formatCode>
                <c:ptCount val="21"/>
                <c:pt idx="0">
                  <c:v>0.33974134223846059</c:v>
                </c:pt>
                <c:pt idx="1">
                  <c:v>0.33416067155226725</c:v>
                </c:pt>
                <c:pt idx="2">
                  <c:v>0.32828628135627436</c:v>
                </c:pt>
                <c:pt idx="3">
                  <c:v>0.3220943565550925</c:v>
                </c:pt>
                <c:pt idx="4">
                  <c:v>0.31555843593162286</c:v>
                </c:pt>
                <c:pt idx="5">
                  <c:v>0.30864903412966926</c:v>
                </c:pt>
                <c:pt idx="6">
                  <c:v>0.30133319692760069</c:v>
                </c:pt>
                <c:pt idx="7">
                  <c:v>0.29357397565267951</c:v>
                </c:pt>
                <c:pt idx="8">
                  <c:v>0.28532980304807576</c:v>
                </c:pt>
                <c:pt idx="9">
                  <c:v>0.27655374833994911</c:v>
                </c:pt>
                <c:pt idx="10">
                  <c:v>0.26719262331794752</c:v>
                </c:pt>
                <c:pt idx="11">
                  <c:v>0.25718590346684217</c:v>
                </c:pt>
                <c:pt idx="12">
                  <c:v>0.24646441791208659</c:v>
                </c:pt>
                <c:pt idx="13">
                  <c:v>0.23494874824216383</c:v>
                </c:pt>
                <c:pt idx="14">
                  <c:v>0.22254725782840093</c:v>
                </c:pt>
                <c:pt idx="15">
                  <c:v>0.20915364818153689</c:v>
                </c:pt>
                <c:pt idx="16">
                  <c:v>0.19464390439743429</c:v>
                </c:pt>
                <c:pt idx="17">
                  <c:v>0.17887244376254008</c:v>
                </c:pt>
                <c:pt idx="18">
                  <c:v>0.16166721397901918</c:v>
                </c:pt>
                <c:pt idx="19">
                  <c:v>0.14282339088278195</c:v>
                </c:pt>
                <c:pt idx="20">
                  <c:v>0.12209518547692116</c:v>
                </c:pt>
              </c:numCache>
            </c:numRef>
          </c:xVal>
          <c:yVal>
            <c:numRef>
              <c:f>'two-endmember mixing'!$BU$13:$BU$33</c:f>
              <c:numCache>
                <c:formatCode>0.000</c:formatCode>
                <c:ptCount val="21"/>
                <c:pt idx="0">
                  <c:v>3.3940612704999999</c:v>
                </c:pt>
                <c:pt idx="1">
                  <c:v>3.3288289302307685</c:v>
                </c:pt>
                <c:pt idx="2">
                  <c:v>3.2601633088947368</c:v>
                </c:pt>
                <c:pt idx="3">
                  <c:v>3.1877860323513509</c:v>
                </c:pt>
                <c:pt idx="4">
                  <c:v>3.1113877959999998</c:v>
                </c:pt>
                <c:pt idx="5">
                  <c:v>3.0306239461428568</c:v>
                </c:pt>
                <c:pt idx="6">
                  <c:v>2.9451092815882354</c:v>
                </c:pt>
                <c:pt idx="7">
                  <c:v>2.8544119100909091</c:v>
                </c:pt>
                <c:pt idx="8">
                  <c:v>2.7580459528749999</c:v>
                </c:pt>
                <c:pt idx="9">
                  <c:v>2.6554628371290319</c:v>
                </c:pt>
                <c:pt idx="10">
                  <c:v>2.546040847</c:v>
                </c:pt>
                <c:pt idx="11">
                  <c:v>2.4290725127241375</c:v>
                </c:pt>
                <c:pt idx="12">
                  <c:v>2.3037492974285714</c:v>
                </c:pt>
                <c:pt idx="13">
                  <c:v>2.1691428809999995</c:v>
                </c:pt>
                <c:pt idx="14">
                  <c:v>2.0241821248461531</c:v>
                </c:pt>
                <c:pt idx="15">
                  <c:v>1.8676245081999991</c:v>
                </c:pt>
                <c:pt idx="16">
                  <c:v>1.6980204234999992</c:v>
                </c:pt>
                <c:pt idx="17">
                  <c:v>1.5136681575217379</c:v>
                </c:pt>
                <c:pt idx="18">
                  <c:v>1.3125565946363622</c:v>
                </c:pt>
                <c:pt idx="19">
                  <c:v>1.092291549571426</c:v>
                </c:pt>
                <c:pt idx="20">
                  <c:v>0.84999999999999942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B-E746-90C5-46D3A0BC36D8}"/>
            </c:ext>
          </c:extLst>
        </c:ser>
        <c:ser>
          <c:idx val="5"/>
          <c:order val="2"/>
          <c:tx>
            <c:v>Incongruent weath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'two-endmember mixing'!$BU$43:$BU$62</c:f>
              <c:numCache>
                <c:formatCode>0.000</c:formatCode>
                <c:ptCount val="20"/>
                <c:pt idx="0">
                  <c:v>6.3478350362119489</c:v>
                </c:pt>
                <c:pt idx="1">
                  <c:v>6.4697081710846209</c:v>
                </c:pt>
                <c:pt idx="2">
                  <c:v>6.5972909256141588</c:v>
                </c:pt>
                <c:pt idx="3">
                  <c:v>6.7309941578337389</c:v>
                </c:pt>
                <c:pt idx="4">
                  <c:v>6.8712691144148765</c:v>
                </c:pt>
                <c:pt idx="5">
                  <c:v>7.0186125186207944</c:v>
                </c:pt>
                <c:pt idx="6">
                  <c:v>7.1735724472843305</c:v>
                </c:pt>
                <c:pt idx="7">
                  <c:v>7.3367551433507465</c:v>
                </c:pt>
                <c:pt idx="8">
                  <c:v>7.5088329424774276</c:v>
                </c:pt>
                <c:pt idx="9">
                  <c:v>7.6905535321914558</c:v>
                </c:pt>
                <c:pt idx="10">
                  <c:v>7.8827508124946863</c:v>
                </c:pt>
                <c:pt idx="11">
                  <c:v>8.0863576906554666</c:v>
                </c:pt>
                <c:pt idx="12">
                  <c:v>8.3024212243539086</c:v>
                </c:pt>
                <c:pt idx="13">
                  <c:v>8.5321206319007832</c:v>
                </c:pt>
                <c:pt idx="14">
                  <c:v>8.7767888234634572</c:v>
                </c:pt>
                <c:pt idx="15">
                  <c:v>9.0379382834325579</c:v>
                </c:pt>
                <c:pt idx="16">
                  <c:v>9.3172923655362982</c:v>
                </c:pt>
                <c:pt idx="17">
                  <c:v>9.6168233690161653</c:v>
                </c:pt>
                <c:pt idx="18">
                  <c:v>9.9387991743060429</c:v>
                </c:pt>
                <c:pt idx="19">
                  <c:v>10.285840770463107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3B-E746-90C5-46D3A0BC36D8}"/>
            </c:ext>
          </c:extLst>
        </c:ser>
        <c:ser>
          <c:idx val="1"/>
          <c:order val="3"/>
          <c:tx>
            <c:v>H9 basalt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mixing'!$D$18</c:f>
              <c:numCache>
                <c:formatCode>0.000</c:formatCode>
                <c:ptCount val="1"/>
                <c:pt idx="0">
                  <c:v>0.55738749899999995</c:v>
                </c:pt>
              </c:numCache>
            </c:numRef>
          </c:xVal>
          <c:yVal>
            <c:numRef>
              <c:f>'two-endmember mixing'!$D$17</c:f>
              <c:numCache>
                <c:formatCode>0.000</c:formatCode>
                <c:ptCount val="1"/>
                <c:pt idx="0">
                  <c:v>5.9381225410000003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3B-E746-90C5-46D3A0BC36D8}"/>
            </c:ext>
          </c:extLst>
        </c:ser>
        <c:ser>
          <c:idx val="2"/>
          <c:order val="4"/>
          <c:tx>
            <c:v>LFGL P6-A soil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'two-endmember mixing'!$G$17</c:f>
              <c:numCache>
                <c:formatCode>0.000</c:formatCode>
                <c:ptCount val="1"/>
                <c:pt idx="0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3B-E746-90C5-46D3A0BC36D8}"/>
            </c:ext>
          </c:extLst>
        </c:ser>
        <c:ser>
          <c:idx val="4"/>
          <c:order val="5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data'!$O$35:$O$50</c:f>
              <c:numCache>
                <c:formatCode>0.000</c:formatCode>
                <c:ptCount val="16"/>
                <c:pt idx="0">
                  <c:v>0.55739447818193211</c:v>
                </c:pt>
                <c:pt idx="1">
                  <c:v>0.59335541225818567</c:v>
                </c:pt>
                <c:pt idx="2">
                  <c:v>0.62931634633443934</c:v>
                </c:pt>
                <c:pt idx="3">
                  <c:v>0.52143354410567833</c:v>
                </c:pt>
                <c:pt idx="4">
                  <c:v>0.59335541225818567</c:v>
                </c:pt>
                <c:pt idx="5">
                  <c:v>0.59335541225818567</c:v>
                </c:pt>
                <c:pt idx="6">
                  <c:v>0.61732936830902141</c:v>
                </c:pt>
                <c:pt idx="7">
                  <c:v>1.006906154135103</c:v>
                </c:pt>
                <c:pt idx="8">
                  <c:v>0.5633879671946409</c:v>
                </c:pt>
                <c:pt idx="9">
                  <c:v>0.50345307706755149</c:v>
                </c:pt>
                <c:pt idx="10">
                  <c:v>0.54540750015651418</c:v>
                </c:pt>
                <c:pt idx="11">
                  <c:v>0.54540750015651418</c:v>
                </c:pt>
                <c:pt idx="12">
                  <c:v>0.59934890127089469</c:v>
                </c:pt>
                <c:pt idx="13">
                  <c:v>0.65329030238527519</c:v>
                </c:pt>
                <c:pt idx="14">
                  <c:v>0.58136843423276774</c:v>
                </c:pt>
                <c:pt idx="15">
                  <c:v>0.88703637388092405</c:v>
                </c:pt>
              </c:numCache>
            </c:numRef>
          </c:xVal>
          <c:yVal>
            <c:numRef>
              <c:f>'Morgan-Pompa solid data'!$G$35:$G$50</c:f>
              <c:numCache>
                <c:formatCode>0.000</c:formatCode>
                <c:ptCount val="16"/>
                <c:pt idx="0">
                  <c:v>4.7771121005466943</c:v>
                </c:pt>
                <c:pt idx="1">
                  <c:v>4.5812714873471228</c:v>
                </c:pt>
                <c:pt idx="2">
                  <c:v>5.0918559431888628</c:v>
                </c:pt>
                <c:pt idx="3">
                  <c:v>5.0079242518176175</c:v>
                </c:pt>
                <c:pt idx="4">
                  <c:v>4.8050893310037761</c:v>
                </c:pt>
                <c:pt idx="5">
                  <c:v>4.6791917939469085</c:v>
                </c:pt>
                <c:pt idx="6">
                  <c:v>4.9169982528321023</c:v>
                </c:pt>
                <c:pt idx="7">
                  <c:v>8.4631122132672036</c:v>
                </c:pt>
                <c:pt idx="8">
                  <c:v>4.6162430254184743</c:v>
                </c:pt>
                <c:pt idx="9">
                  <c:v>4.8960153299892912</c:v>
                </c:pt>
                <c:pt idx="10">
                  <c:v>4.4973397959758774</c:v>
                </c:pt>
                <c:pt idx="11">
                  <c:v>4.483351180747337</c:v>
                </c:pt>
                <c:pt idx="12">
                  <c:v>4.7141633320182601</c:v>
                </c:pt>
                <c:pt idx="13">
                  <c:v>5.945161472129854</c:v>
                </c:pt>
                <c:pt idx="14">
                  <c:v>4.6442202558755561</c:v>
                </c:pt>
                <c:pt idx="15">
                  <c:v>7.6937383756974578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3B-E746-90C5-46D3A0BC36D8}"/>
            </c:ext>
          </c:extLst>
        </c:ser>
        <c:ser>
          <c:idx val="6"/>
          <c:order val="6"/>
          <c:tx>
            <c:v>Ave EXPT</c:v>
          </c:tx>
          <c:spPr>
            <a:ln w="25400" cap="flat" cmpd="dbl" algn="ctr">
              <a:noFill/>
              <a:round/>
            </a:ln>
            <a:effectLst/>
          </c:spPr>
          <c:marker>
            <c:symbol val="plus"/>
            <c:size val="40"/>
            <c:spPr>
              <a:noFill/>
              <a:ln w="63500" cap="flat" cmpd="dbl" algn="ctr">
                <a:solidFill>
                  <a:schemeClr val="accent1">
                    <a:lumMod val="60000"/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'two-endmember mixing'!$D$39</c:f>
              <c:numCache>
                <c:formatCode>0.000</c:formatCode>
                <c:ptCount val="1"/>
                <c:pt idx="0">
                  <c:v>0.5783716897264134</c:v>
                </c:pt>
              </c:numCache>
            </c:numRef>
          </c:xVal>
          <c:yVal>
            <c:numRef>
              <c:f>'two-endmember mixing'!$D$38</c:f>
              <c:numCache>
                <c:formatCode>0.000</c:formatCode>
                <c:ptCount val="1"/>
                <c:pt idx="0">
                  <c:v>4.8325669680598375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3B-E746-90C5-46D3A0BC3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Physical mixing &amp;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Phys mix only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'two-endmember mixing'!$U$13:$U$34</c:f>
              <c:numCache>
                <c:formatCode>0.000</c:formatCode>
                <c:ptCount val="22"/>
                <c:pt idx="0">
                  <c:v>0.55738749899999995</c:v>
                </c:pt>
                <c:pt idx="1">
                  <c:v>0.53665929359413911</c:v>
                </c:pt>
                <c:pt idx="2">
                  <c:v>0.51593108818827826</c:v>
                </c:pt>
                <c:pt idx="3">
                  <c:v>0.49520288278241725</c:v>
                </c:pt>
                <c:pt idx="4">
                  <c:v>0.47447467737655641</c:v>
                </c:pt>
                <c:pt idx="5">
                  <c:v>0.45374647197069551</c:v>
                </c:pt>
                <c:pt idx="6">
                  <c:v>0.43301826656483472</c:v>
                </c:pt>
                <c:pt idx="7">
                  <c:v>0.41229006115897376</c:v>
                </c:pt>
                <c:pt idx="8">
                  <c:v>0.39156185575311292</c:v>
                </c:pt>
                <c:pt idx="9">
                  <c:v>0.37083365034725202</c:v>
                </c:pt>
                <c:pt idx="10">
                  <c:v>0.35010544494139112</c:v>
                </c:pt>
                <c:pt idx="11">
                  <c:v>0.32937723953553028</c:v>
                </c:pt>
                <c:pt idx="12">
                  <c:v>0.30864903412966938</c:v>
                </c:pt>
                <c:pt idx="13">
                  <c:v>0.28792082872380842</c:v>
                </c:pt>
                <c:pt idx="14">
                  <c:v>0.26719262331794758</c:v>
                </c:pt>
                <c:pt idx="15">
                  <c:v>0.24646441791208668</c:v>
                </c:pt>
                <c:pt idx="16">
                  <c:v>0.2257362125062258</c:v>
                </c:pt>
                <c:pt idx="17">
                  <c:v>0.20500800710036493</c:v>
                </c:pt>
                <c:pt idx="18">
                  <c:v>0.184279801694504</c:v>
                </c:pt>
                <c:pt idx="19">
                  <c:v>0.16355159628864316</c:v>
                </c:pt>
                <c:pt idx="20">
                  <c:v>0.14282339088278223</c:v>
                </c:pt>
                <c:pt idx="21">
                  <c:v>0.12209518547692136</c:v>
                </c:pt>
              </c:numCache>
            </c:numRef>
          </c:xVal>
          <c:yVal>
            <c:numRef>
              <c:f>'two-endmember mixing'!$N$13:$N$34</c:f>
              <c:numCache>
                <c:formatCode>0.000</c:formatCode>
                <c:ptCount val="22"/>
                <c:pt idx="0">
                  <c:v>2.7077732910000001</c:v>
                </c:pt>
                <c:pt idx="1">
                  <c:v>2.5811864676190477</c:v>
                </c:pt>
                <c:pt idx="2">
                  <c:v>2.4545996442380953</c:v>
                </c:pt>
                <c:pt idx="3">
                  <c:v>2.3280128208571429</c:v>
                </c:pt>
                <c:pt idx="4">
                  <c:v>2.2014259974761905</c:v>
                </c:pt>
                <c:pt idx="5">
                  <c:v>2.0748391740952381</c:v>
                </c:pt>
                <c:pt idx="6">
                  <c:v>1.9482523507142862</c:v>
                </c:pt>
                <c:pt idx="7">
                  <c:v>1.8216655273333333</c:v>
                </c:pt>
                <c:pt idx="8">
                  <c:v>1.6950787039523814</c:v>
                </c:pt>
                <c:pt idx="9">
                  <c:v>1.568491880571429</c:v>
                </c:pt>
                <c:pt idx="10">
                  <c:v>1.4419050571904766</c:v>
                </c:pt>
                <c:pt idx="11">
                  <c:v>1.3153182338095244</c:v>
                </c:pt>
                <c:pt idx="12">
                  <c:v>1.1887314104285722</c:v>
                </c:pt>
                <c:pt idx="13">
                  <c:v>1.0621445870476196</c:v>
                </c:pt>
                <c:pt idx="14">
                  <c:v>0.93555776366666743</c:v>
                </c:pt>
                <c:pt idx="15">
                  <c:v>0.8089709402857147</c:v>
                </c:pt>
                <c:pt idx="16">
                  <c:v>0.68238411690476264</c:v>
                </c:pt>
                <c:pt idx="17">
                  <c:v>0.55579729352381035</c:v>
                </c:pt>
                <c:pt idx="18">
                  <c:v>0.42921047014285779</c:v>
                </c:pt>
                <c:pt idx="19">
                  <c:v>0.30262364676190562</c:v>
                </c:pt>
                <c:pt idx="20">
                  <c:v>0.17603682338095311</c:v>
                </c:pt>
                <c:pt idx="21">
                  <c:v>4.9450000000000882E-2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E-C742-B110-980A1CDAA629}"/>
            </c:ext>
          </c:extLst>
        </c:ser>
        <c:ser>
          <c:idx val="3"/>
          <c:order val="1"/>
          <c:tx>
            <c:v>Congruent weath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mixing'!$BV$13:$BV$33</c:f>
              <c:numCache>
                <c:formatCode>0.000</c:formatCode>
                <c:ptCount val="21"/>
                <c:pt idx="0">
                  <c:v>0.33974134223846059</c:v>
                </c:pt>
                <c:pt idx="1">
                  <c:v>0.33416067155226725</c:v>
                </c:pt>
                <c:pt idx="2">
                  <c:v>0.32828628135627436</c:v>
                </c:pt>
                <c:pt idx="3">
                  <c:v>0.3220943565550925</c:v>
                </c:pt>
                <c:pt idx="4">
                  <c:v>0.31555843593162286</c:v>
                </c:pt>
                <c:pt idx="5">
                  <c:v>0.30864903412966926</c:v>
                </c:pt>
                <c:pt idx="6">
                  <c:v>0.30133319692760069</c:v>
                </c:pt>
                <c:pt idx="7">
                  <c:v>0.29357397565267951</c:v>
                </c:pt>
                <c:pt idx="8">
                  <c:v>0.28532980304807576</c:v>
                </c:pt>
                <c:pt idx="9">
                  <c:v>0.27655374833994911</c:v>
                </c:pt>
                <c:pt idx="10">
                  <c:v>0.26719262331794752</c:v>
                </c:pt>
                <c:pt idx="11">
                  <c:v>0.25718590346684217</c:v>
                </c:pt>
                <c:pt idx="12">
                  <c:v>0.24646441791208659</c:v>
                </c:pt>
                <c:pt idx="13">
                  <c:v>0.23494874824216383</c:v>
                </c:pt>
                <c:pt idx="14">
                  <c:v>0.22254725782840093</c:v>
                </c:pt>
                <c:pt idx="15">
                  <c:v>0.20915364818153689</c:v>
                </c:pt>
                <c:pt idx="16">
                  <c:v>0.19464390439743429</c:v>
                </c:pt>
                <c:pt idx="17">
                  <c:v>0.17887244376254008</c:v>
                </c:pt>
                <c:pt idx="18">
                  <c:v>0.16166721397901918</c:v>
                </c:pt>
                <c:pt idx="19">
                  <c:v>0.14282339088278195</c:v>
                </c:pt>
                <c:pt idx="20">
                  <c:v>0.12209518547692116</c:v>
                </c:pt>
              </c:numCache>
            </c:numRef>
          </c:xVal>
          <c:yVal>
            <c:numRef>
              <c:f>'two-endmember mixing'!$BO$13:$BO$33</c:f>
              <c:numCache>
                <c:formatCode>0.000</c:formatCode>
                <c:ptCount val="21"/>
                <c:pt idx="0">
                  <c:v>1.3786116454999999</c:v>
                </c:pt>
                <c:pt idx="1">
                  <c:v>1.3445305776666667</c:v>
                </c:pt>
                <c:pt idx="2">
                  <c:v>1.3086557694210526</c:v>
                </c:pt>
                <c:pt idx="3">
                  <c:v>1.2708417823513511</c:v>
                </c:pt>
                <c:pt idx="4">
                  <c:v>1.2309270182222221</c:v>
                </c:pt>
                <c:pt idx="5">
                  <c:v>1.1887314104285713</c:v>
                </c:pt>
                <c:pt idx="6">
                  <c:v>1.1440537080588236</c:v>
                </c:pt>
                <c:pt idx="7">
                  <c:v>1.0966682661515152</c:v>
                </c:pt>
                <c:pt idx="8">
                  <c:v>1.0463212341250001</c:v>
                </c:pt>
                <c:pt idx="9">
                  <c:v>0.99272600648387088</c:v>
                </c:pt>
                <c:pt idx="10">
                  <c:v>0.93555776366666654</c:v>
                </c:pt>
                <c:pt idx="11">
                  <c:v>0.87444688341379284</c:v>
                </c:pt>
                <c:pt idx="12">
                  <c:v>0.80897094028571404</c:v>
                </c:pt>
                <c:pt idx="13">
                  <c:v>0.73864492729629605</c:v>
                </c:pt>
                <c:pt idx="14">
                  <c:v>0.6629092209999996</c:v>
                </c:pt>
                <c:pt idx="15">
                  <c:v>0.58111465819999952</c:v>
                </c:pt>
                <c:pt idx="16">
                  <c:v>0.49250388183333277</c:v>
                </c:pt>
                <c:pt idx="17">
                  <c:v>0.39618782056521651</c:v>
                </c:pt>
                <c:pt idx="18">
                  <c:v>0.29111575372727222</c:v>
                </c:pt>
                <c:pt idx="19">
                  <c:v>0.17603682338095153</c:v>
                </c:pt>
                <c:pt idx="20">
                  <c:v>4.9449999999999841E-2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F-4142-87D3-62B3EA8B0520}"/>
            </c:ext>
          </c:extLst>
        </c:ser>
        <c:ser>
          <c:idx val="5"/>
          <c:order val="2"/>
          <c:tx>
            <c:v>Incongruent weath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'two-endmember mixing'!$BO$43:$BO$62</c:f>
              <c:numCache>
                <c:formatCode>0.000</c:formatCode>
                <c:ptCount val="20"/>
                <c:pt idx="0">
                  <c:v>2.3742127437152565</c:v>
                </c:pt>
                <c:pt idx="1">
                  <c:v>2.3706566638212387</c:v>
                </c:pt>
                <c:pt idx="2">
                  <c:v>2.3669339855732394</c:v>
                </c:pt>
                <c:pt idx="3">
                  <c:v>2.3630327207345365</c:v>
                </c:pt>
                <c:pt idx="4">
                  <c:v>2.3589397025869889</c:v>
                </c:pt>
                <c:pt idx="5">
                  <c:v>2.3546404374719971</c:v>
                </c:pt>
                <c:pt idx="6">
                  <c:v>2.3501189333088801</c:v>
                </c:pt>
                <c:pt idx="7">
                  <c:v>2.3453575008148384</c:v>
                </c:pt>
                <c:pt idx="8">
                  <c:v>2.3403365222183616</c:v>
                </c:pt>
                <c:pt idx="9">
                  <c:v>2.3350341810905468</c:v>
                </c:pt>
                <c:pt idx="10">
                  <c:v>2.3294261454485219</c:v>
                </c:pt>
                <c:pt idx="11">
                  <c:v>2.3234851944221315</c:v>
                </c:pt>
                <c:pt idx="12">
                  <c:v>2.3171807763990926</c:v>
                </c:pt>
                <c:pt idx="13">
                  <c:v>2.3104784835131444</c:v>
                </c:pt>
                <c:pt idx="14">
                  <c:v>2.3033394233943518</c:v>
                </c:pt>
                <c:pt idx="15">
                  <c:v>2.2957194639594856</c:v>
                </c:pt>
                <c:pt idx="16">
                  <c:v>2.2875683202663426</c:v>
                </c:pt>
                <c:pt idx="17">
                  <c:v>2.2788284435066077</c:v>
                </c:pt>
                <c:pt idx="18">
                  <c:v>2.2694336602449168</c:v>
                </c:pt>
                <c:pt idx="19">
                  <c:v>2.2593074938525337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3F-EA42-A2B4-D45581D77722}"/>
            </c:ext>
          </c:extLst>
        </c:ser>
        <c:ser>
          <c:idx val="1"/>
          <c:order val="3"/>
          <c:tx>
            <c:v>H9 basalt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mixing'!$D$18</c:f>
              <c:numCache>
                <c:formatCode>0.000</c:formatCode>
                <c:ptCount val="1"/>
                <c:pt idx="0">
                  <c:v>0.55738749899999995</c:v>
                </c:pt>
              </c:numCache>
            </c:numRef>
          </c:xVal>
          <c:yVal>
            <c:numRef>
              <c:f>'two-endmember mixing'!$D$19</c:f>
              <c:numCache>
                <c:formatCode>0.000</c:formatCode>
                <c:ptCount val="1"/>
                <c:pt idx="0">
                  <c:v>2.7077732910000001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7E-C742-B110-980A1CDAA629}"/>
            </c:ext>
          </c:extLst>
        </c:ser>
        <c:ser>
          <c:idx val="2"/>
          <c:order val="4"/>
          <c:tx>
            <c:v>P6-A LFGL soil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'two-endmember mixing'!$G$19</c:f>
              <c:numCache>
                <c:formatCode>0.000</c:formatCode>
                <c:ptCount val="1"/>
                <c:pt idx="0">
                  <c:v>4.9450000000000001E-2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7E-C742-B110-980A1CDAA629}"/>
            </c:ext>
          </c:extLst>
        </c:ser>
        <c:ser>
          <c:idx val="4"/>
          <c:order val="5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data'!$O$35:$O$50</c:f>
              <c:numCache>
                <c:formatCode>0.000</c:formatCode>
                <c:ptCount val="16"/>
                <c:pt idx="0">
                  <c:v>0.55739447818193211</c:v>
                </c:pt>
                <c:pt idx="1">
                  <c:v>0.59335541225818567</c:v>
                </c:pt>
                <c:pt idx="2">
                  <c:v>0.62931634633443934</c:v>
                </c:pt>
                <c:pt idx="3">
                  <c:v>0.52143354410567833</c:v>
                </c:pt>
                <c:pt idx="4">
                  <c:v>0.59335541225818567</c:v>
                </c:pt>
                <c:pt idx="5">
                  <c:v>0.59335541225818567</c:v>
                </c:pt>
                <c:pt idx="6">
                  <c:v>0.61732936830902141</c:v>
                </c:pt>
                <c:pt idx="7">
                  <c:v>1.006906154135103</c:v>
                </c:pt>
                <c:pt idx="8">
                  <c:v>0.5633879671946409</c:v>
                </c:pt>
                <c:pt idx="9">
                  <c:v>0.50345307706755149</c:v>
                </c:pt>
                <c:pt idx="10">
                  <c:v>0.54540750015651418</c:v>
                </c:pt>
                <c:pt idx="11">
                  <c:v>0.54540750015651418</c:v>
                </c:pt>
                <c:pt idx="12">
                  <c:v>0.59934890127089469</c:v>
                </c:pt>
                <c:pt idx="13">
                  <c:v>0.65329030238527519</c:v>
                </c:pt>
                <c:pt idx="14">
                  <c:v>0.58136843423276774</c:v>
                </c:pt>
                <c:pt idx="15">
                  <c:v>0.88703637388092405</c:v>
                </c:pt>
              </c:numCache>
            </c:numRef>
          </c:xVal>
          <c:yVal>
            <c:numRef>
              <c:f>'Morgan-Pompa solid data'!$K$35:$K$50</c:f>
              <c:numCache>
                <c:formatCode>0.000</c:formatCode>
                <c:ptCount val="16"/>
                <c:pt idx="0">
                  <c:v>1.3575523967795546</c:v>
                </c:pt>
                <c:pt idx="1">
                  <c:v>1.0904929088884945</c:v>
                </c:pt>
                <c:pt idx="2">
                  <c:v>1.4762455025089143</c:v>
                </c:pt>
                <c:pt idx="3">
                  <c:v>1.3872256732118944</c:v>
                </c:pt>
                <c:pt idx="4">
                  <c:v>1.2240226528340246</c:v>
                </c:pt>
                <c:pt idx="5">
                  <c:v>1.1646760999693446</c:v>
                </c:pt>
                <c:pt idx="6">
                  <c:v>1.1869310572935996</c:v>
                </c:pt>
                <c:pt idx="7">
                  <c:v>2.2551690088578389</c:v>
                </c:pt>
                <c:pt idx="8">
                  <c:v>1.0830745897804095</c:v>
                </c:pt>
                <c:pt idx="9">
                  <c:v>1.3798073541038094</c:v>
                </c:pt>
                <c:pt idx="10">
                  <c:v>1.1201661853208347</c:v>
                </c:pt>
                <c:pt idx="11">
                  <c:v>1.1424211426450896</c:v>
                </c:pt>
                <c:pt idx="12">
                  <c:v>1.1646760999693446</c:v>
                </c:pt>
                <c:pt idx="13">
                  <c:v>1.9510179254263544</c:v>
                </c:pt>
                <c:pt idx="14">
                  <c:v>1.1795127381855146</c:v>
                </c:pt>
                <c:pt idx="15">
                  <c:v>2.2774239661820936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F-EA42-A2B4-D45581D77722}"/>
            </c:ext>
          </c:extLst>
        </c:ser>
        <c:ser>
          <c:idx val="6"/>
          <c:order val="6"/>
          <c:tx>
            <c:v>Ave EXPT</c:v>
          </c:tx>
          <c:spPr>
            <a:ln w="25400" cap="flat" cmpd="dbl" algn="ctr">
              <a:noFill/>
              <a:round/>
            </a:ln>
            <a:effectLst/>
          </c:spPr>
          <c:marker>
            <c:symbol val="plus"/>
            <c:size val="40"/>
            <c:spPr>
              <a:noFill/>
              <a:ln w="63500" cap="flat" cmpd="dbl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'two-endmember mixing'!$D$39</c:f>
              <c:numCache>
                <c:formatCode>0.000</c:formatCode>
                <c:ptCount val="1"/>
                <c:pt idx="0">
                  <c:v>0.5783716897264134</c:v>
                </c:pt>
              </c:numCache>
            </c:numRef>
          </c:xVal>
          <c:yVal>
            <c:numRef>
              <c:f>'two-endmember mixing'!$D$40</c:f>
              <c:numCache>
                <c:formatCode>0.000</c:formatCode>
                <c:ptCount val="1"/>
                <c:pt idx="0">
                  <c:v>1.2791301662083703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3F-EA42-A2B4-D45581D7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Na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Physical mixing &amp;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 only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'two-endmember mixing'!$U$13:$U$34</c:f>
              <c:numCache>
                <c:formatCode>0.000</c:formatCode>
                <c:ptCount val="22"/>
                <c:pt idx="0">
                  <c:v>0.55738749899999995</c:v>
                </c:pt>
                <c:pt idx="1">
                  <c:v>0.53665929359413911</c:v>
                </c:pt>
                <c:pt idx="2">
                  <c:v>0.51593108818827826</c:v>
                </c:pt>
                <c:pt idx="3">
                  <c:v>0.49520288278241725</c:v>
                </c:pt>
                <c:pt idx="4">
                  <c:v>0.47447467737655641</c:v>
                </c:pt>
                <c:pt idx="5">
                  <c:v>0.45374647197069551</c:v>
                </c:pt>
                <c:pt idx="6">
                  <c:v>0.43301826656483472</c:v>
                </c:pt>
                <c:pt idx="7">
                  <c:v>0.41229006115897376</c:v>
                </c:pt>
                <c:pt idx="8">
                  <c:v>0.39156185575311292</c:v>
                </c:pt>
                <c:pt idx="9">
                  <c:v>0.37083365034725202</c:v>
                </c:pt>
                <c:pt idx="10">
                  <c:v>0.35010544494139112</c:v>
                </c:pt>
                <c:pt idx="11">
                  <c:v>0.32937723953553028</c:v>
                </c:pt>
                <c:pt idx="12">
                  <c:v>0.30864903412966938</c:v>
                </c:pt>
                <c:pt idx="13">
                  <c:v>0.28792082872380842</c:v>
                </c:pt>
                <c:pt idx="14">
                  <c:v>0.26719262331794758</c:v>
                </c:pt>
                <c:pt idx="15">
                  <c:v>0.24646441791208668</c:v>
                </c:pt>
                <c:pt idx="16">
                  <c:v>0.2257362125062258</c:v>
                </c:pt>
                <c:pt idx="17">
                  <c:v>0.20500800710036493</c:v>
                </c:pt>
                <c:pt idx="18">
                  <c:v>0.184279801694504</c:v>
                </c:pt>
                <c:pt idx="19">
                  <c:v>0.16355159628864316</c:v>
                </c:pt>
                <c:pt idx="20">
                  <c:v>0.14282339088278223</c:v>
                </c:pt>
                <c:pt idx="21">
                  <c:v>0.12209518547692136</c:v>
                </c:pt>
              </c:numCache>
            </c:numRef>
          </c:xVal>
          <c:yVal>
            <c:numRef>
              <c:f>'two-endmember mixing'!$P$13:$P$34</c:f>
              <c:numCache>
                <c:formatCode>0.000</c:formatCode>
                <c:ptCount val="22"/>
                <c:pt idx="0">
                  <c:v>0.65578889600000001</c:v>
                </c:pt>
                <c:pt idx="1">
                  <c:v>0.64263704380952391</c:v>
                </c:pt>
                <c:pt idx="2">
                  <c:v>0.6294851916190477</c:v>
                </c:pt>
                <c:pt idx="3">
                  <c:v>0.61633333942857138</c:v>
                </c:pt>
                <c:pt idx="4">
                  <c:v>0.60318148723809517</c:v>
                </c:pt>
                <c:pt idx="5">
                  <c:v>0.59002963504761907</c:v>
                </c:pt>
                <c:pt idx="6">
                  <c:v>0.57687778285714286</c:v>
                </c:pt>
                <c:pt idx="7">
                  <c:v>0.56372593066666665</c:v>
                </c:pt>
                <c:pt idx="8">
                  <c:v>0.55057407847619055</c:v>
                </c:pt>
                <c:pt idx="9">
                  <c:v>0.53742222628571434</c:v>
                </c:pt>
                <c:pt idx="10">
                  <c:v>0.52427037409523813</c:v>
                </c:pt>
                <c:pt idx="11">
                  <c:v>0.51111852190476192</c:v>
                </c:pt>
                <c:pt idx="12">
                  <c:v>0.49796666971428583</c:v>
                </c:pt>
                <c:pt idx="13">
                  <c:v>0.48481481752380956</c:v>
                </c:pt>
                <c:pt idx="14">
                  <c:v>0.47166296533333335</c:v>
                </c:pt>
                <c:pt idx="15">
                  <c:v>0.4585111131428572</c:v>
                </c:pt>
                <c:pt idx="16">
                  <c:v>0.4453592609523811</c:v>
                </c:pt>
                <c:pt idx="17">
                  <c:v>0.43220740876190489</c:v>
                </c:pt>
                <c:pt idx="18">
                  <c:v>0.41905555657142868</c:v>
                </c:pt>
                <c:pt idx="19">
                  <c:v>0.40590370438095241</c:v>
                </c:pt>
                <c:pt idx="20">
                  <c:v>0.39275185219047631</c:v>
                </c:pt>
                <c:pt idx="21">
                  <c:v>0.37960000000000005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A-4B46-9C29-BB2AF337865E}"/>
            </c:ext>
          </c:extLst>
        </c:ser>
        <c:ser>
          <c:idx val="3"/>
          <c:order val="1"/>
          <c:tx>
            <c:v>Congruent weath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mixing'!$BV$13:$BV$33</c:f>
              <c:numCache>
                <c:formatCode>0.000</c:formatCode>
                <c:ptCount val="21"/>
                <c:pt idx="0">
                  <c:v>0.33974134223846059</c:v>
                </c:pt>
                <c:pt idx="1">
                  <c:v>0.33416067155226725</c:v>
                </c:pt>
                <c:pt idx="2">
                  <c:v>0.32828628135627436</c:v>
                </c:pt>
                <c:pt idx="3">
                  <c:v>0.3220943565550925</c:v>
                </c:pt>
                <c:pt idx="4">
                  <c:v>0.31555843593162286</c:v>
                </c:pt>
                <c:pt idx="5">
                  <c:v>0.30864903412966926</c:v>
                </c:pt>
                <c:pt idx="6">
                  <c:v>0.30133319692760069</c:v>
                </c:pt>
                <c:pt idx="7">
                  <c:v>0.29357397565267951</c:v>
                </c:pt>
                <c:pt idx="8">
                  <c:v>0.28532980304807576</c:v>
                </c:pt>
                <c:pt idx="9">
                  <c:v>0.27655374833994911</c:v>
                </c:pt>
                <c:pt idx="10">
                  <c:v>0.26719262331794752</c:v>
                </c:pt>
                <c:pt idx="11">
                  <c:v>0.25718590346684217</c:v>
                </c:pt>
                <c:pt idx="12">
                  <c:v>0.24646441791208659</c:v>
                </c:pt>
                <c:pt idx="13">
                  <c:v>0.23494874824216383</c:v>
                </c:pt>
                <c:pt idx="14">
                  <c:v>0.22254725782840093</c:v>
                </c:pt>
                <c:pt idx="15">
                  <c:v>0.20915364818153689</c:v>
                </c:pt>
                <c:pt idx="16">
                  <c:v>0.19464390439743429</c:v>
                </c:pt>
                <c:pt idx="17">
                  <c:v>0.17887244376254008</c:v>
                </c:pt>
                <c:pt idx="18">
                  <c:v>0.16166721397901918</c:v>
                </c:pt>
                <c:pt idx="19">
                  <c:v>0.14282339088278195</c:v>
                </c:pt>
                <c:pt idx="20">
                  <c:v>0.12209518547692116</c:v>
                </c:pt>
              </c:numCache>
            </c:numRef>
          </c:xVal>
          <c:yVal>
            <c:numRef>
              <c:f>'two-endmember mixing'!$BQ$13:$BQ$33</c:f>
              <c:numCache>
                <c:formatCode>0.000</c:formatCode>
                <c:ptCount val="21"/>
                <c:pt idx="0">
                  <c:v>0.51769444799999997</c:v>
                </c:pt>
                <c:pt idx="1">
                  <c:v>0.51415356471794871</c:v>
                </c:pt>
                <c:pt idx="2">
                  <c:v>0.51042631915789471</c:v>
                </c:pt>
                <c:pt idx="3">
                  <c:v>0.50649760086486484</c:v>
                </c:pt>
                <c:pt idx="4">
                  <c:v>0.50235062044444445</c:v>
                </c:pt>
                <c:pt idx="5">
                  <c:v>0.49796666971428571</c:v>
                </c:pt>
                <c:pt idx="6">
                  <c:v>0.4933248395294117</c:v>
                </c:pt>
                <c:pt idx="7">
                  <c:v>0.48840168630303021</c:v>
                </c:pt>
                <c:pt idx="8">
                  <c:v>0.48317083599999999</c:v>
                </c:pt>
                <c:pt idx="9">
                  <c:v>0.47760251148387095</c:v>
                </c:pt>
                <c:pt idx="10">
                  <c:v>0.47166296533333335</c:v>
                </c:pt>
                <c:pt idx="11">
                  <c:v>0.46531379531034484</c:v>
                </c:pt>
                <c:pt idx="12">
                  <c:v>0.4585111131428572</c:v>
                </c:pt>
                <c:pt idx="13">
                  <c:v>0.45120452859259252</c:v>
                </c:pt>
                <c:pt idx="14">
                  <c:v>0.44333589907692317</c:v>
                </c:pt>
                <c:pt idx="15">
                  <c:v>0.43483777919999989</c:v>
                </c:pt>
                <c:pt idx="16">
                  <c:v>0.42563148266666662</c:v>
                </c:pt>
                <c:pt idx="17">
                  <c:v>0.41562463860869564</c:v>
                </c:pt>
                <c:pt idx="18">
                  <c:v>0.40470808145454545</c:v>
                </c:pt>
                <c:pt idx="19">
                  <c:v>0.39275185219047604</c:v>
                </c:pt>
                <c:pt idx="20">
                  <c:v>0.37959999999999999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DA-4B46-9C29-BB2AF337865E}"/>
            </c:ext>
          </c:extLst>
        </c:ser>
        <c:ser>
          <c:idx val="5"/>
          <c:order val="2"/>
          <c:tx>
            <c:v>Incongruent weath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'two-endmember mixing'!$BQ$43:$BQ$62</c:f>
              <c:numCache>
                <c:formatCode>0.000</c:formatCode>
                <c:ptCount val="20"/>
                <c:pt idx="0">
                  <c:v>0.52433056778504694</c:v>
                </c:pt>
                <c:pt idx="1">
                  <c:v>0.5197763928745841</c:v>
                </c:pt>
                <c:pt idx="2">
                  <c:v>0.51500885997823898</c:v>
                </c:pt>
                <c:pt idx="3">
                  <c:v>0.51001261608693038</c:v>
                </c:pt>
                <c:pt idx="4">
                  <c:v>0.50477079894244214</c:v>
                </c:pt>
                <c:pt idx="5">
                  <c:v>0.4992648469099632</c:v>
                </c:pt>
                <c:pt idx="6">
                  <c:v>0.49347427936623095</c:v>
                </c:pt>
                <c:pt idx="7">
                  <c:v>0.4873764421273365</c:v>
                </c:pt>
                <c:pt idx="8">
                  <c:v>0.4809462112462719</c:v>
                </c:pt>
                <c:pt idx="9">
                  <c:v>0.47415564701523971</c:v>
                </c:pt>
                <c:pt idx="10">
                  <c:v>0.46697358812481521</c:v>
                </c:pt>
                <c:pt idx="11">
                  <c:v>0.45936517354611195</c:v>
                </c:pt>
                <c:pt idx="12">
                  <c:v>0.45129127665929247</c:v>
                </c:pt>
                <c:pt idx="13">
                  <c:v>0.44270783224481092</c:v>
                </c:pt>
                <c:pt idx="14">
                  <c:v>0.43356503190109957</c:v>
                </c:pt>
                <c:pt idx="15">
                  <c:v>0.42380635686812551</c:v>
                </c:pt>
                <c:pt idx="16">
                  <c:v>0.41336740858652582</c:v>
                </c:pt>
                <c:pt idx="17">
                  <c:v>0.40217448586094762</c:v>
                </c:pt>
                <c:pt idx="18">
                  <c:v>0.3901428421704885</c:v>
                </c:pt>
                <c:pt idx="19">
                  <c:v>0.3771745359744042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DA-4B46-9C29-BB2AF337865E}"/>
            </c:ext>
          </c:extLst>
        </c:ser>
        <c:ser>
          <c:idx val="1"/>
          <c:order val="3"/>
          <c:tx>
            <c:v>H9 basalt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mixing'!$D$18</c:f>
              <c:numCache>
                <c:formatCode>0.000</c:formatCode>
                <c:ptCount val="1"/>
                <c:pt idx="0">
                  <c:v>0.55738749899999995</c:v>
                </c:pt>
              </c:numCache>
            </c:numRef>
          </c:xVal>
          <c:yVal>
            <c:numRef>
              <c:f>'two-endmember mixing'!$D$20</c:f>
              <c:numCache>
                <c:formatCode>0.000</c:formatCode>
                <c:ptCount val="1"/>
                <c:pt idx="0">
                  <c:v>0.65578889600000001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DA-4B46-9C29-BB2AF337865E}"/>
            </c:ext>
          </c:extLst>
        </c:ser>
        <c:ser>
          <c:idx val="2"/>
          <c:order val="4"/>
          <c:tx>
            <c:v>P6-A LFGL soil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'two-endmember mixing'!$G$20</c:f>
              <c:numCache>
                <c:formatCode>0.000</c:formatCode>
                <c:ptCount val="1"/>
                <c:pt idx="0">
                  <c:v>0.37959999999999999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DA-4B46-9C29-BB2AF337865E}"/>
            </c:ext>
          </c:extLst>
        </c:ser>
        <c:ser>
          <c:idx val="4"/>
          <c:order val="5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data'!$O$35:$O$50</c:f>
              <c:numCache>
                <c:formatCode>0.000</c:formatCode>
                <c:ptCount val="16"/>
                <c:pt idx="0">
                  <c:v>0.55739447818193211</c:v>
                </c:pt>
                <c:pt idx="1">
                  <c:v>0.59335541225818567</c:v>
                </c:pt>
                <c:pt idx="2">
                  <c:v>0.62931634633443934</c:v>
                </c:pt>
                <c:pt idx="3">
                  <c:v>0.52143354410567833</c:v>
                </c:pt>
                <c:pt idx="4">
                  <c:v>0.59335541225818567</c:v>
                </c:pt>
                <c:pt idx="5">
                  <c:v>0.59335541225818567</c:v>
                </c:pt>
                <c:pt idx="6">
                  <c:v>0.61732936830902141</c:v>
                </c:pt>
                <c:pt idx="7">
                  <c:v>1.006906154135103</c:v>
                </c:pt>
                <c:pt idx="8">
                  <c:v>0.5633879671946409</c:v>
                </c:pt>
                <c:pt idx="9">
                  <c:v>0.50345307706755149</c:v>
                </c:pt>
                <c:pt idx="10">
                  <c:v>0.54540750015651418</c:v>
                </c:pt>
                <c:pt idx="11">
                  <c:v>0.54540750015651418</c:v>
                </c:pt>
                <c:pt idx="12">
                  <c:v>0.59934890127089469</c:v>
                </c:pt>
                <c:pt idx="13">
                  <c:v>0.65329030238527519</c:v>
                </c:pt>
                <c:pt idx="14">
                  <c:v>0.58136843423276774</c:v>
                </c:pt>
                <c:pt idx="15">
                  <c:v>0.88703637388092405</c:v>
                </c:pt>
              </c:numCache>
            </c:numRef>
          </c:xVal>
          <c:yVal>
            <c:numRef>
              <c:f>'Morgan-Pompa solid data'!$H$35:$H$50</c:f>
              <c:numCache>
                <c:formatCode>0.000</c:formatCode>
                <c:ptCount val="16"/>
                <c:pt idx="0">
                  <c:v>0.92146674451934818</c:v>
                </c:pt>
                <c:pt idx="1">
                  <c:v>0.85505472689633211</c:v>
                </c:pt>
                <c:pt idx="2">
                  <c:v>0.97957725993948719</c:v>
                </c:pt>
                <c:pt idx="3">
                  <c:v>0.95467275333085622</c:v>
                </c:pt>
                <c:pt idx="4">
                  <c:v>0.87165773130208624</c:v>
                </c:pt>
                <c:pt idx="5">
                  <c:v>0.83845172249057809</c:v>
                </c:pt>
                <c:pt idx="6">
                  <c:v>0.83845172249057809</c:v>
                </c:pt>
                <c:pt idx="7">
                  <c:v>0.41507511014385057</c:v>
                </c:pt>
                <c:pt idx="8">
                  <c:v>0.81354721588194712</c:v>
                </c:pt>
                <c:pt idx="9">
                  <c:v>1.0293862731567494</c:v>
                </c:pt>
                <c:pt idx="10">
                  <c:v>0.81354721588194712</c:v>
                </c:pt>
                <c:pt idx="11">
                  <c:v>0.82184871808482396</c:v>
                </c:pt>
                <c:pt idx="12">
                  <c:v>0.82184871808482396</c:v>
                </c:pt>
                <c:pt idx="13">
                  <c:v>1.2203208238229206</c:v>
                </c:pt>
                <c:pt idx="14">
                  <c:v>0.84675322469345504</c:v>
                </c:pt>
                <c:pt idx="15">
                  <c:v>0.48148712776686658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DA-4B46-9C29-BB2AF337865E}"/>
            </c:ext>
          </c:extLst>
        </c:ser>
        <c:ser>
          <c:idx val="6"/>
          <c:order val="6"/>
          <c:tx>
            <c:v>Ave EXPT</c:v>
          </c:tx>
          <c:spPr>
            <a:ln w="25400" cap="flat" cmpd="dbl" algn="ctr">
              <a:noFill/>
              <a:round/>
            </a:ln>
            <a:effectLst/>
          </c:spPr>
          <c:marker>
            <c:symbol val="plus"/>
            <c:size val="40"/>
            <c:spPr>
              <a:noFill/>
              <a:ln w="63500" cap="flat" cmpd="dbl" algn="ctr">
                <a:solidFill>
                  <a:schemeClr val="accent1">
                    <a:lumMod val="60000"/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'two-endmember mixing'!$D$39</c:f>
              <c:numCache>
                <c:formatCode>0.000</c:formatCode>
                <c:ptCount val="1"/>
                <c:pt idx="0">
                  <c:v>0.5783716897264134</c:v>
                </c:pt>
              </c:numCache>
            </c:numRef>
          </c:xVal>
          <c:yVal>
            <c:numRef>
              <c:f>'two-endmember mixing'!$D$41</c:f>
              <c:numCache>
                <c:formatCode>0.000</c:formatCode>
                <c:ptCount val="1"/>
                <c:pt idx="0">
                  <c:v>0.90189891789828092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DA-4B46-9C29-BB2AF3378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Physical mixing &amp;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 only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'two-endmember mixing'!$U$13:$U$34</c:f>
              <c:numCache>
                <c:formatCode>0.000</c:formatCode>
                <c:ptCount val="22"/>
                <c:pt idx="0">
                  <c:v>0.55738749899999995</c:v>
                </c:pt>
                <c:pt idx="1">
                  <c:v>0.53665929359413911</c:v>
                </c:pt>
                <c:pt idx="2">
                  <c:v>0.51593108818827826</c:v>
                </c:pt>
                <c:pt idx="3">
                  <c:v>0.49520288278241725</c:v>
                </c:pt>
                <c:pt idx="4">
                  <c:v>0.47447467737655641</c:v>
                </c:pt>
                <c:pt idx="5">
                  <c:v>0.45374647197069551</c:v>
                </c:pt>
                <c:pt idx="6">
                  <c:v>0.43301826656483472</c:v>
                </c:pt>
                <c:pt idx="7">
                  <c:v>0.41229006115897376</c:v>
                </c:pt>
                <c:pt idx="8">
                  <c:v>0.39156185575311292</c:v>
                </c:pt>
                <c:pt idx="9">
                  <c:v>0.37083365034725202</c:v>
                </c:pt>
                <c:pt idx="10">
                  <c:v>0.35010544494139112</c:v>
                </c:pt>
                <c:pt idx="11">
                  <c:v>0.32937723953553028</c:v>
                </c:pt>
                <c:pt idx="12">
                  <c:v>0.30864903412966938</c:v>
                </c:pt>
                <c:pt idx="13">
                  <c:v>0.28792082872380842</c:v>
                </c:pt>
                <c:pt idx="14">
                  <c:v>0.26719262331794758</c:v>
                </c:pt>
                <c:pt idx="15">
                  <c:v>0.24646441791208668</c:v>
                </c:pt>
                <c:pt idx="16">
                  <c:v>0.2257362125062258</c:v>
                </c:pt>
                <c:pt idx="17">
                  <c:v>0.20500800710036493</c:v>
                </c:pt>
                <c:pt idx="18">
                  <c:v>0.184279801694504</c:v>
                </c:pt>
                <c:pt idx="19">
                  <c:v>0.16355159628864316</c:v>
                </c:pt>
                <c:pt idx="20">
                  <c:v>0.14282339088278223</c:v>
                </c:pt>
                <c:pt idx="21">
                  <c:v>0.12209518547692136</c:v>
                </c:pt>
              </c:numCache>
            </c:numRef>
          </c:xVal>
          <c:yVal>
            <c:numRef>
              <c:f>'two-endmember mixing'!$S$13:$S$34</c:f>
              <c:numCache>
                <c:formatCode>0.000</c:formatCode>
                <c:ptCount val="22"/>
                <c:pt idx="0">
                  <c:v>8.6798077679999999</c:v>
                </c:pt>
                <c:pt idx="1">
                  <c:v>8.3460073980952405</c:v>
                </c:pt>
                <c:pt idx="2">
                  <c:v>8.0122070281904758</c:v>
                </c:pt>
                <c:pt idx="3">
                  <c:v>7.6784066582857147</c:v>
                </c:pt>
                <c:pt idx="4">
                  <c:v>7.3446062883809535</c:v>
                </c:pt>
                <c:pt idx="5">
                  <c:v>7.0108059184761915</c:v>
                </c:pt>
                <c:pt idx="6">
                  <c:v>6.6770055485714295</c:v>
                </c:pt>
                <c:pt idx="7">
                  <c:v>6.3432051786666683</c:v>
                </c:pt>
                <c:pt idx="8">
                  <c:v>6.0094048087619063</c:v>
                </c:pt>
                <c:pt idx="9">
                  <c:v>5.6756044388571443</c:v>
                </c:pt>
                <c:pt idx="10">
                  <c:v>5.3418040689523831</c:v>
                </c:pt>
                <c:pt idx="11">
                  <c:v>5.0080036990476211</c:v>
                </c:pt>
                <c:pt idx="12">
                  <c:v>4.6742033291428591</c:v>
                </c:pt>
                <c:pt idx="13">
                  <c:v>4.340402959238097</c:v>
                </c:pt>
                <c:pt idx="14">
                  <c:v>4.006602589333335</c:v>
                </c:pt>
                <c:pt idx="15">
                  <c:v>3.6728022194285734</c:v>
                </c:pt>
                <c:pt idx="16">
                  <c:v>3.3390018495238114</c:v>
                </c:pt>
                <c:pt idx="17">
                  <c:v>3.0052014796190498</c:v>
                </c:pt>
                <c:pt idx="18">
                  <c:v>2.6714011097142878</c:v>
                </c:pt>
                <c:pt idx="19">
                  <c:v>2.3376007398095262</c:v>
                </c:pt>
                <c:pt idx="20">
                  <c:v>2.0038003699047637</c:v>
                </c:pt>
                <c:pt idx="21">
                  <c:v>1.6700000000000021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77-0347-8B14-183911DBC9D4}"/>
            </c:ext>
          </c:extLst>
        </c:ser>
        <c:ser>
          <c:idx val="3"/>
          <c:order val="1"/>
          <c:tx>
            <c:v>Congruent weath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mixing'!$BV$13:$BV$33</c:f>
              <c:numCache>
                <c:formatCode>0.000</c:formatCode>
                <c:ptCount val="21"/>
                <c:pt idx="0">
                  <c:v>0.33974134223846059</c:v>
                </c:pt>
                <c:pt idx="1">
                  <c:v>0.33416067155226725</c:v>
                </c:pt>
                <c:pt idx="2">
                  <c:v>0.32828628135627436</c:v>
                </c:pt>
                <c:pt idx="3">
                  <c:v>0.3220943565550925</c:v>
                </c:pt>
                <c:pt idx="4">
                  <c:v>0.31555843593162286</c:v>
                </c:pt>
                <c:pt idx="5">
                  <c:v>0.30864903412966926</c:v>
                </c:pt>
                <c:pt idx="6">
                  <c:v>0.30133319692760069</c:v>
                </c:pt>
                <c:pt idx="7">
                  <c:v>0.29357397565267951</c:v>
                </c:pt>
                <c:pt idx="8">
                  <c:v>0.28532980304807576</c:v>
                </c:pt>
                <c:pt idx="9">
                  <c:v>0.27655374833994911</c:v>
                </c:pt>
                <c:pt idx="10">
                  <c:v>0.26719262331794752</c:v>
                </c:pt>
                <c:pt idx="11">
                  <c:v>0.25718590346684217</c:v>
                </c:pt>
                <c:pt idx="12">
                  <c:v>0.24646441791208659</c:v>
                </c:pt>
                <c:pt idx="13">
                  <c:v>0.23494874824216383</c:v>
                </c:pt>
                <c:pt idx="14">
                  <c:v>0.22254725782840093</c:v>
                </c:pt>
                <c:pt idx="15">
                  <c:v>0.20915364818153689</c:v>
                </c:pt>
                <c:pt idx="16">
                  <c:v>0.19464390439743429</c:v>
                </c:pt>
                <c:pt idx="17">
                  <c:v>0.17887244376254008</c:v>
                </c:pt>
                <c:pt idx="18">
                  <c:v>0.16166721397901918</c:v>
                </c:pt>
                <c:pt idx="19">
                  <c:v>0.14282339088278195</c:v>
                </c:pt>
                <c:pt idx="20">
                  <c:v>0.12209518547692116</c:v>
                </c:pt>
              </c:numCache>
            </c:numRef>
          </c:xVal>
          <c:yVal>
            <c:numRef>
              <c:f>'two-endmember mixing'!$BT$13:$BT$33</c:f>
              <c:numCache>
                <c:formatCode>0.000</c:formatCode>
                <c:ptCount val="21"/>
                <c:pt idx="0">
                  <c:v>5.1749038839999999</c:v>
                </c:pt>
                <c:pt idx="1">
                  <c:v>5.0850345536410257</c:v>
                </c:pt>
                <c:pt idx="2">
                  <c:v>4.9904352585263148</c:v>
                </c:pt>
                <c:pt idx="3">
                  <c:v>4.8907224879999998</c:v>
                </c:pt>
                <c:pt idx="4">
                  <c:v>4.7854701191111104</c:v>
                </c:pt>
                <c:pt idx="5">
                  <c:v>4.6742033291428564</c:v>
                </c:pt>
                <c:pt idx="6">
                  <c:v>4.5563914338823528</c:v>
                </c:pt>
                <c:pt idx="7">
                  <c:v>4.4314394237575767</c:v>
                </c:pt>
                <c:pt idx="8">
                  <c:v>4.2986779129999997</c:v>
                </c:pt>
                <c:pt idx="9">
                  <c:v>4.1573511434838704</c:v>
                </c:pt>
                <c:pt idx="10">
                  <c:v>4.0066025893333332</c:v>
                </c:pt>
                <c:pt idx="11">
                  <c:v>3.8454575831724132</c:v>
                </c:pt>
                <c:pt idx="12">
                  <c:v>3.6728022194285717</c:v>
                </c:pt>
                <c:pt idx="13">
                  <c:v>3.4873575694814809</c:v>
                </c:pt>
                <c:pt idx="14">
                  <c:v>3.2876479464615382</c:v>
                </c:pt>
                <c:pt idx="15">
                  <c:v>3.0719615535999991</c:v>
                </c:pt>
                <c:pt idx="16">
                  <c:v>2.8383012946666657</c:v>
                </c:pt>
                <c:pt idx="17">
                  <c:v>2.5843227523478243</c:v>
                </c:pt>
                <c:pt idx="18">
                  <c:v>2.307255251636362</c:v>
                </c:pt>
                <c:pt idx="19">
                  <c:v>2.0038003699047606</c:v>
                </c:pt>
                <c:pt idx="20">
                  <c:v>1.6699999999999993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77-0347-8B14-183911DBC9D4}"/>
            </c:ext>
          </c:extLst>
        </c:ser>
        <c:ser>
          <c:idx val="5"/>
          <c:order val="2"/>
          <c:tx>
            <c:v>Incongruent weath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'two-endmember mixing'!$BT$43:$BT$62</c:f>
              <c:numCache>
                <c:formatCode>0.000</c:formatCode>
                <c:ptCount val="20"/>
                <c:pt idx="0">
                  <c:v>8.4206821118315762</c:v>
                </c:pt>
                <c:pt idx="1">
                  <c:v>8.368447981598786</c:v>
                </c:pt>
                <c:pt idx="2">
                  <c:v>8.3137667409585383</c:v>
                </c:pt>
                <c:pt idx="3">
                  <c:v>8.2564622985020542</c:v>
                </c:pt>
                <c:pt idx="4">
                  <c:v>8.1963412524806056</c:v>
                </c:pt>
                <c:pt idx="5">
                  <c:v>8.1331907101377414</c:v>
                </c:pt>
                <c:pt idx="6">
                  <c:v>8.0667757688700732</c:v>
                </c:pt>
                <c:pt idx="7">
                  <c:v>7.9968365964103167</c:v>
                </c:pt>
                <c:pt idx="8">
                  <c:v>7.9230850335318754</c:v>
                </c:pt>
                <c:pt idx="9">
                  <c:v>7.8452006256267319</c:v>
                </c:pt>
                <c:pt idx="10">
                  <c:v>7.7628259679120877</c:v>
                </c:pt>
                <c:pt idx="11">
                  <c:v>7.6755612216556388</c:v>
                </c:pt>
                <c:pt idx="12">
                  <c:v>7.5829576239099001</c:v>
                </c:pt>
                <c:pt idx="13">
                  <c:v>7.4845097684351591</c:v>
                </c:pt>
                <c:pt idx="14">
                  <c:v>7.3796463775388981</c:v>
                </c:pt>
                <c:pt idx="15">
                  <c:v>7.2677192090410996</c:v>
                </c:pt>
                <c:pt idx="16">
                  <c:v>7.1479896433668175</c:v>
                </c:pt>
                <c:pt idx="17">
                  <c:v>7.0196123643145372</c:v>
                </c:pt>
                <c:pt idx="18">
                  <c:v>6.881615371270172</c:v>
                </c:pt>
                <c:pt idx="19">
                  <c:v>6.7328753232784475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77-0347-8B14-183911DBC9D4}"/>
            </c:ext>
          </c:extLst>
        </c:ser>
        <c:ser>
          <c:idx val="1"/>
          <c:order val="3"/>
          <c:tx>
            <c:v>H9 basalt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mixing'!$D$18</c:f>
              <c:numCache>
                <c:formatCode>0.000</c:formatCode>
                <c:ptCount val="1"/>
                <c:pt idx="0">
                  <c:v>0.55738749899999995</c:v>
                </c:pt>
              </c:numCache>
            </c:numRef>
          </c:xVal>
          <c:yVal>
            <c:numRef>
              <c:f>'two-endmember mixing'!$D$16</c:f>
              <c:numCache>
                <c:formatCode>0.000</c:formatCode>
                <c:ptCount val="1"/>
                <c:pt idx="0">
                  <c:v>8.6798077679999999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77-0347-8B14-183911DBC9D4}"/>
            </c:ext>
          </c:extLst>
        </c:ser>
        <c:ser>
          <c:idx val="2"/>
          <c:order val="4"/>
          <c:tx>
            <c:v>LFGL P6-A soil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'two-endmember mixing'!$G$16</c:f>
              <c:numCache>
                <c:formatCode>0.000</c:formatCode>
                <c:ptCount val="1"/>
                <c:pt idx="0">
                  <c:v>1.67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77-0347-8B14-183911DBC9D4}"/>
            </c:ext>
          </c:extLst>
        </c:ser>
        <c:ser>
          <c:idx val="4"/>
          <c:order val="5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data'!$O$35:$O$50</c:f>
              <c:numCache>
                <c:formatCode>0.000</c:formatCode>
                <c:ptCount val="16"/>
                <c:pt idx="0">
                  <c:v>0.55739447818193211</c:v>
                </c:pt>
                <c:pt idx="1">
                  <c:v>0.59335541225818567</c:v>
                </c:pt>
                <c:pt idx="2">
                  <c:v>0.62931634633443934</c:v>
                </c:pt>
                <c:pt idx="3">
                  <c:v>0.52143354410567833</c:v>
                </c:pt>
                <c:pt idx="4">
                  <c:v>0.59335541225818567</c:v>
                </c:pt>
                <c:pt idx="5">
                  <c:v>0.59335541225818567</c:v>
                </c:pt>
                <c:pt idx="6">
                  <c:v>0.61732936830902141</c:v>
                </c:pt>
                <c:pt idx="7">
                  <c:v>1.006906154135103</c:v>
                </c:pt>
                <c:pt idx="8">
                  <c:v>0.5633879671946409</c:v>
                </c:pt>
                <c:pt idx="9">
                  <c:v>0.50345307706755149</c:v>
                </c:pt>
                <c:pt idx="10">
                  <c:v>0.54540750015651418</c:v>
                </c:pt>
                <c:pt idx="11">
                  <c:v>0.54540750015651418</c:v>
                </c:pt>
                <c:pt idx="12">
                  <c:v>0.59934890127089469</c:v>
                </c:pt>
                <c:pt idx="13">
                  <c:v>0.65329030238527519</c:v>
                </c:pt>
                <c:pt idx="14">
                  <c:v>0.58136843423276774</c:v>
                </c:pt>
                <c:pt idx="15">
                  <c:v>0.88703637388092405</c:v>
                </c:pt>
              </c:numCache>
            </c:numRef>
          </c:xVal>
          <c:yVal>
            <c:numRef>
              <c:f>'Morgan-Pompa solid data'!$D$35:$D$50</c:f>
              <c:numCache>
                <c:formatCode>0.000</c:formatCode>
                <c:ptCount val="16"/>
                <c:pt idx="0">
                  <c:v>6.0335775443551949</c:v>
                </c:pt>
                <c:pt idx="1">
                  <c:v>4.8162768117221288</c:v>
                </c:pt>
                <c:pt idx="2">
                  <c:v>6.2452820195957282</c:v>
                </c:pt>
                <c:pt idx="3">
                  <c:v>6.6157648512666603</c:v>
                </c:pt>
                <c:pt idx="4">
                  <c:v>5.9806514255450614</c:v>
                </c:pt>
                <c:pt idx="5">
                  <c:v>4.8744955424132765</c:v>
                </c:pt>
                <c:pt idx="6">
                  <c:v>4.9168364374613827</c:v>
                </c:pt>
                <c:pt idx="7">
                  <c:v>7.7272133462794601</c:v>
                </c:pt>
                <c:pt idx="8">
                  <c:v>4.8003989760790891</c:v>
                </c:pt>
                <c:pt idx="9">
                  <c:v>6.8274693265071935</c:v>
                </c:pt>
                <c:pt idx="10">
                  <c:v>5.170881807750022</c:v>
                </c:pt>
                <c:pt idx="11">
                  <c:v>4.9115438255803685</c:v>
                </c:pt>
                <c:pt idx="12">
                  <c:v>4.8956659899373287</c:v>
                </c:pt>
                <c:pt idx="13">
                  <c:v>8.5211051284314596</c:v>
                </c:pt>
                <c:pt idx="14">
                  <c:v>5.4513902374437286</c:v>
                </c:pt>
                <c:pt idx="15">
                  <c:v>7.7272133462794601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77-0347-8B14-183911DBC9D4}"/>
            </c:ext>
          </c:extLst>
        </c:ser>
        <c:ser>
          <c:idx val="6"/>
          <c:order val="6"/>
          <c:tx>
            <c:v>Ave EXPT</c:v>
          </c:tx>
          <c:spPr>
            <a:ln w="25400" cap="flat" cmpd="dbl" algn="ctr">
              <a:noFill/>
              <a:round/>
            </a:ln>
            <a:effectLst/>
          </c:spPr>
          <c:marker>
            <c:symbol val="plus"/>
            <c:size val="40"/>
            <c:spPr>
              <a:noFill/>
              <a:ln w="63500" cap="flat" cmpd="dbl" algn="ctr">
                <a:solidFill>
                  <a:schemeClr val="accent1">
                    <a:lumMod val="60000"/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'two-endmember mixing'!$D$39</c:f>
              <c:numCache>
                <c:formatCode>0.000</c:formatCode>
                <c:ptCount val="1"/>
                <c:pt idx="0">
                  <c:v>0.5783716897264134</c:v>
                </c:pt>
              </c:numCache>
            </c:numRef>
          </c:xVal>
          <c:yVal>
            <c:numRef>
              <c:f>'two-endmember mixing'!$D$37</c:f>
              <c:numCache>
                <c:formatCode>0.000</c:formatCode>
                <c:ptCount val="1"/>
                <c:pt idx="0">
                  <c:v>5.7186671374349016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77-0347-8B14-183911DBC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Al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Residual solid: Elemental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 only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'two-endmember mixing'!$AB$13:$AB$34</c:f>
              <c:numCache>
                <c:formatCode>0.00</c:formatCode>
                <c:ptCount val="22"/>
                <c:pt idx="0">
                  <c:v>64.532579102202547</c:v>
                </c:pt>
                <c:pt idx="1">
                  <c:v>70.02656637298692</c:v>
                </c:pt>
                <c:pt idx="2">
                  <c:v>75.962009874082625</c:v>
                </c:pt>
                <c:pt idx="3">
                  <c:v>82.394345038547939</c:v>
                </c:pt>
                <c:pt idx="4">
                  <c:v>89.388694451131144</c:v>
                </c:pt>
                <c:pt idx="5">
                  <c:v>97.022080507568404</c:v>
                </c:pt>
                <c:pt idx="6">
                  <c:v>105.3862735822651</c:v>
                </c:pt>
                <c:pt idx="7">
                  <c:v>114.591499359129</c:v>
                </c:pt>
                <c:pt idx="8">
                  <c:v>124.77132369765901</c:v>
                </c:pt>
                <c:pt idx="9">
                  <c:v>136.08917577281457</c:v>
                </c:pt>
                <c:pt idx="10">
                  <c:v>148.74718845361994</c:v>
                </c:pt>
                <c:pt idx="11">
                  <c:v>162.99837671175243</c:v>
                </c:pt>
                <c:pt idx="12">
                  <c:v>179.16372328452309</c:v>
                </c:pt>
                <c:pt idx="13">
                  <c:v>197.656644598604</c:v>
                </c:pt>
                <c:pt idx="14">
                  <c:v>219.01884476322064</c:v>
                </c:pt>
                <c:pt idx="15">
                  <c:v>243.97426196650326</c:v>
                </c:pt>
                <c:pt idx="16">
                  <c:v>273.51273660692016</c:v>
                </c:pt>
                <c:pt idx="17">
                  <c:v>309.02443715575362</c:v>
                </c:pt>
                <c:pt idx="18">
                  <c:v>352.52500915462196</c:v>
                </c:pt>
                <c:pt idx="19">
                  <c:v>407.05193384128216</c:v>
                </c:pt>
                <c:pt idx="20">
                  <c:v>477.40603204719633</c:v>
                </c:pt>
                <c:pt idx="21">
                  <c:v>571.64828264929065</c:v>
                </c:pt>
              </c:numCache>
            </c:numRef>
          </c:xVal>
          <c:yVal>
            <c:numRef>
              <c:f>'two-endmember mixing'!$X$13:$X$34</c:f>
              <c:numCache>
                <c:formatCode>0.00</c:formatCode>
                <c:ptCount val="22"/>
                <c:pt idx="0">
                  <c:v>10.115317806557586</c:v>
                </c:pt>
                <c:pt idx="1">
                  <c:v>10.014866884684238</c:v>
                </c:pt>
                <c:pt idx="2">
                  <c:v>9.9063444688092002</c:v>
                </c:pt>
                <c:pt idx="3">
                  <c:v>9.7887369889912446</c:v>
                </c:pt>
                <c:pt idx="4">
                  <c:v>9.6608537574201634</c:v>
                </c:pt>
                <c:pt idx="5">
                  <c:v>9.5212865126138624</c:v>
                </c:pt>
                <c:pt idx="6">
                  <c:v>9.3683573441121677</c:v>
                </c:pt>
                <c:pt idx="7">
                  <c:v>9.2000509084100948</c:v>
                </c:pt>
                <c:pt idx="8">
                  <c:v>9.013925115081113</c:v>
                </c:pt>
                <c:pt idx="9">
                  <c:v>8.8069918590429648</c:v>
                </c:pt>
                <c:pt idx="10">
                  <c:v>8.575555384911878</c:v>
                </c:pt>
                <c:pt idx="11">
                  <c:v>8.3149896195100119</c:v>
                </c:pt>
                <c:pt idx="12">
                  <c:v>8.0194257811531173</c:v>
                </c:pt>
                <c:pt idx="13">
                  <c:v>7.6813050497839193</c:v>
                </c:pt>
                <c:pt idx="14">
                  <c:v>7.2907230200093327</c:v>
                </c:pt>
                <c:pt idx="15">
                  <c:v>6.8344433563970357</c:v>
                </c:pt>
                <c:pt idx="16">
                  <c:v>6.2943680227425558</c:v>
                </c:pt>
                <c:pt idx="17">
                  <c:v>5.6450794675269407</c:v>
                </c:pt>
                <c:pt idx="18">
                  <c:v>4.8497240464212137</c:v>
                </c:pt>
                <c:pt idx="19">
                  <c:v>3.8527650835163749</c:v>
                </c:pt>
                <c:pt idx="20">
                  <c:v>2.5664253681090838</c:v>
                </c:pt>
                <c:pt idx="21">
                  <c:v>0.84331963709639068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D-9E47-B92C-91F9ED36FE54}"/>
            </c:ext>
          </c:extLst>
        </c:ser>
        <c:ser>
          <c:idx val="1"/>
          <c:order val="1"/>
          <c:tx>
            <c:v>Mix + weath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mixing'!$CC$13:$CC$33</c:f>
              <c:numCache>
                <c:formatCode>0.000</c:formatCode>
                <c:ptCount val="21"/>
                <c:pt idx="0">
                  <c:v>155.65541018730315</c:v>
                </c:pt>
                <c:pt idx="1">
                  <c:v>159.55271601099778</c:v>
                </c:pt>
                <c:pt idx="2">
                  <c:v>163.79829128077213</c:v>
                </c:pt>
                <c:pt idx="3">
                  <c:v>168.44100224684431</c:v>
                </c:pt>
                <c:pt idx="4">
                  <c:v>173.53930571871919</c:v>
                </c:pt>
                <c:pt idx="5">
                  <c:v>179.16372328452317</c:v>
                </c:pt>
                <c:pt idx="6">
                  <c:v>185.40012317583333</c:v>
                </c:pt>
                <c:pt idx="7">
                  <c:v>192.35413504840176</c:v>
                </c:pt>
                <c:pt idx="8">
                  <c:v>200.15718180189143</c:v>
                </c:pt>
                <c:pt idx="9">
                  <c:v>208.97486436525253</c:v>
                </c:pt>
                <c:pt idx="10">
                  <c:v>219.01884476322076</c:v>
                </c:pt>
                <c:pt idx="11">
                  <c:v>230.56405752176158</c:v>
                </c:pt>
                <c:pt idx="12">
                  <c:v>243.97426196650338</c:v>
                </c:pt>
                <c:pt idx="13">
                  <c:v>259.74106557420919</c:v>
                </c:pt>
                <c:pt idx="14">
                  <c:v>278.5455020444906</c:v>
                </c:pt>
                <c:pt idx="15">
                  <c:v>301.35899421345243</c:v>
                </c:pt>
                <c:pt idx="16">
                  <c:v>329.61659699339498</c:v>
                </c:pt>
                <c:pt idx="17">
                  <c:v>365.53106952240262</c:v>
                </c:pt>
                <c:pt idx="18">
                  <c:v>412.70226759055959</c:v>
                </c:pt>
                <c:pt idx="19">
                  <c:v>477.4060320471973</c:v>
                </c:pt>
                <c:pt idx="20">
                  <c:v>571.64828264929156</c:v>
                </c:pt>
              </c:numCache>
            </c:numRef>
          </c:xVal>
          <c:yVal>
            <c:numRef>
              <c:f>'two-endmember mixing'!$BY$13:$BY$33</c:f>
              <c:numCache>
                <c:formatCode>0.000</c:formatCode>
                <c:ptCount val="21"/>
                <c:pt idx="0">
                  <c:v>8.4492468939286258</c:v>
                </c:pt>
                <c:pt idx="1">
                  <c:v>8.3779893639204452</c:v>
                </c:pt>
                <c:pt idx="2">
                  <c:v>8.3003641477137382</c:v>
                </c:pt>
                <c:pt idx="3">
                  <c:v>8.2154777849415765</c:v>
                </c:pt>
                <c:pt idx="4">
                  <c:v>8.1222614634434738</c:v>
                </c:pt>
                <c:pt idx="5">
                  <c:v>8.0194257811531173</c:v>
                </c:pt>
                <c:pt idx="6">
                  <c:v>7.9054007411636267</c:v>
                </c:pt>
                <c:pt idx="7">
                  <c:v>7.7782550327939814</c:v>
                </c:pt>
                <c:pt idx="8">
                  <c:v>7.6355857470500847</c:v>
                </c:pt>
                <c:pt idx="9">
                  <c:v>7.4743650709509026</c:v>
                </c:pt>
                <c:pt idx="10">
                  <c:v>7.2907230200093274</c:v>
                </c:pt>
                <c:pt idx="11">
                  <c:v>7.0796327484707522</c:v>
                </c:pt>
                <c:pt idx="12">
                  <c:v>6.8344433563970339</c:v>
                </c:pt>
                <c:pt idx="13">
                  <c:v>6.546166394815371</c:v>
                </c:pt>
                <c:pt idx="14">
                  <c:v>6.202349985048027</c:v>
                </c:pt>
                <c:pt idx="15">
                  <c:v>5.7852328337745043</c:v>
                </c:pt>
                <c:pt idx="16">
                  <c:v>5.2685766951135147</c:v>
                </c:pt>
                <c:pt idx="17">
                  <c:v>4.6119239406889934</c:v>
                </c:pt>
                <c:pt idx="18">
                  <c:v>3.749455555111525</c:v>
                </c:pt>
                <c:pt idx="19">
                  <c:v>2.5664253681090656</c:v>
                </c:pt>
                <c:pt idx="20">
                  <c:v>0.84331963709637436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BD-9E47-B92C-91F9ED36FE54}"/>
            </c:ext>
          </c:extLst>
        </c:ser>
        <c:ser>
          <c:idx val="2"/>
          <c:order val="2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data'!$AA$35:$AA$50</c:f>
              <c:numCache>
                <c:formatCode>0.000</c:formatCode>
                <c:ptCount val="16"/>
                <c:pt idx="0">
                  <c:v>86.75677528163078</c:v>
                </c:pt>
                <c:pt idx="1">
                  <c:v>82.707172920873745</c:v>
                </c:pt>
                <c:pt idx="2">
                  <c:v>77.348085695898746</c:v>
                </c:pt>
                <c:pt idx="3">
                  <c:v>84.795223468752923</c:v>
                </c:pt>
                <c:pt idx="4">
                  <c:v>71.294657176922016</c:v>
                </c:pt>
                <c:pt idx="5">
                  <c:v>77.605107058871766</c:v>
                </c:pt>
                <c:pt idx="6">
                  <c:v>73.687961449440039</c:v>
                </c:pt>
                <c:pt idx="7">
                  <c:v>36.790977750197328</c:v>
                </c:pt>
                <c:pt idx="8">
                  <c:v>86.54086406690206</c:v>
                </c:pt>
                <c:pt idx="9">
                  <c:v>92.096124948881098</c:v>
                </c:pt>
                <c:pt idx="10">
                  <c:v>88.809585993528444</c:v>
                </c:pt>
                <c:pt idx="11">
                  <c:v>90.27026997368516</c:v>
                </c:pt>
                <c:pt idx="12">
                  <c:v>81.614256707276454</c:v>
                </c:pt>
                <c:pt idx="13">
                  <c:v>63.046604783883595</c:v>
                </c:pt>
                <c:pt idx="14">
                  <c:v>82.768076582818438</c:v>
                </c:pt>
                <c:pt idx="15">
                  <c:v>40.864608242154681</c:v>
                </c:pt>
              </c:numCache>
            </c:numRef>
          </c:xVal>
          <c:yVal>
            <c:numRef>
              <c:f>'Morgan-Pompa solid data'!$Y$35:$Y$50</c:f>
              <c:numCache>
                <c:formatCode>0.000</c:formatCode>
                <c:ptCount val="16"/>
                <c:pt idx="0">
                  <c:v>5.0711921675864193</c:v>
                </c:pt>
                <c:pt idx="1">
                  <c:v>3.826696921293478</c:v>
                </c:pt>
                <c:pt idx="2">
                  <c:v>4.884337936274882</c:v>
                </c:pt>
                <c:pt idx="3">
                  <c:v>5.5394198220272219</c:v>
                </c:pt>
                <c:pt idx="4">
                  <c:v>4.295272054513088</c:v>
                </c:pt>
                <c:pt idx="5">
                  <c:v>4.0870164397488171</c:v>
                </c:pt>
                <c:pt idx="6">
                  <c:v>4.0033603614879265</c:v>
                </c:pt>
                <c:pt idx="7">
                  <c:v>4.6634382306142088</c:v>
                </c:pt>
                <c:pt idx="8">
                  <c:v>4.0028279997377281</c:v>
                </c:pt>
                <c:pt idx="9">
                  <c:v>5.7065757295673878</c:v>
                </c:pt>
                <c:pt idx="10">
                  <c:v>4.276391737789953</c:v>
                </c:pt>
                <c:pt idx="11">
                  <c:v>4.3613531630440585</c:v>
                </c:pt>
                <c:pt idx="12">
                  <c:v>4.0461462753513286</c:v>
                </c:pt>
                <c:pt idx="13">
                  <c:v>6.2182929376345433</c:v>
                </c:pt>
                <c:pt idx="14">
                  <c:v>4.2244222061912229</c:v>
                </c:pt>
                <c:pt idx="15">
                  <c:v>5.3458723813602074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7-1C4E-AD94-CFFC3E786042}"/>
            </c:ext>
          </c:extLst>
        </c:ser>
        <c:ser>
          <c:idx val="4"/>
          <c:order val="3"/>
          <c:tx>
            <c:v>Basalt control</c:v>
          </c:tx>
          <c:spPr>
            <a:ln w="25400" cap="flat" cmpd="dbl" algn="ctr">
              <a:solidFill>
                <a:schemeClr val="accent5">
                  <a:alpha val="50000"/>
                </a:schemeClr>
              </a:solidFill>
              <a:round/>
            </a:ln>
            <a:effectLst/>
          </c:spPr>
          <c:marker>
            <c:symbol val="x"/>
            <c:size val="20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data'!$AA$42,'Morgan-Pompa solid data'!$AA$50)</c:f>
              <c:numCache>
                <c:formatCode>0.000</c:formatCode>
                <c:ptCount val="2"/>
                <c:pt idx="0">
                  <c:v>36.790977750197328</c:v>
                </c:pt>
                <c:pt idx="1">
                  <c:v>40.864608242154681</c:v>
                </c:pt>
              </c:numCache>
            </c:numRef>
          </c:xVal>
          <c:yVal>
            <c:numRef>
              <c:f>('Morgan-Pompa solid data'!$Y$42,'Morgan-Pompa solid data'!$Y$50)</c:f>
              <c:numCache>
                <c:formatCode>0.000</c:formatCode>
                <c:ptCount val="2"/>
                <c:pt idx="0">
                  <c:v>4.6634382306142088</c:v>
                </c:pt>
                <c:pt idx="1">
                  <c:v>5.3458723813602074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2A-8F4C-8861-275DA8EF3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Na/Ti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Physical mixing &amp; weathering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 only</c:v>
          </c:tx>
          <c:spPr>
            <a:ln w="25400" cap="flat" cmpd="dbl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'two-endmember mixing'!$U$13:$U$34</c:f>
              <c:numCache>
                <c:formatCode>0.000</c:formatCode>
                <c:ptCount val="22"/>
                <c:pt idx="0">
                  <c:v>0.55738749899999995</c:v>
                </c:pt>
                <c:pt idx="1">
                  <c:v>0.53665929359413911</c:v>
                </c:pt>
                <c:pt idx="2">
                  <c:v>0.51593108818827826</c:v>
                </c:pt>
                <c:pt idx="3">
                  <c:v>0.49520288278241725</c:v>
                </c:pt>
                <c:pt idx="4">
                  <c:v>0.47447467737655641</c:v>
                </c:pt>
                <c:pt idx="5">
                  <c:v>0.45374647197069551</c:v>
                </c:pt>
                <c:pt idx="6">
                  <c:v>0.43301826656483472</c:v>
                </c:pt>
                <c:pt idx="7">
                  <c:v>0.41229006115897376</c:v>
                </c:pt>
                <c:pt idx="8">
                  <c:v>0.39156185575311292</c:v>
                </c:pt>
                <c:pt idx="9">
                  <c:v>0.37083365034725202</c:v>
                </c:pt>
                <c:pt idx="10">
                  <c:v>0.35010544494139112</c:v>
                </c:pt>
                <c:pt idx="11">
                  <c:v>0.32937723953553028</c:v>
                </c:pt>
                <c:pt idx="12">
                  <c:v>0.30864903412966938</c:v>
                </c:pt>
                <c:pt idx="13">
                  <c:v>0.28792082872380842</c:v>
                </c:pt>
                <c:pt idx="14">
                  <c:v>0.26719262331794758</c:v>
                </c:pt>
                <c:pt idx="15">
                  <c:v>0.24646441791208668</c:v>
                </c:pt>
                <c:pt idx="16">
                  <c:v>0.2257362125062258</c:v>
                </c:pt>
                <c:pt idx="17">
                  <c:v>0.20500800710036493</c:v>
                </c:pt>
                <c:pt idx="18">
                  <c:v>0.184279801694504</c:v>
                </c:pt>
                <c:pt idx="19">
                  <c:v>0.16355159628864316</c:v>
                </c:pt>
                <c:pt idx="20">
                  <c:v>0.14282339088278223</c:v>
                </c:pt>
                <c:pt idx="21">
                  <c:v>0.12209518547692136</c:v>
                </c:pt>
              </c:numCache>
            </c:numRef>
          </c:xVal>
          <c:yVal>
            <c:numRef>
              <c:f>'two-endmember mixing'!$P$13:$P$34</c:f>
              <c:numCache>
                <c:formatCode>0.000</c:formatCode>
                <c:ptCount val="22"/>
                <c:pt idx="0">
                  <c:v>0.65578889600000001</c:v>
                </c:pt>
                <c:pt idx="1">
                  <c:v>0.64263704380952391</c:v>
                </c:pt>
                <c:pt idx="2">
                  <c:v>0.6294851916190477</c:v>
                </c:pt>
                <c:pt idx="3">
                  <c:v>0.61633333942857138</c:v>
                </c:pt>
                <c:pt idx="4">
                  <c:v>0.60318148723809517</c:v>
                </c:pt>
                <c:pt idx="5">
                  <c:v>0.59002963504761907</c:v>
                </c:pt>
                <c:pt idx="6">
                  <c:v>0.57687778285714286</c:v>
                </c:pt>
                <c:pt idx="7">
                  <c:v>0.56372593066666665</c:v>
                </c:pt>
                <c:pt idx="8">
                  <c:v>0.55057407847619055</c:v>
                </c:pt>
                <c:pt idx="9">
                  <c:v>0.53742222628571434</c:v>
                </c:pt>
                <c:pt idx="10">
                  <c:v>0.52427037409523813</c:v>
                </c:pt>
                <c:pt idx="11">
                  <c:v>0.51111852190476192</c:v>
                </c:pt>
                <c:pt idx="12">
                  <c:v>0.49796666971428583</c:v>
                </c:pt>
                <c:pt idx="13">
                  <c:v>0.48481481752380956</c:v>
                </c:pt>
                <c:pt idx="14">
                  <c:v>0.47166296533333335</c:v>
                </c:pt>
                <c:pt idx="15">
                  <c:v>0.4585111131428572</c:v>
                </c:pt>
                <c:pt idx="16">
                  <c:v>0.4453592609523811</c:v>
                </c:pt>
                <c:pt idx="17">
                  <c:v>0.43220740876190489</c:v>
                </c:pt>
                <c:pt idx="18">
                  <c:v>0.41905555657142868</c:v>
                </c:pt>
                <c:pt idx="19">
                  <c:v>0.40590370438095241</c:v>
                </c:pt>
                <c:pt idx="20">
                  <c:v>0.39275185219047631</c:v>
                </c:pt>
                <c:pt idx="21">
                  <c:v>0.37960000000000005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4-3641-A1CC-A6CA7C7530E4}"/>
            </c:ext>
          </c:extLst>
        </c:ser>
        <c:ser>
          <c:idx val="3"/>
          <c:order val="1"/>
          <c:tx>
            <c:v>Congruent weath</c:v>
          </c:tx>
          <c:spPr>
            <a:ln w="25400" cap="flat" cmpd="dbl" algn="ctr">
              <a:solidFill>
                <a:schemeClr val="accent4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mixing'!$BV$13:$BV$33</c:f>
              <c:numCache>
                <c:formatCode>0.000</c:formatCode>
                <c:ptCount val="21"/>
                <c:pt idx="0">
                  <c:v>0.33974134223846059</c:v>
                </c:pt>
                <c:pt idx="1">
                  <c:v>0.33416067155226725</c:v>
                </c:pt>
                <c:pt idx="2">
                  <c:v>0.32828628135627436</c:v>
                </c:pt>
                <c:pt idx="3">
                  <c:v>0.3220943565550925</c:v>
                </c:pt>
                <c:pt idx="4">
                  <c:v>0.31555843593162286</c:v>
                </c:pt>
                <c:pt idx="5">
                  <c:v>0.30864903412966926</c:v>
                </c:pt>
                <c:pt idx="6">
                  <c:v>0.30133319692760069</c:v>
                </c:pt>
                <c:pt idx="7">
                  <c:v>0.29357397565267951</c:v>
                </c:pt>
                <c:pt idx="8">
                  <c:v>0.28532980304807576</c:v>
                </c:pt>
                <c:pt idx="9">
                  <c:v>0.27655374833994911</c:v>
                </c:pt>
                <c:pt idx="10">
                  <c:v>0.26719262331794752</c:v>
                </c:pt>
                <c:pt idx="11">
                  <c:v>0.25718590346684217</c:v>
                </c:pt>
                <c:pt idx="12">
                  <c:v>0.24646441791208659</c:v>
                </c:pt>
                <c:pt idx="13">
                  <c:v>0.23494874824216383</c:v>
                </c:pt>
                <c:pt idx="14">
                  <c:v>0.22254725782840093</c:v>
                </c:pt>
                <c:pt idx="15">
                  <c:v>0.20915364818153689</c:v>
                </c:pt>
                <c:pt idx="16">
                  <c:v>0.19464390439743429</c:v>
                </c:pt>
                <c:pt idx="17">
                  <c:v>0.17887244376254008</c:v>
                </c:pt>
                <c:pt idx="18">
                  <c:v>0.16166721397901918</c:v>
                </c:pt>
                <c:pt idx="19">
                  <c:v>0.14282339088278195</c:v>
                </c:pt>
                <c:pt idx="20">
                  <c:v>0.12209518547692116</c:v>
                </c:pt>
              </c:numCache>
            </c:numRef>
          </c:xVal>
          <c:yVal>
            <c:numRef>
              <c:f>'two-endmember mixing'!$BQ$13:$BQ$33</c:f>
              <c:numCache>
                <c:formatCode>0.000</c:formatCode>
                <c:ptCount val="21"/>
                <c:pt idx="0">
                  <c:v>0.51769444799999997</c:v>
                </c:pt>
                <c:pt idx="1">
                  <c:v>0.51415356471794871</c:v>
                </c:pt>
                <c:pt idx="2">
                  <c:v>0.51042631915789471</c:v>
                </c:pt>
                <c:pt idx="3">
                  <c:v>0.50649760086486484</c:v>
                </c:pt>
                <c:pt idx="4">
                  <c:v>0.50235062044444445</c:v>
                </c:pt>
                <c:pt idx="5">
                  <c:v>0.49796666971428571</c:v>
                </c:pt>
                <c:pt idx="6">
                  <c:v>0.4933248395294117</c:v>
                </c:pt>
                <c:pt idx="7">
                  <c:v>0.48840168630303021</c:v>
                </c:pt>
                <c:pt idx="8">
                  <c:v>0.48317083599999999</c:v>
                </c:pt>
                <c:pt idx="9">
                  <c:v>0.47760251148387095</c:v>
                </c:pt>
                <c:pt idx="10">
                  <c:v>0.47166296533333335</c:v>
                </c:pt>
                <c:pt idx="11">
                  <c:v>0.46531379531034484</c:v>
                </c:pt>
                <c:pt idx="12">
                  <c:v>0.4585111131428572</c:v>
                </c:pt>
                <c:pt idx="13">
                  <c:v>0.45120452859259252</c:v>
                </c:pt>
                <c:pt idx="14">
                  <c:v>0.44333589907692317</c:v>
                </c:pt>
                <c:pt idx="15">
                  <c:v>0.43483777919999989</c:v>
                </c:pt>
                <c:pt idx="16">
                  <c:v>0.42563148266666662</c:v>
                </c:pt>
                <c:pt idx="17">
                  <c:v>0.41562463860869564</c:v>
                </c:pt>
                <c:pt idx="18">
                  <c:v>0.40470808145454545</c:v>
                </c:pt>
                <c:pt idx="19">
                  <c:v>0.39275185219047604</c:v>
                </c:pt>
                <c:pt idx="20">
                  <c:v>0.37959999999999999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D4-3641-A1CC-A6CA7C7530E4}"/>
            </c:ext>
          </c:extLst>
        </c:ser>
        <c:ser>
          <c:idx val="5"/>
          <c:order val="2"/>
          <c:tx>
            <c:v>Incongruent weath</c:v>
          </c:tx>
          <c:spPr>
            <a:ln w="25400" cap="flat" cmpd="dbl" algn="ctr">
              <a:solidFill>
                <a:schemeClr val="accent6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6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mixing'!$BV$43:$BV$62</c:f>
              <c:numCache>
                <c:formatCode>0.000</c:formatCode>
                <c:ptCount val="20"/>
                <c:pt idx="0">
                  <c:v>0.73020687807475149</c:v>
                </c:pt>
                <c:pt idx="1">
                  <c:v>0.74692006754735718</c:v>
                </c:pt>
                <c:pt idx="2">
                  <c:v>0.76441625119863443</c:v>
                </c:pt>
                <c:pt idx="3">
                  <c:v>0.78275177243980298</c:v>
                </c:pt>
                <c:pt idx="4">
                  <c:v>0.80198851341681565</c:v>
                </c:pt>
                <c:pt idx="5">
                  <c:v>0.82219459275173279</c:v>
                </c:pt>
                <c:pt idx="6">
                  <c:v>0.84344517148773557</c:v>
                </c:pt>
                <c:pt idx="7">
                  <c:v>0.86582338733373032</c:v>
                </c:pt>
                <c:pt idx="8">
                  <c:v>0.88942144168621695</c:v>
                </c:pt>
                <c:pt idx="9">
                  <c:v>0.9143418693927603</c:v>
                </c:pt>
                <c:pt idx="10">
                  <c:v>0.94069902813150497</c:v>
                </c:pt>
                <c:pt idx="11">
                  <c:v>0.96862085303723289</c:v>
                </c:pt>
                <c:pt idx="12">
                  <c:v>0.99825093337114379</c:v>
                </c:pt>
                <c:pt idx="13">
                  <c:v>1.0297509823695312</c:v>
                </c:pt>
                <c:pt idx="14">
                  <c:v>1.0633037899491427</c:v>
                </c:pt>
                <c:pt idx="15">
                  <c:v>1.0991167721104067</c:v>
                </c:pt>
                <c:pt idx="16">
                  <c:v>1.1374262626230089</c:v>
                </c:pt>
                <c:pt idx="17">
                  <c:v>1.1785027346388393</c:v>
                </c:pt>
                <c:pt idx="18">
                  <c:v>1.2226571961206638</c:v>
                </c:pt>
                <c:pt idx="19">
                  <c:v>1.270249078921647</c:v>
                </c:pt>
              </c:numCache>
            </c:numRef>
          </c:xVal>
          <c:yVal>
            <c:numRef>
              <c:f>'two-endmember mixing'!$BQ$43:$BQ$62</c:f>
              <c:numCache>
                <c:formatCode>0.000</c:formatCode>
                <c:ptCount val="20"/>
                <c:pt idx="0">
                  <c:v>0.52433056778504694</c:v>
                </c:pt>
                <c:pt idx="1">
                  <c:v>0.5197763928745841</c:v>
                </c:pt>
                <c:pt idx="2">
                  <c:v>0.51500885997823898</c:v>
                </c:pt>
                <c:pt idx="3">
                  <c:v>0.51001261608693038</c:v>
                </c:pt>
                <c:pt idx="4">
                  <c:v>0.50477079894244214</c:v>
                </c:pt>
                <c:pt idx="5">
                  <c:v>0.4992648469099632</c:v>
                </c:pt>
                <c:pt idx="6">
                  <c:v>0.49347427936623095</c:v>
                </c:pt>
                <c:pt idx="7">
                  <c:v>0.4873764421273365</c:v>
                </c:pt>
                <c:pt idx="8">
                  <c:v>0.4809462112462719</c:v>
                </c:pt>
                <c:pt idx="9">
                  <c:v>0.47415564701523971</c:v>
                </c:pt>
                <c:pt idx="10">
                  <c:v>0.46697358812481521</c:v>
                </c:pt>
                <c:pt idx="11">
                  <c:v>0.45936517354611195</c:v>
                </c:pt>
                <c:pt idx="12">
                  <c:v>0.45129127665929247</c:v>
                </c:pt>
                <c:pt idx="13">
                  <c:v>0.44270783224481092</c:v>
                </c:pt>
                <c:pt idx="14">
                  <c:v>0.43356503190109957</c:v>
                </c:pt>
                <c:pt idx="15">
                  <c:v>0.42380635686812551</c:v>
                </c:pt>
                <c:pt idx="16">
                  <c:v>0.41336740858652582</c:v>
                </c:pt>
                <c:pt idx="17">
                  <c:v>0.40217448586094762</c:v>
                </c:pt>
                <c:pt idx="18">
                  <c:v>0.3901428421704885</c:v>
                </c:pt>
                <c:pt idx="19">
                  <c:v>0.3771745359744042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CF-094D-A6AF-72042658F2B5}"/>
            </c:ext>
          </c:extLst>
        </c:ser>
        <c:ser>
          <c:idx val="1"/>
          <c:order val="3"/>
          <c:tx>
            <c:v>H9 basalt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mixing'!$D$18</c:f>
              <c:numCache>
                <c:formatCode>0.000</c:formatCode>
                <c:ptCount val="1"/>
                <c:pt idx="0">
                  <c:v>0.55738749899999995</c:v>
                </c:pt>
              </c:numCache>
            </c:numRef>
          </c:xVal>
          <c:yVal>
            <c:numRef>
              <c:f>'two-endmember mixing'!$D$20</c:f>
              <c:numCache>
                <c:formatCode>0.000</c:formatCode>
                <c:ptCount val="1"/>
                <c:pt idx="0">
                  <c:v>0.65578889600000001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4-3641-A1CC-A6CA7C7530E4}"/>
            </c:ext>
          </c:extLst>
        </c:ser>
        <c:ser>
          <c:idx val="2"/>
          <c:order val="4"/>
          <c:tx>
            <c:v>P6-A LFGL soil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mixing'!$G$18</c:f>
              <c:numCache>
                <c:formatCode>0.000</c:formatCode>
                <c:ptCount val="1"/>
                <c:pt idx="0">
                  <c:v>0.12209518547692121</c:v>
                </c:pt>
              </c:numCache>
            </c:numRef>
          </c:xVal>
          <c:yVal>
            <c:numRef>
              <c:f>'two-endmember mixing'!$G$20</c:f>
              <c:numCache>
                <c:formatCode>0.000</c:formatCode>
                <c:ptCount val="1"/>
                <c:pt idx="0">
                  <c:v>0.37959999999999999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D4-3641-A1CC-A6CA7C7530E4}"/>
            </c:ext>
          </c:extLst>
        </c:ser>
        <c:ser>
          <c:idx val="4"/>
          <c:order val="5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data'!$O$35:$O$50</c:f>
              <c:numCache>
                <c:formatCode>0.000</c:formatCode>
                <c:ptCount val="16"/>
                <c:pt idx="0">
                  <c:v>0.55739447818193211</c:v>
                </c:pt>
                <c:pt idx="1">
                  <c:v>0.59335541225818567</c:v>
                </c:pt>
                <c:pt idx="2">
                  <c:v>0.62931634633443934</c:v>
                </c:pt>
                <c:pt idx="3">
                  <c:v>0.52143354410567833</c:v>
                </c:pt>
                <c:pt idx="4">
                  <c:v>0.59335541225818567</c:v>
                </c:pt>
                <c:pt idx="5">
                  <c:v>0.59335541225818567</c:v>
                </c:pt>
                <c:pt idx="6">
                  <c:v>0.61732936830902141</c:v>
                </c:pt>
                <c:pt idx="7">
                  <c:v>1.006906154135103</c:v>
                </c:pt>
                <c:pt idx="8">
                  <c:v>0.5633879671946409</c:v>
                </c:pt>
                <c:pt idx="9">
                  <c:v>0.50345307706755149</c:v>
                </c:pt>
                <c:pt idx="10">
                  <c:v>0.54540750015651418</c:v>
                </c:pt>
                <c:pt idx="11">
                  <c:v>0.54540750015651418</c:v>
                </c:pt>
                <c:pt idx="12">
                  <c:v>0.59934890127089469</c:v>
                </c:pt>
                <c:pt idx="13">
                  <c:v>0.65329030238527519</c:v>
                </c:pt>
                <c:pt idx="14">
                  <c:v>0.58136843423276774</c:v>
                </c:pt>
                <c:pt idx="15">
                  <c:v>0.88703637388092405</c:v>
                </c:pt>
              </c:numCache>
            </c:numRef>
          </c:xVal>
          <c:yVal>
            <c:numRef>
              <c:f>'Morgan-Pompa solid data'!$H$35:$H$50</c:f>
              <c:numCache>
                <c:formatCode>0.000</c:formatCode>
                <c:ptCount val="16"/>
                <c:pt idx="0">
                  <c:v>0.92146674451934818</c:v>
                </c:pt>
                <c:pt idx="1">
                  <c:v>0.85505472689633211</c:v>
                </c:pt>
                <c:pt idx="2">
                  <c:v>0.97957725993948719</c:v>
                </c:pt>
                <c:pt idx="3">
                  <c:v>0.95467275333085622</c:v>
                </c:pt>
                <c:pt idx="4">
                  <c:v>0.87165773130208624</c:v>
                </c:pt>
                <c:pt idx="5">
                  <c:v>0.83845172249057809</c:v>
                </c:pt>
                <c:pt idx="6">
                  <c:v>0.83845172249057809</c:v>
                </c:pt>
                <c:pt idx="7">
                  <c:v>0.41507511014385057</c:v>
                </c:pt>
                <c:pt idx="8">
                  <c:v>0.81354721588194712</c:v>
                </c:pt>
                <c:pt idx="9">
                  <c:v>1.0293862731567494</c:v>
                </c:pt>
                <c:pt idx="10">
                  <c:v>0.81354721588194712</c:v>
                </c:pt>
                <c:pt idx="11">
                  <c:v>0.82184871808482396</c:v>
                </c:pt>
                <c:pt idx="12">
                  <c:v>0.82184871808482396</c:v>
                </c:pt>
                <c:pt idx="13">
                  <c:v>1.2203208238229206</c:v>
                </c:pt>
                <c:pt idx="14">
                  <c:v>0.84675322469345504</c:v>
                </c:pt>
                <c:pt idx="15">
                  <c:v>0.48148712776686658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CF-094D-A6AF-72042658F2B5}"/>
            </c:ext>
          </c:extLst>
        </c:ser>
        <c:ser>
          <c:idx val="6"/>
          <c:order val="6"/>
          <c:tx>
            <c:v>Ave EXPT</c:v>
          </c:tx>
          <c:spPr>
            <a:ln w="25400" cap="flat" cmpd="dbl" algn="ctr">
              <a:noFill/>
              <a:round/>
            </a:ln>
            <a:effectLst/>
          </c:spPr>
          <c:marker>
            <c:symbol val="plus"/>
            <c:size val="40"/>
            <c:spPr>
              <a:noFill/>
              <a:ln w="63500" cap="flat" cmpd="dbl" algn="ctr">
                <a:solidFill>
                  <a:schemeClr val="accent1">
                    <a:lumMod val="60000"/>
                    <a:lumMod val="75000"/>
                  </a:schemeClr>
                </a:solidFill>
                <a:round/>
              </a:ln>
              <a:effectLst/>
            </c:spPr>
          </c:marker>
          <c:xVal>
            <c:numRef>
              <c:f>'two-endmember mixing'!$D$39</c:f>
              <c:numCache>
                <c:formatCode>0.000</c:formatCode>
                <c:ptCount val="1"/>
                <c:pt idx="0">
                  <c:v>0.5783716897264134</c:v>
                </c:pt>
              </c:numCache>
            </c:numRef>
          </c:xVal>
          <c:yVal>
            <c:numRef>
              <c:f>'two-endmember mixing'!$D$41</c:f>
              <c:numCache>
                <c:formatCode>0.000</c:formatCode>
                <c:ptCount val="1"/>
                <c:pt idx="0">
                  <c:v>0.90189891789828092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CF-094D-A6AF-72042658F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K conc [wt. 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Residual solid: Elemental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Mixing only</c:v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'two-endmember mixing'!$AB$13:$AB$34</c:f>
              <c:numCache>
                <c:formatCode>0.00</c:formatCode>
                <c:ptCount val="22"/>
                <c:pt idx="0">
                  <c:v>64.532579102202547</c:v>
                </c:pt>
                <c:pt idx="1">
                  <c:v>70.02656637298692</c:v>
                </c:pt>
                <c:pt idx="2">
                  <c:v>75.962009874082625</c:v>
                </c:pt>
                <c:pt idx="3">
                  <c:v>82.394345038547939</c:v>
                </c:pt>
                <c:pt idx="4">
                  <c:v>89.388694451131144</c:v>
                </c:pt>
                <c:pt idx="5">
                  <c:v>97.022080507568404</c:v>
                </c:pt>
                <c:pt idx="6">
                  <c:v>105.3862735822651</c:v>
                </c:pt>
                <c:pt idx="7">
                  <c:v>114.591499359129</c:v>
                </c:pt>
                <c:pt idx="8">
                  <c:v>124.77132369765901</c:v>
                </c:pt>
                <c:pt idx="9">
                  <c:v>136.08917577281457</c:v>
                </c:pt>
                <c:pt idx="10">
                  <c:v>148.74718845361994</c:v>
                </c:pt>
                <c:pt idx="11">
                  <c:v>162.99837671175243</c:v>
                </c:pt>
                <c:pt idx="12">
                  <c:v>179.16372328452309</c:v>
                </c:pt>
                <c:pt idx="13">
                  <c:v>197.656644598604</c:v>
                </c:pt>
                <c:pt idx="14">
                  <c:v>219.01884476322064</c:v>
                </c:pt>
                <c:pt idx="15">
                  <c:v>243.97426196650326</c:v>
                </c:pt>
                <c:pt idx="16">
                  <c:v>273.51273660692016</c:v>
                </c:pt>
                <c:pt idx="17">
                  <c:v>309.02443715575362</c:v>
                </c:pt>
                <c:pt idx="18">
                  <c:v>352.52500915462196</c:v>
                </c:pt>
                <c:pt idx="19">
                  <c:v>407.05193384128216</c:v>
                </c:pt>
                <c:pt idx="20">
                  <c:v>477.40603204719633</c:v>
                </c:pt>
                <c:pt idx="21">
                  <c:v>571.64828264929065</c:v>
                </c:pt>
              </c:numCache>
            </c:numRef>
          </c:xVal>
          <c:yVal>
            <c:numRef>
              <c:f>'two-endmember mixing'!$AC$13:$AC$34</c:f>
              <c:numCache>
                <c:formatCode>0.00</c:formatCode>
                <c:ptCount val="22"/>
                <c:pt idx="0">
                  <c:v>27.62753719540477</c:v>
                </c:pt>
                <c:pt idx="1">
                  <c:v>27.591124457838813</c:v>
                </c:pt>
                <c:pt idx="2">
                  <c:v>27.551785861680731</c:v>
                </c:pt>
                <c:pt idx="3">
                  <c:v>27.509153995108079</c:v>
                </c:pt>
                <c:pt idx="4">
                  <c:v>27.462797242343221</c:v>
                </c:pt>
                <c:pt idx="5">
                  <c:v>27.412205118715491</c:v>
                </c:pt>
                <c:pt idx="6">
                  <c:v>27.356769393736737</c:v>
                </c:pt>
                <c:pt idx="7">
                  <c:v>27.295759519864117</c:v>
                </c:pt>
                <c:pt idx="8">
                  <c:v>27.228290256861335</c:v>
                </c:pt>
                <c:pt idx="9">
                  <c:v>27.15327843810185</c:v>
                </c:pt>
                <c:pt idx="10">
                  <c:v>27.06938437880838</c:v>
                </c:pt>
                <c:pt idx="11">
                  <c:v>26.974931160686445</c:v>
                </c:pt>
                <c:pt idx="12">
                  <c:v>26.867791392535317</c:v>
                </c:pt>
                <c:pt idx="13">
                  <c:v>26.745225056384811</c:v>
                </c:pt>
                <c:pt idx="14">
                  <c:v>26.603641876430583</c:v>
                </c:pt>
                <c:pt idx="15">
                  <c:v>26.438243776164789</c:v>
                </c:pt>
                <c:pt idx="16">
                  <c:v>26.24247034747486</c:v>
                </c:pt>
                <c:pt idx="17">
                  <c:v>26.007107910528212</c:v>
                </c:pt>
                <c:pt idx="18">
                  <c:v>25.718797284002537</c:v>
                </c:pt>
                <c:pt idx="19">
                  <c:v>25.357406821841746</c:v>
                </c:pt>
                <c:pt idx="20">
                  <c:v>24.891117915734391</c:v>
                </c:pt>
                <c:pt idx="21">
                  <c:v>24.266504466582798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B-F346-BEE2-E2B0E0557357}"/>
            </c:ext>
          </c:extLst>
        </c:ser>
        <c:ser>
          <c:idx val="1"/>
          <c:order val="1"/>
          <c:tx>
            <c:v>Mix + weath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mixing'!$CC$13:$CC$33</c:f>
              <c:numCache>
                <c:formatCode>0.000</c:formatCode>
                <c:ptCount val="21"/>
                <c:pt idx="0">
                  <c:v>155.65541018730315</c:v>
                </c:pt>
                <c:pt idx="1">
                  <c:v>159.55271601099778</c:v>
                </c:pt>
                <c:pt idx="2">
                  <c:v>163.79829128077213</c:v>
                </c:pt>
                <c:pt idx="3">
                  <c:v>168.44100224684431</c:v>
                </c:pt>
                <c:pt idx="4">
                  <c:v>173.53930571871919</c:v>
                </c:pt>
                <c:pt idx="5">
                  <c:v>179.16372328452317</c:v>
                </c:pt>
                <c:pt idx="6">
                  <c:v>185.40012317583333</c:v>
                </c:pt>
                <c:pt idx="7">
                  <c:v>192.35413504840176</c:v>
                </c:pt>
                <c:pt idx="8">
                  <c:v>200.15718180189143</c:v>
                </c:pt>
                <c:pt idx="9">
                  <c:v>208.97486436525253</c:v>
                </c:pt>
                <c:pt idx="10">
                  <c:v>219.01884476322076</c:v>
                </c:pt>
                <c:pt idx="11">
                  <c:v>230.56405752176158</c:v>
                </c:pt>
                <c:pt idx="12">
                  <c:v>243.97426196650338</c:v>
                </c:pt>
                <c:pt idx="13">
                  <c:v>259.74106557420919</c:v>
                </c:pt>
                <c:pt idx="14">
                  <c:v>278.5455020444906</c:v>
                </c:pt>
                <c:pt idx="15">
                  <c:v>301.35899421345243</c:v>
                </c:pt>
                <c:pt idx="16">
                  <c:v>329.61659699339498</c:v>
                </c:pt>
                <c:pt idx="17">
                  <c:v>365.53106952240262</c:v>
                </c:pt>
                <c:pt idx="18">
                  <c:v>412.70226759055959</c:v>
                </c:pt>
                <c:pt idx="19">
                  <c:v>477.4060320471973</c:v>
                </c:pt>
                <c:pt idx="20">
                  <c:v>571.64828264929156</c:v>
                </c:pt>
              </c:numCache>
            </c:numRef>
          </c:xVal>
          <c:yVal>
            <c:numRef>
              <c:f>'two-endmember mixing'!$CD$13:$CD$33</c:f>
              <c:numCache>
                <c:formatCode>0.000</c:formatCode>
                <c:ptCount val="21"/>
                <c:pt idx="0">
                  <c:v>27.023598458194083</c:v>
                </c:pt>
                <c:pt idx="1">
                  <c:v>26.997768115461561</c:v>
                </c:pt>
                <c:pt idx="2">
                  <c:v>26.969629532225852</c:v>
                </c:pt>
                <c:pt idx="3">
                  <c:v>26.938858835522364</c:v>
                </c:pt>
                <c:pt idx="4">
                  <c:v>26.905068588620946</c:v>
                </c:pt>
                <c:pt idx="5">
                  <c:v>26.86779139253532</c:v>
                </c:pt>
                <c:pt idx="6">
                  <c:v>26.82645813466517</c:v>
                </c:pt>
                <c:pt idx="7">
                  <c:v>26.780368728762664</c:v>
                </c:pt>
                <c:pt idx="8">
                  <c:v>26.728652137579296</c:v>
                </c:pt>
                <c:pt idx="9">
                  <c:v>26.670210800660481</c:v>
                </c:pt>
                <c:pt idx="10">
                  <c:v>26.603641876430576</c:v>
                </c:pt>
                <c:pt idx="11">
                  <c:v>26.527123169415098</c:v>
                </c:pt>
                <c:pt idx="12">
                  <c:v>26.438243776164786</c:v>
                </c:pt>
                <c:pt idx="13">
                  <c:v>26.333745448497666</c:v>
                </c:pt>
                <c:pt idx="14">
                  <c:v>26.209114469844085</c:v>
                </c:pt>
                <c:pt idx="15">
                  <c:v>26.05791249896787</c:v>
                </c:pt>
                <c:pt idx="16">
                  <c:v>25.870628360225712</c:v>
                </c:pt>
                <c:pt idx="17">
                  <c:v>25.632596453968308</c:v>
                </c:pt>
                <c:pt idx="18">
                  <c:v>25.319957859943592</c:v>
                </c:pt>
                <c:pt idx="19">
                  <c:v>24.891117915734402</c:v>
                </c:pt>
                <c:pt idx="20">
                  <c:v>24.266504466582802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EB-F346-BEE2-E2B0E0557357}"/>
            </c:ext>
          </c:extLst>
        </c:ser>
        <c:ser>
          <c:idx val="2"/>
          <c:order val="2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data'!$AA$35:$AA$50</c:f>
              <c:numCache>
                <c:formatCode>0.000</c:formatCode>
                <c:ptCount val="16"/>
                <c:pt idx="0">
                  <c:v>86.75677528163078</c:v>
                </c:pt>
                <c:pt idx="1">
                  <c:v>82.707172920873745</c:v>
                </c:pt>
                <c:pt idx="2">
                  <c:v>77.348085695898746</c:v>
                </c:pt>
                <c:pt idx="3">
                  <c:v>84.795223468752923</c:v>
                </c:pt>
                <c:pt idx="4">
                  <c:v>71.294657176922016</c:v>
                </c:pt>
                <c:pt idx="5">
                  <c:v>77.605107058871766</c:v>
                </c:pt>
                <c:pt idx="6">
                  <c:v>73.687961449440039</c:v>
                </c:pt>
                <c:pt idx="7">
                  <c:v>36.790977750197328</c:v>
                </c:pt>
                <c:pt idx="8">
                  <c:v>86.54086406690206</c:v>
                </c:pt>
                <c:pt idx="9">
                  <c:v>92.096124948881098</c:v>
                </c:pt>
                <c:pt idx="10">
                  <c:v>88.809585993528444</c:v>
                </c:pt>
                <c:pt idx="11">
                  <c:v>90.27026997368516</c:v>
                </c:pt>
                <c:pt idx="12">
                  <c:v>81.614256707276454</c:v>
                </c:pt>
                <c:pt idx="13">
                  <c:v>63.046604783883595</c:v>
                </c:pt>
                <c:pt idx="14">
                  <c:v>82.768076582818438</c:v>
                </c:pt>
                <c:pt idx="15">
                  <c:v>40.864608242154681</c:v>
                </c:pt>
              </c:numCache>
            </c:numRef>
          </c:xVal>
          <c:yVal>
            <c:numRef>
              <c:f>'Morgan-Pompa solid data'!$R$35:$R$50</c:f>
              <c:numCache>
                <c:formatCode>0.000</c:formatCode>
                <c:ptCount val="16"/>
                <c:pt idx="0">
                  <c:v>19.203231089939194</c:v>
                </c:pt>
                <c:pt idx="1">
                  <c:v>14.399871053885825</c:v>
                </c:pt>
                <c:pt idx="2">
                  <c:v>17.605368252380345</c:v>
                </c:pt>
                <c:pt idx="3">
                  <c:v>22.50832440215196</c:v>
                </c:pt>
                <c:pt idx="4">
                  <c:v>17.881158561418658</c:v>
                </c:pt>
                <c:pt idx="5">
                  <c:v>14.573935429262468</c:v>
                </c:pt>
                <c:pt idx="6">
                  <c:v>14.129633422564099</c:v>
                </c:pt>
                <c:pt idx="7">
                  <c:v>13.614320788387344</c:v>
                </c:pt>
                <c:pt idx="8">
                  <c:v>15.115824427654548</c:v>
                </c:pt>
                <c:pt idx="9">
                  <c:v>24.05818331098585</c:v>
                </c:pt>
                <c:pt idx="10">
                  <c:v>16.819209370184737</c:v>
                </c:pt>
                <c:pt idx="11">
                  <c:v>15.975666627974858</c:v>
                </c:pt>
                <c:pt idx="12">
                  <c:v>14.49085925010543</c:v>
                </c:pt>
                <c:pt idx="13">
                  <c:v>23.139383478968259</c:v>
                </c:pt>
                <c:pt idx="14">
                  <c:v>16.634811956097632</c:v>
                </c:pt>
                <c:pt idx="15">
                  <c:v>15.454093867899148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EB-F346-BEE2-E2B0E0557357}"/>
            </c:ext>
          </c:extLst>
        </c:ser>
        <c:ser>
          <c:idx val="3"/>
          <c:order val="3"/>
          <c:tx>
            <c:v>EFF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data'!$AA$43:$AA$49</c:f>
              <c:numCache>
                <c:formatCode>0.000</c:formatCode>
                <c:ptCount val="7"/>
                <c:pt idx="0">
                  <c:v>86.54086406690206</c:v>
                </c:pt>
                <c:pt idx="1">
                  <c:v>92.096124948881098</c:v>
                </c:pt>
                <c:pt idx="2">
                  <c:v>88.809585993528444</c:v>
                </c:pt>
                <c:pt idx="3">
                  <c:v>90.27026997368516</c:v>
                </c:pt>
                <c:pt idx="4">
                  <c:v>81.614256707276454</c:v>
                </c:pt>
                <c:pt idx="5">
                  <c:v>63.046604783883595</c:v>
                </c:pt>
                <c:pt idx="6">
                  <c:v>82.768076582818438</c:v>
                </c:pt>
              </c:numCache>
            </c:numRef>
          </c:xVal>
          <c:yVal>
            <c:numRef>
              <c:f>'Morgan-Pompa solid data'!$R$43:$R$49</c:f>
              <c:numCache>
                <c:formatCode>0.000</c:formatCode>
                <c:ptCount val="7"/>
                <c:pt idx="0">
                  <c:v>15.115824427654548</c:v>
                </c:pt>
                <c:pt idx="1">
                  <c:v>24.05818331098585</c:v>
                </c:pt>
                <c:pt idx="2">
                  <c:v>16.819209370184737</c:v>
                </c:pt>
                <c:pt idx="3">
                  <c:v>15.975666627974858</c:v>
                </c:pt>
                <c:pt idx="4">
                  <c:v>14.49085925010543</c:v>
                </c:pt>
                <c:pt idx="5">
                  <c:v>23.139383478968259</c:v>
                </c:pt>
                <c:pt idx="6">
                  <c:v>16.634811956097632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EB-F346-BEE2-E2B0E0557357}"/>
            </c:ext>
          </c:extLst>
        </c:ser>
        <c:ser>
          <c:idx val="4"/>
          <c:order val="4"/>
          <c:tx>
            <c:v>Basalt control</c:v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20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data'!$AA$42,'Morgan-Pompa solid data'!$AA$50)</c:f>
              <c:numCache>
                <c:formatCode>0.000</c:formatCode>
                <c:ptCount val="2"/>
                <c:pt idx="0">
                  <c:v>36.790977750197328</c:v>
                </c:pt>
                <c:pt idx="1">
                  <c:v>40.864608242154681</c:v>
                </c:pt>
              </c:numCache>
            </c:numRef>
          </c:xVal>
          <c:yVal>
            <c:numRef>
              <c:f>('Morgan-Pompa solid data'!$R$42,'Morgan-Pompa solid data'!$R$50)</c:f>
              <c:numCache>
                <c:formatCode>0.000</c:formatCode>
                <c:ptCount val="2"/>
                <c:pt idx="0">
                  <c:v>13.614320788387344</c:v>
                </c:pt>
                <c:pt idx="1">
                  <c:v>15.454093867899148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EB-F346-BEE2-E2B0E055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Al/Ti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Residual solid: Elemental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'two-endmember mixing'!$AB$13:$AB$34</c:f>
              <c:numCache>
                <c:formatCode>0.00</c:formatCode>
                <c:ptCount val="22"/>
                <c:pt idx="0">
                  <c:v>64.532579102202547</c:v>
                </c:pt>
                <c:pt idx="1">
                  <c:v>70.02656637298692</c:v>
                </c:pt>
                <c:pt idx="2">
                  <c:v>75.962009874082625</c:v>
                </c:pt>
                <c:pt idx="3">
                  <c:v>82.394345038547939</c:v>
                </c:pt>
                <c:pt idx="4">
                  <c:v>89.388694451131144</c:v>
                </c:pt>
                <c:pt idx="5">
                  <c:v>97.022080507568404</c:v>
                </c:pt>
                <c:pt idx="6">
                  <c:v>105.3862735822651</c:v>
                </c:pt>
                <c:pt idx="7">
                  <c:v>114.591499359129</c:v>
                </c:pt>
                <c:pt idx="8">
                  <c:v>124.77132369765901</c:v>
                </c:pt>
                <c:pt idx="9">
                  <c:v>136.08917577281457</c:v>
                </c:pt>
                <c:pt idx="10">
                  <c:v>148.74718845361994</c:v>
                </c:pt>
                <c:pt idx="11">
                  <c:v>162.99837671175243</c:v>
                </c:pt>
                <c:pt idx="12">
                  <c:v>179.16372328452309</c:v>
                </c:pt>
                <c:pt idx="13">
                  <c:v>197.656644598604</c:v>
                </c:pt>
                <c:pt idx="14">
                  <c:v>219.01884476322064</c:v>
                </c:pt>
                <c:pt idx="15">
                  <c:v>243.97426196650326</c:v>
                </c:pt>
                <c:pt idx="16">
                  <c:v>273.51273660692016</c:v>
                </c:pt>
                <c:pt idx="17">
                  <c:v>309.02443715575362</c:v>
                </c:pt>
                <c:pt idx="18">
                  <c:v>352.52500915462196</c:v>
                </c:pt>
                <c:pt idx="19">
                  <c:v>407.05193384128216</c:v>
                </c:pt>
                <c:pt idx="20">
                  <c:v>477.40603204719633</c:v>
                </c:pt>
                <c:pt idx="21">
                  <c:v>571.64828264929065</c:v>
                </c:pt>
              </c:numCache>
            </c:numRef>
          </c:xVal>
          <c:yVal>
            <c:numRef>
              <c:f>'two-endmember mixing'!$AD$13:$AD$34</c:f>
              <c:numCache>
                <c:formatCode>0.00</c:formatCode>
                <c:ptCount val="22"/>
                <c:pt idx="0">
                  <c:v>9.1321085175349861</c:v>
                </c:pt>
                <c:pt idx="1">
                  <c:v>9.0978248551346148</c:v>
                </c:pt>
                <c:pt idx="2">
                  <c:v>9.06078641089392</c:v>
                </c:pt>
                <c:pt idx="3">
                  <c:v>9.0206472557857094</c:v>
                </c:pt>
                <c:pt idx="4">
                  <c:v>8.977001010872403</c:v>
                </c:pt>
                <c:pt idx="5">
                  <c:v>8.929367039836059</c:v>
                </c:pt>
                <c:pt idx="6">
                  <c:v>8.8771726757993399</c:v>
                </c:pt>
                <c:pt idx="7">
                  <c:v>8.8197300867836379</c:v>
                </c:pt>
                <c:pt idx="8">
                  <c:v>8.7562057930938515</c:v>
                </c:pt>
                <c:pt idx="9">
                  <c:v>8.6855799615224303</c:v>
                </c:pt>
                <c:pt idx="10">
                  <c:v>8.6065912394851498</c:v>
                </c:pt>
                <c:pt idx="11">
                  <c:v>8.5176607591318181</c:v>
                </c:pt>
                <c:pt idx="12">
                  <c:v>8.4167855191339047</c:v>
                </c:pt>
                <c:pt idx="13">
                  <c:v>8.3013857120575345</c:v>
                </c:pt>
                <c:pt idx="14">
                  <c:v>8.1680809877332852</c:v>
                </c:pt>
                <c:pt idx="15">
                  <c:v>8.0123538161383667</c:v>
                </c:pt>
                <c:pt idx="16">
                  <c:v>7.8280273802583338</c:v>
                </c:pt>
                <c:pt idx="17">
                  <c:v>7.6064267297884181</c:v>
                </c:pt>
                <c:pt idx="18">
                  <c:v>7.3349738029564122</c:v>
                </c:pt>
                <c:pt idx="19">
                  <c:v>6.9947140634355769</c:v>
                </c:pt>
                <c:pt idx="20">
                  <c:v>6.5556893565163534</c:v>
                </c:pt>
                <c:pt idx="21">
                  <c:v>5.9675974399815663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0-0746-9E8C-4BA4E4B87984}"/>
            </c:ext>
          </c:extLst>
        </c:ser>
        <c:ser>
          <c:idx val="1"/>
          <c:order val="1"/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2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'two-endmember mixing'!$CC$13:$CC$33</c:f>
              <c:numCache>
                <c:formatCode>0.000</c:formatCode>
                <c:ptCount val="21"/>
                <c:pt idx="0">
                  <c:v>155.65541018730315</c:v>
                </c:pt>
                <c:pt idx="1">
                  <c:v>159.55271601099778</c:v>
                </c:pt>
                <c:pt idx="2">
                  <c:v>163.79829128077213</c:v>
                </c:pt>
                <c:pt idx="3">
                  <c:v>168.44100224684431</c:v>
                </c:pt>
                <c:pt idx="4">
                  <c:v>173.53930571871919</c:v>
                </c:pt>
                <c:pt idx="5">
                  <c:v>179.16372328452317</c:v>
                </c:pt>
                <c:pt idx="6">
                  <c:v>185.40012317583333</c:v>
                </c:pt>
                <c:pt idx="7">
                  <c:v>192.35413504840176</c:v>
                </c:pt>
                <c:pt idx="8">
                  <c:v>200.15718180189143</c:v>
                </c:pt>
                <c:pt idx="9">
                  <c:v>208.97486436525253</c:v>
                </c:pt>
                <c:pt idx="10">
                  <c:v>219.01884476322076</c:v>
                </c:pt>
                <c:pt idx="11">
                  <c:v>230.56405752176158</c:v>
                </c:pt>
                <c:pt idx="12">
                  <c:v>243.97426196650338</c:v>
                </c:pt>
                <c:pt idx="13">
                  <c:v>259.74106557420919</c:v>
                </c:pt>
                <c:pt idx="14">
                  <c:v>278.5455020444906</c:v>
                </c:pt>
                <c:pt idx="15">
                  <c:v>301.35899421345243</c:v>
                </c:pt>
                <c:pt idx="16">
                  <c:v>329.61659699339498</c:v>
                </c:pt>
                <c:pt idx="17">
                  <c:v>365.53106952240262</c:v>
                </c:pt>
                <c:pt idx="18">
                  <c:v>412.70226759055959</c:v>
                </c:pt>
                <c:pt idx="19">
                  <c:v>477.4060320471973</c:v>
                </c:pt>
                <c:pt idx="20">
                  <c:v>571.64828264929156</c:v>
                </c:pt>
              </c:numCache>
            </c:numRef>
          </c:xVal>
          <c:yVal>
            <c:numRef>
              <c:f>'two-endmember mixing'!$CE$13:$CE$33</c:f>
              <c:numCache>
                <c:formatCode>0.000</c:formatCode>
                <c:ptCount val="21"/>
                <c:pt idx="0">
                  <c:v>8.563482449815405</c:v>
                </c:pt>
                <c:pt idx="1">
                  <c:v>8.5391624231125629</c:v>
                </c:pt>
                <c:pt idx="2">
                  <c:v>8.5126691201487343</c:v>
                </c:pt>
                <c:pt idx="3">
                  <c:v>8.4836976050107715</c:v>
                </c:pt>
                <c:pt idx="4">
                  <c:v>8.4518830946325121</c:v>
                </c:pt>
                <c:pt idx="5">
                  <c:v>8.4167855191339065</c:v>
                </c:pt>
                <c:pt idx="6">
                  <c:v>8.3778690422785012</c:v>
                </c:pt>
                <c:pt idx="7">
                  <c:v>8.3344745122920365</c:v>
                </c:pt>
                <c:pt idx="8">
                  <c:v>8.2857818220097812</c:v>
                </c:pt>
                <c:pt idx="9">
                  <c:v>8.2307575860120998</c:v>
                </c:pt>
                <c:pt idx="10">
                  <c:v>8.1680809877332816</c:v>
                </c:pt>
                <c:pt idx="11">
                  <c:v>8.0960363765891898</c:v>
                </c:pt>
                <c:pt idx="12">
                  <c:v>8.0123538161383649</c:v>
                </c:pt>
                <c:pt idx="13">
                  <c:v>7.9139655699744171</c:v>
                </c:pt>
                <c:pt idx="14">
                  <c:v>7.7966218413122448</c:v>
                </c:pt>
                <c:pt idx="15">
                  <c:v>7.6542607426884208</c:v>
                </c:pt>
                <c:pt idx="16">
                  <c:v>7.47792722275054</c:v>
                </c:pt>
                <c:pt idx="17">
                  <c:v>7.2538131884826589</c:v>
                </c:pt>
                <c:pt idx="18">
                  <c:v>6.959454765377175</c:v>
                </c:pt>
                <c:pt idx="19">
                  <c:v>6.555689356516341</c:v>
                </c:pt>
                <c:pt idx="20">
                  <c:v>5.9675974399815619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B0-0746-9E8C-4BA4E4B87984}"/>
            </c:ext>
          </c:extLst>
        </c:ser>
        <c:ser>
          <c:idx val="2"/>
          <c:order val="2"/>
          <c:tx>
            <c:v>EXPTS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3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data'!$AA$35:$AA$50</c:f>
              <c:numCache>
                <c:formatCode>0.000</c:formatCode>
                <c:ptCount val="16"/>
                <c:pt idx="0">
                  <c:v>86.75677528163078</c:v>
                </c:pt>
                <c:pt idx="1">
                  <c:v>82.707172920873745</c:v>
                </c:pt>
                <c:pt idx="2">
                  <c:v>77.348085695898746</c:v>
                </c:pt>
                <c:pt idx="3">
                  <c:v>84.795223468752923</c:v>
                </c:pt>
                <c:pt idx="4">
                  <c:v>71.294657176922016</c:v>
                </c:pt>
                <c:pt idx="5">
                  <c:v>77.605107058871766</c:v>
                </c:pt>
                <c:pt idx="6">
                  <c:v>73.687961449440039</c:v>
                </c:pt>
                <c:pt idx="7">
                  <c:v>36.790977750197328</c:v>
                </c:pt>
                <c:pt idx="8">
                  <c:v>86.54086406690206</c:v>
                </c:pt>
                <c:pt idx="9">
                  <c:v>92.096124948881098</c:v>
                </c:pt>
                <c:pt idx="10">
                  <c:v>88.809585993528444</c:v>
                </c:pt>
                <c:pt idx="11">
                  <c:v>90.27026997368516</c:v>
                </c:pt>
                <c:pt idx="12">
                  <c:v>81.614256707276454</c:v>
                </c:pt>
                <c:pt idx="13">
                  <c:v>63.046604783883595</c:v>
                </c:pt>
                <c:pt idx="14">
                  <c:v>82.768076582818438</c:v>
                </c:pt>
                <c:pt idx="15">
                  <c:v>40.864608242154681</c:v>
                </c:pt>
              </c:numCache>
            </c:numRef>
          </c:xVal>
          <c:yVal>
            <c:numRef>
              <c:f>'Morgan-Pompa solid data'!$U$35:$U$50</c:f>
              <c:numCache>
                <c:formatCode>0.000</c:formatCode>
                <c:ptCount val="16"/>
                <c:pt idx="0">
                  <c:v>7.346063613287579</c:v>
                </c:pt>
                <c:pt idx="1">
                  <c:v>6.6179431948091896</c:v>
                </c:pt>
                <c:pt idx="2">
                  <c:v>6.9352003189572935</c:v>
                </c:pt>
                <c:pt idx="3">
                  <c:v>8.2321011743591193</c:v>
                </c:pt>
                <c:pt idx="4">
                  <c:v>6.9412625569983408</c:v>
                </c:pt>
                <c:pt idx="5">
                  <c:v>6.7593954157669423</c:v>
                </c:pt>
                <c:pt idx="6">
                  <c:v>6.8270805977786271</c:v>
                </c:pt>
                <c:pt idx="7">
                  <c:v>7.204320386279468</c:v>
                </c:pt>
                <c:pt idx="8">
                  <c:v>7.0231672624465213</c:v>
                </c:pt>
                <c:pt idx="9">
                  <c:v>8.3355773064390544</c:v>
                </c:pt>
                <c:pt idx="10">
                  <c:v>7.0678367578553534</c:v>
                </c:pt>
                <c:pt idx="11">
                  <c:v>7.0458528177065052</c:v>
                </c:pt>
                <c:pt idx="12">
                  <c:v>6.7418149254479056</c:v>
                </c:pt>
                <c:pt idx="13">
                  <c:v>7.800265002355812</c:v>
                </c:pt>
                <c:pt idx="14">
                  <c:v>6.8472041214130295</c:v>
                </c:pt>
                <c:pt idx="15">
                  <c:v>7.4344338138510491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B0-0746-9E8C-4BA4E4B87984}"/>
            </c:ext>
          </c:extLst>
        </c:ser>
        <c:ser>
          <c:idx val="3"/>
          <c:order val="3"/>
          <c:tx>
            <c:v>EFF</c:v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4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'Morgan-Pompa solid data'!$AA$43:$AA$49</c:f>
              <c:numCache>
                <c:formatCode>0.000</c:formatCode>
                <c:ptCount val="7"/>
                <c:pt idx="0">
                  <c:v>86.54086406690206</c:v>
                </c:pt>
                <c:pt idx="1">
                  <c:v>92.096124948881098</c:v>
                </c:pt>
                <c:pt idx="2">
                  <c:v>88.809585993528444</c:v>
                </c:pt>
                <c:pt idx="3">
                  <c:v>90.27026997368516</c:v>
                </c:pt>
                <c:pt idx="4">
                  <c:v>81.614256707276454</c:v>
                </c:pt>
                <c:pt idx="5">
                  <c:v>63.046604783883595</c:v>
                </c:pt>
                <c:pt idx="6">
                  <c:v>82.768076582818438</c:v>
                </c:pt>
              </c:numCache>
            </c:numRef>
          </c:xVal>
          <c:yVal>
            <c:numRef>
              <c:f>'Morgan-Pompa solid data'!$U$43:$U$49</c:f>
              <c:numCache>
                <c:formatCode>0.000</c:formatCode>
                <c:ptCount val="7"/>
                <c:pt idx="0">
                  <c:v>7.0231672624465213</c:v>
                </c:pt>
                <c:pt idx="1">
                  <c:v>8.3355773064390544</c:v>
                </c:pt>
                <c:pt idx="2">
                  <c:v>7.0678367578553534</c:v>
                </c:pt>
                <c:pt idx="3">
                  <c:v>7.0458528177065052</c:v>
                </c:pt>
                <c:pt idx="4">
                  <c:v>6.7418149254479056</c:v>
                </c:pt>
                <c:pt idx="5">
                  <c:v>7.800265002355812</c:v>
                </c:pt>
                <c:pt idx="6">
                  <c:v>6.8472041214130295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B0-0746-9E8C-4BA4E4B87984}"/>
            </c:ext>
          </c:extLst>
        </c:ser>
        <c:ser>
          <c:idx val="4"/>
          <c:order val="4"/>
          <c:tx>
            <c:v>Basalt control</c:v>
          </c:tx>
          <c:spPr>
            <a:ln w="25400" cap="flat" cmpd="dbl" algn="ctr">
              <a:noFill/>
              <a:round/>
            </a:ln>
            <a:effectLst/>
          </c:spPr>
          <c:marker>
            <c:symbol val="x"/>
            <c:size val="20"/>
            <c:spPr>
              <a:noFill/>
              <a:ln w="34925" cap="flat" cmpd="dbl" algn="ctr">
                <a:solidFill>
                  <a:schemeClr val="accent5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('Morgan-Pompa solid data'!$AA$42,'Morgan-Pompa solid data'!$AA$50)</c:f>
              <c:numCache>
                <c:formatCode>0.000</c:formatCode>
                <c:ptCount val="2"/>
                <c:pt idx="0">
                  <c:v>36.790977750197328</c:v>
                </c:pt>
                <c:pt idx="1">
                  <c:v>40.864608242154681</c:v>
                </c:pt>
              </c:numCache>
            </c:numRef>
          </c:xVal>
          <c:yVal>
            <c:numRef>
              <c:f>('Morgan-Pompa solid data'!$U$42,'Morgan-Pompa solid data'!$U$50)</c:f>
              <c:numCache>
                <c:formatCode>0.000</c:formatCode>
                <c:ptCount val="2"/>
                <c:pt idx="0">
                  <c:v>7.204320386279468</c:v>
                </c:pt>
                <c:pt idx="1">
                  <c:v>7.4344338138510491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B0-0746-9E8C-4BA4E4B87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529936"/>
        <c:axId val="383502704"/>
      </c:scatterChart>
      <c:valAx>
        <c:axId val="38452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02704"/>
        <c:crosses val="autoZero"/>
        <c:crossBetween val="midCat"/>
      </c:valAx>
      <c:valAx>
        <c:axId val="38350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Fe/Ti (mol:mol)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29936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21" Type="http://schemas.openxmlformats.org/officeDocument/2006/relationships/chart" Target="../charts/chart39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5" Type="http://schemas.openxmlformats.org/officeDocument/2006/relationships/chart" Target="../charts/chart43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20" Type="http://schemas.openxmlformats.org/officeDocument/2006/relationships/chart" Target="../charts/chart38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24" Type="http://schemas.openxmlformats.org/officeDocument/2006/relationships/chart" Target="../charts/chart42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23" Type="http://schemas.openxmlformats.org/officeDocument/2006/relationships/chart" Target="../charts/chart41.xml"/><Relationship Id="rId10" Type="http://schemas.openxmlformats.org/officeDocument/2006/relationships/chart" Target="../charts/chart28.xml"/><Relationship Id="rId19" Type="http://schemas.openxmlformats.org/officeDocument/2006/relationships/chart" Target="../charts/chart37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Relationship Id="rId22" Type="http://schemas.openxmlformats.org/officeDocument/2006/relationships/chart" Target="../charts/chart4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image" Target="../media/image1.png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750711</xdr:colOff>
      <xdr:row>0</xdr:row>
      <xdr:rowOff>150284</xdr:rowOff>
    </xdr:from>
    <xdr:to>
      <xdr:col>98</xdr:col>
      <xdr:colOff>420511</xdr:colOff>
      <xdr:row>21</xdr:row>
      <xdr:rowOff>197909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979E5D-AD79-4CA5-A20D-7D7A375B3008}"/>
            </a:ext>
            <a:ext uri="{147F2762-F138-4A5C-976F-8EAC2B608ADB}">
              <a16:predDERef xmlns:a16="http://schemas.microsoft.com/office/drawing/2014/main" pred="{74F7A1FD-0B73-BA4F-899E-DF2FB0530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83</xdr:col>
      <xdr:colOff>133350</xdr:colOff>
      <xdr:row>0</xdr:row>
      <xdr:rowOff>143581</xdr:rowOff>
    </xdr:from>
    <xdr:to>
      <xdr:col>90</xdr:col>
      <xdr:colOff>644525</xdr:colOff>
      <xdr:row>21</xdr:row>
      <xdr:rowOff>191206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A52D4D4-A446-46AF-8EF0-DEB6844C5828}"/>
            </a:ext>
            <a:ext uri="{147F2762-F138-4A5C-976F-8EAC2B608ADB}">
              <a16:predDERef xmlns:a16="http://schemas.microsoft.com/office/drawing/2014/main" pred="{C5979E5D-AD79-4CA5-A20D-7D7A375B3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44</xdr:col>
      <xdr:colOff>731924</xdr:colOff>
      <xdr:row>1</xdr:row>
      <xdr:rowOff>67024</xdr:rowOff>
    </xdr:from>
    <xdr:to>
      <xdr:col>52</xdr:col>
      <xdr:colOff>401724</xdr:colOff>
      <xdr:row>22</xdr:row>
      <xdr:rowOff>178149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EC9ECD-0372-B041-8A7B-7CBA30109D0B}"/>
            </a:ext>
            <a:ext uri="{147F2762-F138-4A5C-976F-8EAC2B608ADB}">
              <a16:predDERef xmlns:a16="http://schemas.microsoft.com/office/drawing/2014/main" pred="{AA52D4D4-A446-46AF-8EF0-DEB6844C5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37</xdr:col>
      <xdr:colOff>180863</xdr:colOff>
      <xdr:row>1</xdr:row>
      <xdr:rowOff>66272</xdr:rowOff>
    </xdr:from>
    <xdr:to>
      <xdr:col>44</xdr:col>
      <xdr:colOff>692038</xdr:colOff>
      <xdr:row>22</xdr:row>
      <xdr:rowOff>177397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D746D5-EA4E-0C85-87B9-B9EE4579BAA7}"/>
            </a:ext>
            <a:ext uri="{147F2762-F138-4A5C-976F-8EAC2B608ADB}">
              <a16:predDERef xmlns:a16="http://schemas.microsoft.com/office/drawing/2014/main" pred="{26EC9ECD-0372-B041-8A7B-7CBA30109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37</xdr:col>
      <xdr:colOff>177791</xdr:colOff>
      <xdr:row>23</xdr:row>
      <xdr:rowOff>36953</xdr:rowOff>
    </xdr:from>
    <xdr:to>
      <xdr:col>44</xdr:col>
      <xdr:colOff>688966</xdr:colOff>
      <xdr:row>45</xdr:row>
      <xdr:rowOff>68703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C6E919-7EDC-7C4A-8770-C2984904DA7C}"/>
            </a:ext>
            <a:ext uri="{147F2762-F138-4A5C-976F-8EAC2B608ADB}">
              <a16:predDERef xmlns:a16="http://schemas.microsoft.com/office/drawing/2014/main" pred="{D5D746D5-EA4E-0C85-87B9-B9EE4579B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127000</xdr:colOff>
      <xdr:row>22</xdr:row>
      <xdr:rowOff>48684</xdr:rowOff>
    </xdr:from>
    <xdr:to>
      <xdr:col>90</xdr:col>
      <xdr:colOff>638175</xdr:colOff>
      <xdr:row>44</xdr:row>
      <xdr:rowOff>80434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3B6DF6-D0F0-774A-B86A-7992B212F1B5}"/>
            </a:ext>
            <a:ext uri="{147F2762-F138-4A5C-976F-8EAC2B608ADB}">
              <a16:predDERef xmlns:a16="http://schemas.microsoft.com/office/drawing/2014/main" pred="{7BC6E919-7EDC-7C4A-8770-C2984904D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44</xdr:col>
      <xdr:colOff>731117</xdr:colOff>
      <xdr:row>23</xdr:row>
      <xdr:rowOff>10988</xdr:rowOff>
    </xdr:from>
    <xdr:to>
      <xdr:col>52</xdr:col>
      <xdr:colOff>400917</xdr:colOff>
      <xdr:row>45</xdr:row>
      <xdr:rowOff>42738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AB6C48-BB5A-F241-8B91-F899E19DEB9E}"/>
            </a:ext>
            <a:ext uri="{147F2762-F138-4A5C-976F-8EAC2B608ADB}">
              <a16:predDERef xmlns:a16="http://schemas.microsoft.com/office/drawing/2014/main" pred="{D5D746D5-EA4E-0C85-87B9-B9EE4579B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83</xdr:col>
      <xdr:colOff>127000</xdr:colOff>
      <xdr:row>44</xdr:row>
      <xdr:rowOff>127000</xdr:rowOff>
    </xdr:from>
    <xdr:to>
      <xdr:col>90</xdr:col>
      <xdr:colOff>638175</xdr:colOff>
      <xdr:row>66</xdr:row>
      <xdr:rowOff>158750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49AB283-B99E-B34E-BD00-515B2A29C3E5}"/>
            </a:ext>
            <a:ext uri="{147F2762-F138-4A5C-976F-8EAC2B608ADB}">
              <a16:predDERef xmlns:a16="http://schemas.microsoft.com/office/drawing/2014/main" pred="{7BC6E919-7EDC-7C4A-8770-C2984904D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90</xdr:col>
      <xdr:colOff>746125</xdr:colOff>
      <xdr:row>44</xdr:row>
      <xdr:rowOff>127000</xdr:rowOff>
    </xdr:from>
    <xdr:to>
      <xdr:col>98</xdr:col>
      <xdr:colOff>415925</xdr:colOff>
      <xdr:row>66</xdr:row>
      <xdr:rowOff>158750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51C988A-A850-034B-AEFA-3DF94B033661}"/>
            </a:ext>
            <a:ext uri="{147F2762-F138-4A5C-976F-8EAC2B608ADB}">
              <a16:predDERef xmlns:a16="http://schemas.microsoft.com/office/drawing/2014/main" pred="{7BC6E919-7EDC-7C4A-8770-C2984904D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107</xdr:col>
      <xdr:colOff>428625</xdr:colOff>
      <xdr:row>22</xdr:row>
      <xdr:rowOff>1</xdr:rowOff>
    </xdr:from>
    <xdr:to>
      <xdr:col>115</xdr:col>
      <xdr:colOff>98425</xdr:colOff>
      <xdr:row>44</xdr:row>
      <xdr:rowOff>31751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3066014-FACA-854A-B69C-A08E14F9A68E}"/>
            </a:ext>
            <a:ext uri="{147F2762-F138-4A5C-976F-8EAC2B608ADB}">
              <a16:predDERef xmlns:a16="http://schemas.microsoft.com/office/drawing/2014/main" pred="{7BC6E919-7EDC-7C4A-8770-C2984904D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115</xdr:col>
      <xdr:colOff>188736</xdr:colOff>
      <xdr:row>0</xdr:row>
      <xdr:rowOff>117828</xdr:rowOff>
    </xdr:from>
    <xdr:to>
      <xdr:col>122</xdr:col>
      <xdr:colOff>699911</xdr:colOff>
      <xdr:row>21</xdr:row>
      <xdr:rowOff>165453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65DA9EB-DFF0-EA47-B559-EA6A9D32A134}"/>
            </a:ext>
            <a:ext uri="{147F2762-F138-4A5C-976F-8EAC2B608ADB}">
              <a16:predDERef xmlns:a16="http://schemas.microsoft.com/office/drawing/2014/main" pred="{74F7A1FD-0B73-BA4F-899E-DF2FB0530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107</xdr:col>
      <xdr:colOff>412750</xdr:colOff>
      <xdr:row>0</xdr:row>
      <xdr:rowOff>111125</xdr:rowOff>
    </xdr:from>
    <xdr:to>
      <xdr:col>115</xdr:col>
      <xdr:colOff>82550</xdr:colOff>
      <xdr:row>21</xdr:row>
      <xdr:rowOff>158750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5446DA6-1968-CF4B-BBA2-183BC7CB1822}"/>
            </a:ext>
            <a:ext uri="{147F2762-F138-4A5C-976F-8EAC2B608ADB}">
              <a16:predDERef xmlns:a16="http://schemas.microsoft.com/office/drawing/2014/main" pred="{C5979E5D-AD79-4CA5-A20D-7D7A375B3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115</xdr:col>
      <xdr:colOff>206375</xdr:colOff>
      <xdr:row>44</xdr:row>
      <xdr:rowOff>95250</xdr:rowOff>
    </xdr:from>
    <xdr:to>
      <xdr:col>122</xdr:col>
      <xdr:colOff>717550</xdr:colOff>
      <xdr:row>66</xdr:row>
      <xdr:rowOff>127000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AFB7EE4-0E33-874F-8E08-8C2A95BC3607}"/>
            </a:ext>
            <a:ext uri="{147F2762-F138-4A5C-976F-8EAC2B608ADB}">
              <a16:predDERef xmlns:a16="http://schemas.microsoft.com/office/drawing/2014/main" pred="{7BC6E919-7EDC-7C4A-8770-C2984904D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90</xdr:col>
      <xdr:colOff>746125</xdr:colOff>
      <xdr:row>22</xdr:row>
      <xdr:rowOff>47625</xdr:rowOff>
    </xdr:from>
    <xdr:to>
      <xdr:col>98</xdr:col>
      <xdr:colOff>415925</xdr:colOff>
      <xdr:row>44</xdr:row>
      <xdr:rowOff>79375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1D593DA-7CDB-934C-9E1D-4AC12265765E}"/>
            </a:ext>
            <a:ext uri="{147F2762-F138-4A5C-976F-8EAC2B608ADB}">
              <a16:predDERef xmlns:a16="http://schemas.microsoft.com/office/drawing/2014/main" pred="{7BC6E919-7EDC-7C4A-8770-C2984904D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115</xdr:col>
      <xdr:colOff>206375</xdr:colOff>
      <xdr:row>22</xdr:row>
      <xdr:rowOff>15875</xdr:rowOff>
    </xdr:from>
    <xdr:to>
      <xdr:col>122</xdr:col>
      <xdr:colOff>717550</xdr:colOff>
      <xdr:row>44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B512733-3C3F-4445-9FE5-2D74FFC4DC7D}"/>
            </a:ext>
            <a:ext uri="{147F2762-F138-4A5C-976F-8EAC2B608ADB}">
              <a16:predDERef xmlns:a16="http://schemas.microsoft.com/office/drawing/2014/main" pred="{7BC6E919-7EDC-7C4A-8770-C2984904D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37</xdr:col>
      <xdr:colOff>170392</xdr:colOff>
      <xdr:row>45</xdr:row>
      <xdr:rowOff>113242</xdr:rowOff>
    </xdr:from>
    <xdr:to>
      <xdr:col>44</xdr:col>
      <xdr:colOff>681567</xdr:colOff>
      <xdr:row>67</xdr:row>
      <xdr:rowOff>144992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46F238-601F-D649-9565-190A7D239E9D}"/>
            </a:ext>
            <a:ext uri="{147F2762-F138-4A5C-976F-8EAC2B608ADB}">
              <a16:predDERef xmlns:a16="http://schemas.microsoft.com/office/drawing/2014/main" pred="{AA52D4D4-A446-46AF-8EF0-DEB6844C5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44</xdr:col>
      <xdr:colOff>727629</xdr:colOff>
      <xdr:row>45</xdr:row>
      <xdr:rowOff>88048</xdr:rowOff>
    </xdr:from>
    <xdr:to>
      <xdr:col>52</xdr:col>
      <xdr:colOff>397429</xdr:colOff>
      <xdr:row>67</xdr:row>
      <xdr:rowOff>119798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938D9A0-647B-8341-B851-066C4524803E}"/>
            </a:ext>
            <a:ext uri="{147F2762-F138-4A5C-976F-8EAC2B608ADB}">
              <a16:predDERef xmlns:a16="http://schemas.microsoft.com/office/drawing/2014/main" pred="{D5D746D5-EA4E-0C85-87B9-B9EE4579B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44</xdr:col>
      <xdr:colOff>730250</xdr:colOff>
      <xdr:row>67</xdr:row>
      <xdr:rowOff>158750</xdr:rowOff>
    </xdr:from>
    <xdr:to>
      <xdr:col>52</xdr:col>
      <xdr:colOff>400050</xdr:colOff>
      <xdr:row>89</xdr:row>
      <xdr:rowOff>190500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12C10AC-04C1-B74E-BBEF-4CE33D53A38B}"/>
            </a:ext>
            <a:ext uri="{147F2762-F138-4A5C-976F-8EAC2B608ADB}">
              <a16:predDERef xmlns:a16="http://schemas.microsoft.com/office/drawing/2014/main" pred="{D5D746D5-EA4E-0C85-87B9-B9EE4579B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90</xdr:col>
      <xdr:colOff>750711</xdr:colOff>
      <xdr:row>0</xdr:row>
      <xdr:rowOff>150284</xdr:rowOff>
    </xdr:from>
    <xdr:to>
      <xdr:col>98</xdr:col>
      <xdr:colOff>420511</xdr:colOff>
      <xdr:row>21</xdr:row>
      <xdr:rowOff>197909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14A28-A3BE-3341-91B2-623844A44C30}"/>
            </a:ext>
            <a:ext uri="{147F2762-F138-4A5C-976F-8EAC2B608ADB}">
              <a16:predDERef xmlns:a16="http://schemas.microsoft.com/office/drawing/2014/main" pred="{74F7A1FD-0B73-BA4F-899E-DF2FB0530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83</xdr:col>
      <xdr:colOff>133350</xdr:colOff>
      <xdr:row>0</xdr:row>
      <xdr:rowOff>143581</xdr:rowOff>
    </xdr:from>
    <xdr:to>
      <xdr:col>90</xdr:col>
      <xdr:colOff>644525</xdr:colOff>
      <xdr:row>21</xdr:row>
      <xdr:rowOff>191206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9B7595-AAA4-1E4A-83DB-E2F230F7EAD5}"/>
            </a:ext>
            <a:ext uri="{147F2762-F138-4A5C-976F-8EAC2B608ADB}">
              <a16:predDERef xmlns:a16="http://schemas.microsoft.com/office/drawing/2014/main" pred="{C5979E5D-AD79-4CA5-A20D-7D7A375B3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44</xdr:col>
      <xdr:colOff>731924</xdr:colOff>
      <xdr:row>1</xdr:row>
      <xdr:rowOff>67024</xdr:rowOff>
    </xdr:from>
    <xdr:to>
      <xdr:col>52</xdr:col>
      <xdr:colOff>401724</xdr:colOff>
      <xdr:row>22</xdr:row>
      <xdr:rowOff>178149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728295-CB20-CA49-BCAF-BDBD1F278B9F}"/>
            </a:ext>
            <a:ext uri="{147F2762-F138-4A5C-976F-8EAC2B608ADB}">
              <a16:predDERef xmlns:a16="http://schemas.microsoft.com/office/drawing/2014/main" pred="{AA52D4D4-A446-46AF-8EF0-DEB6844C5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37</xdr:col>
      <xdr:colOff>180863</xdr:colOff>
      <xdr:row>1</xdr:row>
      <xdr:rowOff>66272</xdr:rowOff>
    </xdr:from>
    <xdr:to>
      <xdr:col>44</xdr:col>
      <xdr:colOff>692038</xdr:colOff>
      <xdr:row>22</xdr:row>
      <xdr:rowOff>177397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3FCA2A-4A88-4945-BC9E-416A32D30DA1}"/>
            </a:ext>
            <a:ext uri="{147F2762-F138-4A5C-976F-8EAC2B608ADB}">
              <a16:predDERef xmlns:a16="http://schemas.microsoft.com/office/drawing/2014/main" pred="{26EC9ECD-0372-B041-8A7B-7CBA30109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37</xdr:col>
      <xdr:colOff>177791</xdr:colOff>
      <xdr:row>23</xdr:row>
      <xdr:rowOff>36953</xdr:rowOff>
    </xdr:from>
    <xdr:to>
      <xdr:col>44</xdr:col>
      <xdr:colOff>688966</xdr:colOff>
      <xdr:row>45</xdr:row>
      <xdr:rowOff>68703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19B3D2-5A5D-ED4E-8A8C-23FE8978D3F8}"/>
            </a:ext>
            <a:ext uri="{147F2762-F138-4A5C-976F-8EAC2B608ADB}">
              <a16:predDERef xmlns:a16="http://schemas.microsoft.com/office/drawing/2014/main" pred="{D5D746D5-EA4E-0C85-87B9-B9EE4579B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127000</xdr:colOff>
      <xdr:row>22</xdr:row>
      <xdr:rowOff>48684</xdr:rowOff>
    </xdr:from>
    <xdr:to>
      <xdr:col>90</xdr:col>
      <xdr:colOff>638175</xdr:colOff>
      <xdr:row>44</xdr:row>
      <xdr:rowOff>80434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F19F75-9DFD-D24D-809A-89017A6DDBFA}"/>
            </a:ext>
            <a:ext uri="{147F2762-F138-4A5C-976F-8EAC2B608ADB}">
              <a16:predDERef xmlns:a16="http://schemas.microsoft.com/office/drawing/2014/main" pred="{7BC6E919-7EDC-7C4A-8770-C2984904D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44</xdr:col>
      <xdr:colOff>731117</xdr:colOff>
      <xdr:row>23</xdr:row>
      <xdr:rowOff>10988</xdr:rowOff>
    </xdr:from>
    <xdr:to>
      <xdr:col>52</xdr:col>
      <xdr:colOff>400917</xdr:colOff>
      <xdr:row>45</xdr:row>
      <xdr:rowOff>42738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C2E4C93-E9A2-2349-8111-C439190BB738}"/>
            </a:ext>
            <a:ext uri="{147F2762-F138-4A5C-976F-8EAC2B608ADB}">
              <a16:predDERef xmlns:a16="http://schemas.microsoft.com/office/drawing/2014/main" pred="{D5D746D5-EA4E-0C85-87B9-B9EE4579B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83</xdr:col>
      <xdr:colOff>127000</xdr:colOff>
      <xdr:row>44</xdr:row>
      <xdr:rowOff>127000</xdr:rowOff>
    </xdr:from>
    <xdr:to>
      <xdr:col>90</xdr:col>
      <xdr:colOff>638175</xdr:colOff>
      <xdr:row>66</xdr:row>
      <xdr:rowOff>158750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FB212A-E38E-EE42-B81F-C29E47D9707D}"/>
            </a:ext>
            <a:ext uri="{147F2762-F138-4A5C-976F-8EAC2B608ADB}">
              <a16:predDERef xmlns:a16="http://schemas.microsoft.com/office/drawing/2014/main" pred="{7BC6E919-7EDC-7C4A-8770-C2984904D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90</xdr:col>
      <xdr:colOff>746125</xdr:colOff>
      <xdr:row>44</xdr:row>
      <xdr:rowOff>127000</xdr:rowOff>
    </xdr:from>
    <xdr:to>
      <xdr:col>98</xdr:col>
      <xdr:colOff>415925</xdr:colOff>
      <xdr:row>66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7B0D9C-D7B2-BC44-9431-F2990CA5AC13}"/>
            </a:ext>
            <a:ext uri="{147F2762-F138-4A5C-976F-8EAC2B608ADB}">
              <a16:predDERef xmlns:a16="http://schemas.microsoft.com/office/drawing/2014/main" pred="{7BC6E919-7EDC-7C4A-8770-C2984904D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107</xdr:col>
      <xdr:colOff>428625</xdr:colOff>
      <xdr:row>22</xdr:row>
      <xdr:rowOff>1</xdr:rowOff>
    </xdr:from>
    <xdr:to>
      <xdr:col>115</xdr:col>
      <xdr:colOff>98425</xdr:colOff>
      <xdr:row>44</xdr:row>
      <xdr:rowOff>31751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E012317-E102-464E-ACD4-5A4982EC60C9}"/>
            </a:ext>
            <a:ext uri="{147F2762-F138-4A5C-976F-8EAC2B608ADB}">
              <a16:predDERef xmlns:a16="http://schemas.microsoft.com/office/drawing/2014/main" pred="{7BC6E919-7EDC-7C4A-8770-C2984904D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115</xdr:col>
      <xdr:colOff>188736</xdr:colOff>
      <xdr:row>0</xdr:row>
      <xdr:rowOff>117828</xdr:rowOff>
    </xdr:from>
    <xdr:to>
      <xdr:col>122</xdr:col>
      <xdr:colOff>699911</xdr:colOff>
      <xdr:row>21</xdr:row>
      <xdr:rowOff>165453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E30EF6B-05B9-D34C-89D3-56F131DE1475}"/>
            </a:ext>
            <a:ext uri="{147F2762-F138-4A5C-976F-8EAC2B608ADB}">
              <a16:predDERef xmlns:a16="http://schemas.microsoft.com/office/drawing/2014/main" pred="{74F7A1FD-0B73-BA4F-899E-DF2FB05307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107</xdr:col>
      <xdr:colOff>412750</xdr:colOff>
      <xdr:row>0</xdr:row>
      <xdr:rowOff>111125</xdr:rowOff>
    </xdr:from>
    <xdr:to>
      <xdr:col>115</xdr:col>
      <xdr:colOff>82550</xdr:colOff>
      <xdr:row>21</xdr:row>
      <xdr:rowOff>158750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2198546-EA6C-9348-B376-C44203BC885D}"/>
            </a:ext>
            <a:ext uri="{147F2762-F138-4A5C-976F-8EAC2B608ADB}">
              <a16:predDERef xmlns:a16="http://schemas.microsoft.com/office/drawing/2014/main" pred="{C5979E5D-AD79-4CA5-A20D-7D7A375B3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115</xdr:col>
      <xdr:colOff>206375</xdr:colOff>
      <xdr:row>44</xdr:row>
      <xdr:rowOff>95250</xdr:rowOff>
    </xdr:from>
    <xdr:to>
      <xdr:col>122</xdr:col>
      <xdr:colOff>717550</xdr:colOff>
      <xdr:row>66</xdr:row>
      <xdr:rowOff>127000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5FCCD30-90A2-9440-99DE-BFEAA54EBAA9}"/>
            </a:ext>
            <a:ext uri="{147F2762-F138-4A5C-976F-8EAC2B608ADB}">
              <a16:predDERef xmlns:a16="http://schemas.microsoft.com/office/drawing/2014/main" pred="{7BC6E919-7EDC-7C4A-8770-C2984904D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90</xdr:col>
      <xdr:colOff>746125</xdr:colOff>
      <xdr:row>22</xdr:row>
      <xdr:rowOff>47625</xdr:rowOff>
    </xdr:from>
    <xdr:to>
      <xdr:col>98</xdr:col>
      <xdr:colOff>415925</xdr:colOff>
      <xdr:row>44</xdr:row>
      <xdr:rowOff>79375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F83B856-EFA0-4747-8E82-E1071DAC01A1}"/>
            </a:ext>
            <a:ext uri="{147F2762-F138-4A5C-976F-8EAC2B608ADB}">
              <a16:predDERef xmlns:a16="http://schemas.microsoft.com/office/drawing/2014/main" pred="{7BC6E919-7EDC-7C4A-8770-C2984904D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115</xdr:col>
      <xdr:colOff>206375</xdr:colOff>
      <xdr:row>22</xdr:row>
      <xdr:rowOff>15875</xdr:rowOff>
    </xdr:from>
    <xdr:to>
      <xdr:col>122</xdr:col>
      <xdr:colOff>717550</xdr:colOff>
      <xdr:row>44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3CACD18-24C8-1246-817D-6F730731DC43}"/>
            </a:ext>
            <a:ext uri="{147F2762-F138-4A5C-976F-8EAC2B608ADB}">
              <a16:predDERef xmlns:a16="http://schemas.microsoft.com/office/drawing/2014/main" pred="{7BC6E919-7EDC-7C4A-8770-C2984904D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37</xdr:col>
      <xdr:colOff>170392</xdr:colOff>
      <xdr:row>45</xdr:row>
      <xdr:rowOff>113242</xdr:rowOff>
    </xdr:from>
    <xdr:to>
      <xdr:col>44</xdr:col>
      <xdr:colOff>681567</xdr:colOff>
      <xdr:row>67</xdr:row>
      <xdr:rowOff>144992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B60741F-5AC7-4042-86CA-8ACCF01BB9EA}"/>
            </a:ext>
            <a:ext uri="{147F2762-F138-4A5C-976F-8EAC2B608ADB}">
              <a16:predDERef xmlns:a16="http://schemas.microsoft.com/office/drawing/2014/main" pred="{AA52D4D4-A446-46AF-8EF0-DEB6844C5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44</xdr:col>
      <xdr:colOff>727629</xdr:colOff>
      <xdr:row>45</xdr:row>
      <xdr:rowOff>88048</xdr:rowOff>
    </xdr:from>
    <xdr:to>
      <xdr:col>52</xdr:col>
      <xdr:colOff>397429</xdr:colOff>
      <xdr:row>67</xdr:row>
      <xdr:rowOff>119798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4D6A5F6-479A-AB41-AA8B-23C306A0D166}"/>
            </a:ext>
            <a:ext uri="{147F2762-F138-4A5C-976F-8EAC2B608ADB}">
              <a16:predDERef xmlns:a16="http://schemas.microsoft.com/office/drawing/2014/main" pred="{D5D746D5-EA4E-0C85-87B9-B9EE4579B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44</xdr:col>
      <xdr:colOff>730250</xdr:colOff>
      <xdr:row>67</xdr:row>
      <xdr:rowOff>158750</xdr:rowOff>
    </xdr:from>
    <xdr:to>
      <xdr:col>52</xdr:col>
      <xdr:colOff>400050</xdr:colOff>
      <xdr:row>89</xdr:row>
      <xdr:rowOff>190500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B061D54-5D54-7741-8D0F-2BEF4564B9A8}"/>
            </a:ext>
            <a:ext uri="{147F2762-F138-4A5C-976F-8EAC2B608ADB}">
              <a16:predDERef xmlns:a16="http://schemas.microsoft.com/office/drawing/2014/main" pred="{D5D746D5-EA4E-0C85-87B9-B9EE4579B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50</xdr:col>
      <xdr:colOff>21782</xdr:colOff>
      <xdr:row>184</xdr:row>
      <xdr:rowOff>64252</xdr:rowOff>
    </xdr:from>
    <xdr:to>
      <xdr:col>55</xdr:col>
      <xdr:colOff>1056832</xdr:colOff>
      <xdr:row>206</xdr:row>
      <xdr:rowOff>96002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C7D1B3D-C614-CE40-BF9E-D05A38140C6E}"/>
            </a:ext>
            <a:ext uri="{147F2762-F138-4A5C-976F-8EAC2B608ADB}">
              <a16:predDERef xmlns:a16="http://schemas.microsoft.com/office/drawing/2014/main" pred="{AA52D4D4-A446-46AF-8EF0-DEB6844C5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50</xdr:col>
      <xdr:colOff>10471</xdr:colOff>
      <xdr:row>162</xdr:row>
      <xdr:rowOff>0</xdr:rowOff>
    </xdr:from>
    <xdr:to>
      <xdr:col>55</xdr:col>
      <xdr:colOff>1045521</xdr:colOff>
      <xdr:row>184</xdr:row>
      <xdr:rowOff>31750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E454CF4-0D11-7142-B146-48D3B88CA9E9}"/>
            </a:ext>
            <a:ext uri="{147F2762-F138-4A5C-976F-8EAC2B608ADB}">
              <a16:predDERef xmlns:a16="http://schemas.microsoft.com/office/drawing/2014/main" pred="{26EC9ECD-0372-B041-8A7B-7CBA30109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55</xdr:col>
      <xdr:colOff>1086899</xdr:colOff>
      <xdr:row>162</xdr:row>
      <xdr:rowOff>2431</xdr:rowOff>
    </xdr:from>
    <xdr:to>
      <xdr:col>62</xdr:col>
      <xdr:colOff>328074</xdr:colOff>
      <xdr:row>184</xdr:row>
      <xdr:rowOff>34181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F7D8C4F-AB23-3246-93D9-4149C44F5CA6}"/>
            </a:ext>
            <a:ext uri="{147F2762-F138-4A5C-976F-8EAC2B608ADB}">
              <a16:predDERef xmlns:a16="http://schemas.microsoft.com/office/drawing/2014/main" pred="{D5D746D5-EA4E-0C85-87B9-B9EE4579B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55</xdr:col>
      <xdr:colOff>1084600</xdr:colOff>
      <xdr:row>184</xdr:row>
      <xdr:rowOff>55841</xdr:rowOff>
    </xdr:from>
    <xdr:to>
      <xdr:col>62</xdr:col>
      <xdr:colOff>325775</xdr:colOff>
      <xdr:row>206</xdr:row>
      <xdr:rowOff>87591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A9A56EA-CEF1-6145-9CC2-F998F83FBED0}"/>
            </a:ext>
            <a:ext uri="{147F2762-F138-4A5C-976F-8EAC2B608ADB}">
              <a16:predDERef xmlns:a16="http://schemas.microsoft.com/office/drawing/2014/main" pred="{D5D746D5-EA4E-0C85-87B9-B9EE4579B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62</xdr:col>
      <xdr:colOff>365125</xdr:colOff>
      <xdr:row>161</xdr:row>
      <xdr:rowOff>205720</xdr:rowOff>
    </xdr:from>
    <xdr:to>
      <xdr:col>69</xdr:col>
      <xdr:colOff>622300</xdr:colOff>
      <xdr:row>184</xdr:row>
      <xdr:rowOff>31095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6811C9D-83E7-9741-BA32-00EABCA22F93}"/>
            </a:ext>
            <a:ext uri="{147F2762-F138-4A5C-976F-8EAC2B608ADB}">
              <a16:predDERef xmlns:a16="http://schemas.microsoft.com/office/drawing/2014/main" pred="{AA52D4D4-A446-46AF-8EF0-DEB6844C5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62</xdr:col>
      <xdr:colOff>366737</xdr:colOff>
      <xdr:row>184</xdr:row>
      <xdr:rowOff>53526</xdr:rowOff>
    </xdr:from>
    <xdr:to>
      <xdr:col>69</xdr:col>
      <xdr:colOff>623912</xdr:colOff>
      <xdr:row>206</xdr:row>
      <xdr:rowOff>85276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7920CDE-3C80-BB40-B19E-9F62EFC60515}"/>
            </a:ext>
            <a:ext uri="{147F2762-F138-4A5C-976F-8EAC2B608ADB}">
              <a16:predDERef xmlns:a16="http://schemas.microsoft.com/office/drawing/2014/main" pred="{D5D746D5-EA4E-0C85-87B9-B9EE4579B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69</xdr:col>
      <xdr:colOff>650875</xdr:colOff>
      <xdr:row>162</xdr:row>
      <xdr:rowOff>0</xdr:rowOff>
    </xdr:from>
    <xdr:to>
      <xdr:col>76</xdr:col>
      <xdr:colOff>1019175</xdr:colOff>
      <xdr:row>184</xdr:row>
      <xdr:rowOff>31750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D19F6A5-8D94-7441-BCE8-F938E0C4AF07}"/>
            </a:ext>
            <a:ext uri="{147F2762-F138-4A5C-976F-8EAC2B608ADB}">
              <a16:predDERef xmlns:a16="http://schemas.microsoft.com/office/drawing/2014/main" pred="{D5D746D5-EA4E-0C85-87B9-B9EE4579B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46</xdr:row>
      <xdr:rowOff>171450</xdr:rowOff>
    </xdr:from>
    <xdr:to>
      <xdr:col>12</xdr:col>
      <xdr:colOff>0</xdr:colOff>
      <xdr:row>61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5BAE5-B9C0-CFF3-70C0-6EC35EB15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4</xdr:row>
      <xdr:rowOff>114300</xdr:rowOff>
    </xdr:from>
    <xdr:to>
      <xdr:col>17</xdr:col>
      <xdr:colOff>723900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304B3D-5161-CDDE-F121-ED057BC4F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819150</xdr:colOff>
      <xdr:row>4</xdr:row>
      <xdr:rowOff>133350</xdr:rowOff>
    </xdr:from>
    <xdr:to>
      <xdr:col>25</xdr:col>
      <xdr:colOff>561975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A9FFD2-467F-454D-A358-2238E16CDD15}"/>
            </a:ext>
            <a:ext uri="{147F2762-F138-4A5C-976F-8EAC2B608ADB}">
              <a16:predDERef xmlns:a16="http://schemas.microsoft.com/office/drawing/2014/main" pred="{DF304B3D-5161-CDDE-F121-ED057BC4F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161925</xdr:colOff>
      <xdr:row>30</xdr:row>
      <xdr:rowOff>0</xdr:rowOff>
    </xdr:from>
    <xdr:to>
      <xdr:col>17</xdr:col>
      <xdr:colOff>742950</xdr:colOff>
      <xdr:row>54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295CBD-5D29-43E5-A0E0-E74C2DA38BC9}"/>
            </a:ext>
            <a:ext uri="{147F2762-F138-4A5C-976F-8EAC2B608ADB}">
              <a16:predDERef xmlns:a16="http://schemas.microsoft.com/office/drawing/2014/main" pred="{7FA9FFD2-467F-454D-A358-2238E16CDD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802922</xdr:colOff>
      <xdr:row>39</xdr:row>
      <xdr:rowOff>11289</xdr:rowOff>
    </xdr:from>
    <xdr:to>
      <xdr:col>34</xdr:col>
      <xdr:colOff>249767</xdr:colOff>
      <xdr:row>79</xdr:row>
      <xdr:rowOff>112889</xdr:rowOff>
    </xdr:to>
    <xdr:pic>
      <xdr:nvPicPr>
        <xdr:cNvPr id="2" name="Picture 1" descr="Picture 1, Picture">
          <a:extLst>
            <a:ext uri="{FF2B5EF4-FFF2-40B4-BE49-F238E27FC236}">
              <a16:creationId xmlns:a16="http://schemas.microsoft.com/office/drawing/2014/main" id="{9DC59F42-4C51-714F-9B1D-A49698723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39811" y="7715956"/>
          <a:ext cx="15265400" cy="80038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81026</xdr:colOff>
      <xdr:row>79</xdr:row>
      <xdr:rowOff>169333</xdr:rowOff>
    </xdr:from>
    <xdr:to>
      <xdr:col>5</xdr:col>
      <xdr:colOff>450737</xdr:colOff>
      <xdr:row>102</xdr:row>
      <xdr:rowOff>73378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708809-A182-4147-936D-11B15A5279F6}"/>
            </a:ext>
            <a:ext uri="{147F2762-F138-4A5C-976F-8EAC2B608ADB}">
              <a16:predDERef xmlns:a16="http://schemas.microsoft.com/office/drawing/2014/main" pred="{26EC9ECD-0372-B041-8A7B-7CBA30109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479777</xdr:colOff>
      <xdr:row>79</xdr:row>
      <xdr:rowOff>166914</xdr:rowOff>
    </xdr:from>
    <xdr:to>
      <xdr:col>13</xdr:col>
      <xdr:colOff>200376</xdr:colOff>
      <xdr:row>102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B4C3FE-908B-3E41-87FB-69E985528EE0}"/>
            </a:ext>
            <a:ext uri="{147F2762-F138-4A5C-976F-8EAC2B608ADB}">
              <a16:predDERef xmlns:a16="http://schemas.microsoft.com/office/drawing/2014/main" pred="{AA52D4D4-A446-46AF-8EF0-DEB6844C5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13</xdr:col>
      <xdr:colOff>239888</xdr:colOff>
      <xdr:row>79</xdr:row>
      <xdr:rowOff>183444</xdr:rowOff>
    </xdr:from>
    <xdr:to>
      <xdr:col>20</xdr:col>
      <xdr:colOff>812799</xdr:colOff>
      <xdr:row>103</xdr:row>
      <xdr:rowOff>14111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C5E9D7-5CC3-B74E-8A42-FBA17E103CE9}"/>
            </a:ext>
            <a:ext uri="{147F2762-F138-4A5C-976F-8EAC2B608ADB}">
              <a16:predDERef xmlns:a16="http://schemas.microsoft.com/office/drawing/2014/main" pred="{D5D746D5-EA4E-0C85-87B9-B9EE4579B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21</xdr:col>
      <xdr:colOff>0</xdr:colOff>
      <xdr:row>80</xdr:row>
      <xdr:rowOff>0</xdr:rowOff>
    </xdr:from>
    <xdr:to>
      <xdr:col>28</xdr:col>
      <xdr:colOff>572911</xdr:colOff>
      <xdr:row>103</xdr:row>
      <xdr:rowOff>28222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DDB42E-AA03-DE48-8FB6-4BAE7D08E351}"/>
            </a:ext>
            <a:ext uri="{147F2762-F138-4A5C-976F-8EAC2B608ADB}">
              <a16:predDERef xmlns:a16="http://schemas.microsoft.com/office/drawing/2014/main" pred="{D5D746D5-EA4E-0C85-87B9-B9EE4579B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101600</xdr:rowOff>
    </xdr:from>
    <xdr:to>
      <xdr:col>18</xdr:col>
      <xdr:colOff>660400</xdr:colOff>
      <xdr:row>41</xdr:row>
      <xdr:rowOff>0</xdr:rowOff>
    </xdr:to>
    <xdr:pic>
      <xdr:nvPicPr>
        <xdr:cNvPr id="2" name="Picture 1" descr="Picture 1, Picture">
          <a:extLst>
            <a:ext uri="{FF2B5EF4-FFF2-40B4-BE49-F238E27FC236}">
              <a16:creationId xmlns:a16="http://schemas.microsoft.com/office/drawing/2014/main" id="{6E5A022F-34C0-8737-BED9-785191FC2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01600"/>
          <a:ext cx="15367000" cy="822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812800</xdr:colOff>
      <xdr:row>1</xdr:row>
      <xdr:rowOff>0</xdr:rowOff>
    </xdr:from>
    <xdr:to>
      <xdr:col>24</xdr:col>
      <xdr:colOff>342900</xdr:colOff>
      <xdr:row>15</xdr:row>
      <xdr:rowOff>152400</xdr:rowOff>
    </xdr:to>
    <xdr:pic>
      <xdr:nvPicPr>
        <xdr:cNvPr id="3" name="Picture 2" descr="Picture 2, Picture">
          <a:extLst>
            <a:ext uri="{FF2B5EF4-FFF2-40B4-BE49-F238E27FC236}">
              <a16:creationId xmlns:a16="http://schemas.microsoft.com/office/drawing/2014/main" id="{9D246516-F63E-6743-4FB8-EE6C05137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71800" y="203200"/>
          <a:ext cx="4483100" cy="299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</xdr:row>
      <xdr:rowOff>0</xdr:rowOff>
    </xdr:from>
    <xdr:to>
      <xdr:col>24</xdr:col>
      <xdr:colOff>342900</xdr:colOff>
      <xdr:row>32</xdr:row>
      <xdr:rowOff>190500</xdr:rowOff>
    </xdr:to>
    <xdr:pic>
      <xdr:nvPicPr>
        <xdr:cNvPr id="4" name="Picture 3" descr="Picture 3, Picture">
          <a:extLst>
            <a:ext uri="{FF2B5EF4-FFF2-40B4-BE49-F238E27FC236}">
              <a16:creationId xmlns:a16="http://schemas.microsoft.com/office/drawing/2014/main" id="{3482028C-FB42-0620-A31C-BC98D3BC6E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4500" y="3454400"/>
          <a:ext cx="4470400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</xdr:row>
      <xdr:rowOff>0</xdr:rowOff>
    </xdr:from>
    <xdr:to>
      <xdr:col>24</xdr:col>
      <xdr:colOff>431800</xdr:colOff>
      <xdr:row>49</xdr:row>
      <xdr:rowOff>190500</xdr:rowOff>
    </xdr:to>
    <xdr:pic>
      <xdr:nvPicPr>
        <xdr:cNvPr id="5" name="Picture 4" descr="Picture 4, Picture">
          <a:extLst>
            <a:ext uri="{FF2B5EF4-FFF2-40B4-BE49-F238E27FC236}">
              <a16:creationId xmlns:a16="http://schemas.microsoft.com/office/drawing/2014/main" id="{F9A9CBA4-1955-5986-BE4F-8B2015E70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4500" y="6908800"/>
          <a:ext cx="4559300" cy="3238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203200</xdr:colOff>
      <xdr:row>41</xdr:row>
      <xdr:rowOff>127000</xdr:rowOff>
    </xdr:from>
    <xdr:to>
      <xdr:col>5</xdr:col>
      <xdr:colOff>571500</xdr:colOff>
      <xdr:row>57</xdr:row>
      <xdr:rowOff>76200</xdr:rowOff>
    </xdr:to>
    <xdr:pic>
      <xdr:nvPicPr>
        <xdr:cNvPr id="6" name="Picture 5" descr="Picture 5, Picture">
          <a:extLst>
            <a:ext uri="{FF2B5EF4-FFF2-40B4-BE49-F238E27FC236}">
              <a16:creationId xmlns:a16="http://schemas.microsoft.com/office/drawing/2014/main" id="{6DC8C8B9-9932-039C-F1BD-9A242097A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8458200"/>
          <a:ext cx="4495800" cy="3200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11</xdr:col>
      <xdr:colOff>419100</xdr:colOff>
      <xdr:row>57</xdr:row>
      <xdr:rowOff>127000</xdr:rowOff>
    </xdr:to>
    <xdr:pic>
      <xdr:nvPicPr>
        <xdr:cNvPr id="7" name="Picture 6" descr="Picture 6, Picture">
          <a:extLst>
            <a:ext uri="{FF2B5EF4-FFF2-40B4-BE49-F238E27FC236}">
              <a16:creationId xmlns:a16="http://schemas.microsoft.com/office/drawing/2014/main" id="{E97DFC12-5478-EF9D-703F-884C17FF46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8534400"/>
          <a:ext cx="4546600" cy="317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42758A-400B-2642-A502-DB358BD1D63B}" name="Table1" displayName="Table1" ref="C12:G20" totalsRowShown="0">
  <autoFilter ref="C12:G20" xr:uid="{0942758A-400B-2642-A502-DB358BD1D63B}"/>
  <tableColumns count="5">
    <tableColumn id="1" xr3:uid="{3BB88033-1998-DA43-9305-63CF5D200682}" name="TWO EM MIX" dataDxfId="9"/>
    <tableColumn id="2" xr3:uid="{E32A0248-BCDC-BF46-8B94-7005E22734A0}" name="EM 1 ACTIVE" dataDxfId="8">
      <calculatedColumnFormula>Table1[[#This Row],[EM 1 ALT2]]</calculatedColumnFormula>
    </tableColumn>
    <tableColumn id="4" xr3:uid="{96D46C88-B7DF-CD4B-8721-5F5C1FC979EC}" name="EM 1 ALT" dataDxfId="7"/>
    <tableColumn id="5" xr3:uid="{151C328B-3CF6-9C4A-8C7E-414ACF4EDF67}" name="EM 1 ALT2" dataDxfId="6"/>
    <tableColumn id="3" xr3:uid="{C0B79D68-4C92-D546-BC6F-892BA1917241}" name="EM 2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07D770-A2D1-CE4C-98B5-1A267E54F014}" name="Table13" displayName="Table13" ref="C12:G20" totalsRowShown="0">
  <autoFilter ref="C12:G20" xr:uid="{0942758A-400B-2642-A502-DB358BD1D63B}"/>
  <tableColumns count="5">
    <tableColumn id="1" xr3:uid="{BB47674A-5F61-034F-AD44-2E17AB20FA7D}" name="TWO EM MIX" dataDxfId="4"/>
    <tableColumn id="2" xr3:uid="{87FA2209-3255-024B-8EA4-57E051BD6176}" name="EM 1 ACTIVE" dataDxfId="3">
      <calculatedColumnFormula>Table13[[#This Row],[EM 1 ALT2]]</calculatedColumnFormula>
    </tableColumn>
    <tableColumn id="4" xr3:uid="{23C0E314-550B-064A-B32F-3857819EDA1F}" name="EM 1 ALT" dataDxfId="2"/>
    <tableColumn id="5" xr3:uid="{6744D168-A947-0E42-90F0-859966762E13}" name="EM 1 ALT2" dataDxfId="1"/>
    <tableColumn id="3" xr3:uid="{9569FB6D-2854-8C4D-90DF-1F5482170072}" name="EM 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2187-0155-324C-9A3D-ADAB765B99F7}">
  <sheetPr>
    <tabColor theme="9"/>
  </sheetPr>
  <dimension ref="A1:DC67"/>
  <sheetViews>
    <sheetView zoomScale="80" zoomScaleNormal="80" workbookViewId="0">
      <pane xSplit="17360" ySplit="44800" topLeftCell="AX34"/>
      <selection activeCell="E48" sqref="E48"/>
      <selection pane="topRight" activeCell="BC63" sqref="BC63"/>
      <selection pane="bottomLeft" activeCell="AX47" sqref="AX47"/>
      <selection pane="bottomRight" activeCell="AC50" sqref="AC50"/>
    </sheetView>
  </sheetViews>
  <sheetFormatPr baseColWidth="10" defaultColWidth="11" defaultRowHeight="16" x14ac:dyDescent="0.2"/>
  <cols>
    <col min="1" max="1" width="15.33203125" customWidth="1"/>
    <col min="2" max="2" width="11.6640625" customWidth="1"/>
    <col min="3" max="3" width="17.83203125" bestFit="1" customWidth="1"/>
    <col min="4" max="4" width="14.6640625" bestFit="1" customWidth="1"/>
    <col min="5" max="5" width="12.1640625" bestFit="1" customWidth="1"/>
    <col min="6" max="6" width="12.1640625" customWidth="1"/>
    <col min="7" max="7" width="13" bestFit="1" customWidth="1"/>
    <col min="8" max="8" width="11.6640625" style="4" bestFit="1" customWidth="1"/>
    <col min="9" max="10" width="12.83203125" style="4" bestFit="1" customWidth="1"/>
    <col min="11" max="11" width="11.5" style="4" bestFit="1" customWidth="1"/>
    <col min="12" max="13" width="9.6640625" style="4" bestFit="1" customWidth="1"/>
    <col min="14" max="14" width="9.6640625" style="4" customWidth="1"/>
    <col min="15" max="20" width="10.5" style="4" customWidth="1"/>
    <col min="21" max="21" width="11.1640625" style="4" customWidth="1"/>
    <col min="22" max="22" width="4.6640625" style="4" customWidth="1"/>
    <col min="23" max="23" width="14" bestFit="1" customWidth="1"/>
    <col min="24" max="24" width="14" customWidth="1"/>
    <col min="54" max="54" width="19.33203125" bestFit="1" customWidth="1"/>
    <col min="55" max="55" width="17.83203125" customWidth="1"/>
    <col min="56" max="56" width="17.5" bestFit="1" customWidth="1"/>
    <col min="57" max="57" width="20.83203125" bestFit="1" customWidth="1"/>
    <col min="58" max="58" width="18.1640625" bestFit="1" customWidth="1"/>
    <col min="59" max="61" width="9.33203125" customWidth="1"/>
    <col min="62" max="64" width="9.33203125" bestFit="1" customWidth="1"/>
    <col min="65" max="65" width="9" bestFit="1" customWidth="1"/>
    <col min="66" max="66" width="19.83203125" bestFit="1" customWidth="1"/>
    <col min="70" max="70" width="14" bestFit="1" customWidth="1"/>
    <col min="75" max="75" width="5.33203125" customWidth="1"/>
    <col min="76" max="76" width="15.6640625" bestFit="1" customWidth="1"/>
    <col min="77" max="77" width="16.33203125" bestFit="1" customWidth="1"/>
    <col min="78" max="79" width="8" bestFit="1" customWidth="1"/>
    <col min="80" max="83" width="10.83203125" customWidth="1"/>
    <col min="100" max="100" width="16.33203125" bestFit="1" customWidth="1"/>
  </cols>
  <sheetData>
    <row r="1" spans="2:107" ht="21" x14ac:dyDescent="0.25">
      <c r="B1" s="114"/>
      <c r="C1" s="114"/>
      <c r="D1" s="114"/>
      <c r="E1" s="114"/>
      <c r="F1" s="114"/>
      <c r="G1" s="114"/>
    </row>
    <row r="2" spans="2:107" ht="21" x14ac:dyDescent="0.25">
      <c r="B2" s="115" t="s">
        <v>0</v>
      </c>
      <c r="C2" s="114"/>
      <c r="D2" s="114"/>
      <c r="E2" s="114"/>
      <c r="F2" s="114"/>
      <c r="G2" s="114"/>
      <c r="BC2" s="57" t="s">
        <v>1</v>
      </c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</row>
    <row r="3" spans="2:107" ht="21" x14ac:dyDescent="0.25">
      <c r="B3" s="115"/>
      <c r="C3" s="114"/>
      <c r="D3" s="114"/>
      <c r="E3" s="114"/>
      <c r="F3" s="114"/>
      <c r="G3" s="114"/>
      <c r="BC3" t="s">
        <v>2</v>
      </c>
      <c r="BN3" s="79" t="s">
        <v>10</v>
      </c>
      <c r="BO3" s="105">
        <v>1</v>
      </c>
      <c r="BP3" t="s">
        <v>11</v>
      </c>
      <c r="BT3" s="59" t="s">
        <v>3</v>
      </c>
    </row>
    <row r="4" spans="2:107" x14ac:dyDescent="0.2">
      <c r="B4" s="1"/>
      <c r="BC4" s="1" t="s">
        <v>4</v>
      </c>
      <c r="BD4" s="4" t="s">
        <v>5</v>
      </c>
      <c r="BE4" t="s">
        <v>6</v>
      </c>
      <c r="BF4" s="4"/>
      <c r="BG4" s="4"/>
      <c r="BH4" s="4"/>
      <c r="BI4" s="4"/>
      <c r="BJ4" s="4"/>
      <c r="BK4" s="4"/>
      <c r="BL4" s="4"/>
      <c r="BM4" s="4"/>
      <c r="BN4" s="79" t="s">
        <v>18</v>
      </c>
      <c r="BO4" s="105">
        <v>1</v>
      </c>
      <c r="BP4" t="s">
        <v>11</v>
      </c>
      <c r="BR4" s="68"/>
      <c r="BS4" s="72" t="s">
        <v>7</v>
      </c>
      <c r="BT4" t="s">
        <v>8</v>
      </c>
      <c r="BY4" t="s">
        <v>350</v>
      </c>
    </row>
    <row r="5" spans="2:107" x14ac:dyDescent="0.2">
      <c r="B5" s="1"/>
      <c r="BC5" s="1"/>
      <c r="BD5" s="4"/>
      <c r="BF5" s="4"/>
      <c r="BG5" s="4"/>
      <c r="BH5" s="4"/>
      <c r="BI5" s="4"/>
      <c r="BJ5" s="4"/>
      <c r="BK5" s="4"/>
      <c r="BL5" s="4"/>
      <c r="BM5" s="4"/>
      <c r="BN5" s="4"/>
      <c r="BT5" t="s">
        <v>9</v>
      </c>
      <c r="BX5" s="63" t="s">
        <v>348</v>
      </c>
      <c r="BY5" t="s">
        <v>344</v>
      </c>
    </row>
    <row r="6" spans="2:107" x14ac:dyDescent="0.2">
      <c r="B6" s="1"/>
      <c r="BC6" s="79" t="s">
        <v>10</v>
      </c>
      <c r="BD6" s="185">
        <f>BO3</f>
        <v>1</v>
      </c>
      <c r="BE6" t="s">
        <v>11</v>
      </c>
      <c r="BF6" s="4"/>
      <c r="BG6" s="4"/>
      <c r="BH6" s="4"/>
      <c r="BI6" s="4"/>
      <c r="BJ6" s="4"/>
      <c r="BK6" s="4"/>
      <c r="BL6" s="4"/>
      <c r="BM6" s="4"/>
      <c r="BN6" s="4"/>
      <c r="BO6" s="4" t="s">
        <v>343</v>
      </c>
      <c r="BP6" s="4" t="s">
        <v>12</v>
      </c>
      <c r="BQ6" s="4" t="s">
        <v>343</v>
      </c>
      <c r="BR6" s="4" t="s">
        <v>13</v>
      </c>
      <c r="BS6" s="4" t="s">
        <v>14</v>
      </c>
      <c r="BT6" s="4" t="s">
        <v>15</v>
      </c>
      <c r="BU6" s="4" t="s">
        <v>16</v>
      </c>
      <c r="BV6" s="4" t="s">
        <v>17</v>
      </c>
      <c r="BY6" s="83" t="s">
        <v>345</v>
      </c>
    </row>
    <row r="7" spans="2:107" x14ac:dyDescent="0.2">
      <c r="B7" s="1"/>
      <c r="BC7" s="79" t="s">
        <v>18</v>
      </c>
      <c r="BD7" s="185">
        <f>BO4</f>
        <v>1</v>
      </c>
      <c r="BE7" t="s">
        <v>11</v>
      </c>
      <c r="BF7" s="59"/>
      <c r="BG7" s="59"/>
      <c r="BH7" s="59"/>
      <c r="BI7" s="59"/>
      <c r="BJ7" s="59"/>
      <c r="BK7" s="59"/>
      <c r="BL7" s="59"/>
      <c r="BM7" s="59"/>
      <c r="BN7" s="62" t="s">
        <v>481</v>
      </c>
      <c r="BO7" s="61" t="s">
        <v>5</v>
      </c>
      <c r="BP7" s="61">
        <f>O9+2*15.999+2*1.0079</f>
        <v>58.318799999999996</v>
      </c>
      <c r="BQ7" s="61" t="s">
        <v>5</v>
      </c>
      <c r="BR7" s="61">
        <f>Q9+12.011+3*15.999</f>
        <v>100.086</v>
      </c>
      <c r="BS7" s="61">
        <f>R9+2*15.999</f>
        <v>60.084000000000003</v>
      </c>
      <c r="BT7" s="61">
        <f>1*S9+2*15.999+1.0079</f>
        <v>59.987900000000003</v>
      </c>
      <c r="BU7" s="61">
        <f>1*T9+2*15.999+1.0079</f>
        <v>88.85090000000001</v>
      </c>
      <c r="BV7" s="61">
        <f>2*15.999+47.87</f>
        <v>79.867999999999995</v>
      </c>
      <c r="BY7" t="s">
        <v>346</v>
      </c>
    </row>
    <row r="8" spans="2:107" x14ac:dyDescent="0.2">
      <c r="B8" s="1"/>
      <c r="BE8" s="59"/>
      <c r="BF8" s="59"/>
      <c r="BG8" s="59"/>
      <c r="BH8" s="59"/>
      <c r="BI8" s="59"/>
      <c r="BJ8" s="59"/>
      <c r="BK8" s="59"/>
      <c r="BL8" s="59"/>
      <c r="BM8" s="59"/>
      <c r="BN8" s="62" t="s">
        <v>19</v>
      </c>
      <c r="BO8" s="61">
        <v>1</v>
      </c>
      <c r="BP8" s="61">
        <v>1</v>
      </c>
      <c r="BQ8" s="61">
        <v>1</v>
      </c>
      <c r="BR8" s="61">
        <v>1</v>
      </c>
      <c r="BS8" s="61">
        <v>1</v>
      </c>
      <c r="BT8" s="61">
        <v>1</v>
      </c>
      <c r="BU8" s="61">
        <v>1</v>
      </c>
      <c r="BV8" s="61">
        <v>1</v>
      </c>
      <c r="BY8" t="s">
        <v>347</v>
      </c>
    </row>
    <row r="9" spans="2:107" x14ac:dyDescent="0.2">
      <c r="B9" s="1"/>
      <c r="D9" s="5" t="s">
        <v>20</v>
      </c>
      <c r="E9" s="5"/>
      <c r="F9" s="5"/>
      <c r="G9" s="5" t="s">
        <v>21</v>
      </c>
      <c r="K9" s="47" t="s">
        <v>22</v>
      </c>
      <c r="N9" s="5">
        <v>22.99</v>
      </c>
      <c r="O9" s="5">
        <v>24.305</v>
      </c>
      <c r="P9" s="5">
        <v>39.097999999999999</v>
      </c>
      <c r="Q9" s="5">
        <v>40.078000000000003</v>
      </c>
      <c r="R9" s="5">
        <v>28.085999999999999</v>
      </c>
      <c r="S9" s="5">
        <v>26.981999999999999</v>
      </c>
      <c r="T9" s="5">
        <v>55.844999999999999</v>
      </c>
      <c r="U9" s="49">
        <v>47.87</v>
      </c>
      <c r="V9" s="5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E9" s="64"/>
      <c r="BF9" s="64"/>
      <c r="BG9" s="64"/>
      <c r="BH9" s="64"/>
      <c r="BI9" s="64"/>
      <c r="BJ9" s="64"/>
      <c r="BK9" s="64"/>
      <c r="BL9" s="64"/>
      <c r="BM9" s="64"/>
      <c r="BN9" s="62" t="s">
        <v>23</v>
      </c>
      <c r="BO9" s="61">
        <v>0</v>
      </c>
      <c r="BP9" s="61">
        <v>0</v>
      </c>
      <c r="BQ9" s="61">
        <v>0</v>
      </c>
      <c r="BR9" s="61">
        <v>0</v>
      </c>
      <c r="BS9" s="61">
        <v>0</v>
      </c>
      <c r="BT9" s="61">
        <v>0</v>
      </c>
      <c r="BU9" s="61">
        <v>0</v>
      </c>
      <c r="BV9" s="61">
        <v>0</v>
      </c>
      <c r="BW9" s="59"/>
      <c r="BY9" s="68" t="s">
        <v>349</v>
      </c>
      <c r="BZ9" s="68"/>
      <c r="CA9" s="68"/>
      <c r="CB9" s="68"/>
      <c r="CC9" s="68"/>
      <c r="CD9" s="68"/>
    </row>
    <row r="10" spans="2:107" x14ac:dyDescent="0.2">
      <c r="D10" s="6" t="s">
        <v>24</v>
      </c>
      <c r="E10" s="6"/>
      <c r="F10" s="6"/>
      <c r="G10" s="6" t="s">
        <v>24</v>
      </c>
      <c r="J10" s="4" t="s">
        <v>25</v>
      </c>
      <c r="L10" s="231" t="s">
        <v>26</v>
      </c>
      <c r="M10" s="231"/>
      <c r="N10" s="52"/>
      <c r="O10" s="230" t="s">
        <v>27</v>
      </c>
      <c r="P10" s="230"/>
      <c r="Q10" s="230"/>
      <c r="R10" s="230"/>
      <c r="S10" s="230"/>
      <c r="T10" s="230"/>
      <c r="U10" s="230"/>
      <c r="V10" s="106"/>
      <c r="W10" s="51" t="s">
        <v>28</v>
      </c>
      <c r="X10" s="230" t="s">
        <v>27</v>
      </c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  <c r="AZ10" s="209"/>
      <c r="BA10" s="209"/>
      <c r="BB10" s="107"/>
      <c r="BC10" s="51" t="s">
        <v>29</v>
      </c>
      <c r="BD10" s="51"/>
      <c r="BE10" s="51"/>
      <c r="BF10" s="234" t="s">
        <v>472</v>
      </c>
      <c r="BG10" s="234"/>
      <c r="BH10" s="234"/>
      <c r="BI10" s="234"/>
      <c r="BJ10" s="234"/>
      <c r="BK10" s="234"/>
      <c r="BL10" s="234"/>
      <c r="BM10" s="234"/>
      <c r="BN10" s="51"/>
      <c r="BO10" s="232" t="s">
        <v>30</v>
      </c>
      <c r="BP10" s="232"/>
      <c r="BQ10" s="232"/>
      <c r="BR10" s="232"/>
      <c r="BS10" s="232"/>
      <c r="BT10" s="232"/>
      <c r="BU10" s="232"/>
      <c r="BV10" s="232"/>
      <c r="BW10" s="53"/>
      <c r="BX10" s="51" t="s">
        <v>28</v>
      </c>
      <c r="BY10" s="230" t="s">
        <v>30</v>
      </c>
      <c r="BZ10" s="230"/>
      <c r="CA10" s="230"/>
      <c r="CB10" s="230"/>
      <c r="CC10" s="230"/>
      <c r="CD10" s="230"/>
      <c r="CE10" s="230"/>
      <c r="CV10" s="51" t="s">
        <v>28</v>
      </c>
      <c r="CW10" s="230" t="s">
        <v>30</v>
      </c>
      <c r="CX10" s="230"/>
      <c r="CY10" s="230"/>
      <c r="CZ10" s="230"/>
      <c r="DA10" s="230"/>
      <c r="DB10" s="230"/>
      <c r="DC10" s="230"/>
    </row>
    <row r="11" spans="2:107" x14ac:dyDescent="0.2">
      <c r="D11" s="4" t="s">
        <v>31</v>
      </c>
      <c r="E11" s="4" t="s">
        <v>491</v>
      </c>
      <c r="F11" s="4" t="s">
        <v>495</v>
      </c>
      <c r="G11" s="4" t="s">
        <v>32</v>
      </c>
      <c r="I11" s="4" t="s">
        <v>33</v>
      </c>
      <c r="J11" s="4" t="s">
        <v>34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106"/>
      <c r="W11" s="107"/>
      <c r="X11" s="106" t="s">
        <v>36</v>
      </c>
      <c r="Y11" s="106" t="s">
        <v>36</v>
      </c>
      <c r="Z11" s="106" t="s">
        <v>36</v>
      </c>
      <c r="AA11" s="106" t="s">
        <v>36</v>
      </c>
      <c r="AB11" s="106" t="s">
        <v>36</v>
      </c>
      <c r="AC11" s="106" t="s">
        <v>36</v>
      </c>
      <c r="AD11" s="106" t="s">
        <v>36</v>
      </c>
      <c r="AE11" s="106" t="s">
        <v>36</v>
      </c>
      <c r="AF11" s="106" t="s">
        <v>36</v>
      </c>
      <c r="AG11" s="106" t="s">
        <v>36</v>
      </c>
      <c r="AH11" s="106" t="s">
        <v>36</v>
      </c>
      <c r="AI11" s="106" t="s">
        <v>36</v>
      </c>
      <c r="AJ11" s="106" t="s">
        <v>36</v>
      </c>
      <c r="AK11" s="106" t="s">
        <v>36</v>
      </c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4" t="s">
        <v>11</v>
      </c>
      <c r="BD11" s="4" t="s">
        <v>11</v>
      </c>
      <c r="BE11" s="4" t="s">
        <v>11</v>
      </c>
      <c r="BF11" s="4" t="s">
        <v>11</v>
      </c>
      <c r="BG11" s="4" t="s">
        <v>11</v>
      </c>
      <c r="BH11" s="4"/>
      <c r="BI11" s="4"/>
      <c r="BJ11" s="4" t="s">
        <v>11</v>
      </c>
      <c r="BK11" s="4" t="s">
        <v>11</v>
      </c>
      <c r="BL11" s="4" t="s">
        <v>11</v>
      </c>
      <c r="BM11" s="4" t="s">
        <v>11</v>
      </c>
      <c r="BN11" s="4" t="s">
        <v>11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107"/>
      <c r="BX11" s="107"/>
      <c r="BY11" s="106" t="s">
        <v>36</v>
      </c>
      <c r="BZ11" s="106" t="s">
        <v>36</v>
      </c>
      <c r="CA11" s="106" t="s">
        <v>36</v>
      </c>
      <c r="CB11" s="106" t="s">
        <v>36</v>
      </c>
      <c r="CC11" s="106" t="s">
        <v>36</v>
      </c>
      <c r="CD11" s="106" t="s">
        <v>36</v>
      </c>
      <c r="CE11" s="106" t="s">
        <v>36</v>
      </c>
      <c r="CV11" s="107"/>
      <c r="CW11" s="106" t="s">
        <v>36</v>
      </c>
      <c r="CX11" s="106" t="s">
        <v>36</v>
      </c>
      <c r="CY11" s="106" t="s">
        <v>36</v>
      </c>
      <c r="CZ11" s="106" t="s">
        <v>36</v>
      </c>
      <c r="DA11" s="106" t="s">
        <v>36</v>
      </c>
      <c r="DB11" s="106" t="s">
        <v>36</v>
      </c>
      <c r="DC11" s="106" t="s">
        <v>36</v>
      </c>
    </row>
    <row r="12" spans="2:107" x14ac:dyDescent="0.2">
      <c r="C12" s="189" t="s">
        <v>441</v>
      </c>
      <c r="D12" s="6" t="s">
        <v>493</v>
      </c>
      <c r="E12" s="6" t="s">
        <v>492</v>
      </c>
      <c r="F12" s="6" t="s">
        <v>494</v>
      </c>
      <c r="G12" s="6" t="s">
        <v>37</v>
      </c>
      <c r="H12" s="3"/>
      <c r="I12" s="60" t="s">
        <v>38</v>
      </c>
      <c r="J12" s="60" t="s">
        <v>39</v>
      </c>
      <c r="K12" s="3" t="s">
        <v>40</v>
      </c>
      <c r="L12" s="3" t="s">
        <v>41</v>
      </c>
      <c r="M12" s="3" t="s">
        <v>42</v>
      </c>
      <c r="N12" s="3" t="s">
        <v>43</v>
      </c>
      <c r="O12" s="3" t="s">
        <v>44</v>
      </c>
      <c r="P12" s="3" t="s">
        <v>45</v>
      </c>
      <c r="Q12" s="3" t="s">
        <v>46</v>
      </c>
      <c r="R12" s="3" t="s">
        <v>47</v>
      </c>
      <c r="S12" s="3" t="s">
        <v>48</v>
      </c>
      <c r="T12" s="3" t="s">
        <v>49</v>
      </c>
      <c r="U12" s="3" t="s">
        <v>50</v>
      </c>
      <c r="V12" s="50"/>
      <c r="W12" s="107"/>
      <c r="X12" s="3" t="s">
        <v>51</v>
      </c>
      <c r="Y12" s="3" t="s">
        <v>52</v>
      </c>
      <c r="Z12" s="3" t="s">
        <v>53</v>
      </c>
      <c r="AA12" s="3" t="s">
        <v>54</v>
      </c>
      <c r="AB12" s="3" t="s">
        <v>55</v>
      </c>
      <c r="AC12" s="3" t="s">
        <v>56</v>
      </c>
      <c r="AD12" s="3" t="s">
        <v>57</v>
      </c>
      <c r="AE12" s="181" t="s">
        <v>418</v>
      </c>
      <c r="AF12" s="181" t="s">
        <v>419</v>
      </c>
      <c r="AG12" s="181" t="s">
        <v>420</v>
      </c>
      <c r="AH12" s="181" t="s">
        <v>424</v>
      </c>
      <c r="AI12" s="181" t="s">
        <v>421</v>
      </c>
      <c r="AJ12" s="181" t="s">
        <v>422</v>
      </c>
      <c r="AK12" s="181" t="s">
        <v>423</v>
      </c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  <c r="BA12" s="209"/>
      <c r="BB12" s="50"/>
      <c r="BC12" s="60" t="s">
        <v>58</v>
      </c>
      <c r="BD12" s="60" t="s">
        <v>59</v>
      </c>
      <c r="BE12" s="60" t="s">
        <v>60</v>
      </c>
      <c r="BF12" s="60" t="s">
        <v>63</v>
      </c>
      <c r="BG12" s="60" t="s">
        <v>65</v>
      </c>
      <c r="BH12" s="60"/>
      <c r="BI12" s="60"/>
      <c r="BJ12" s="60" t="s">
        <v>66</v>
      </c>
      <c r="BK12" s="60" t="s">
        <v>67</v>
      </c>
      <c r="BL12" s="60" t="s">
        <v>68</v>
      </c>
      <c r="BM12" s="60" t="s">
        <v>69</v>
      </c>
      <c r="BN12" s="60" t="s">
        <v>61</v>
      </c>
      <c r="BO12" s="3" t="s">
        <v>62</v>
      </c>
      <c r="BP12" s="3" t="s">
        <v>63</v>
      </c>
      <c r="BQ12" s="3" t="s">
        <v>64</v>
      </c>
      <c r="BR12" s="3" t="s">
        <v>65</v>
      </c>
      <c r="BS12" s="3" t="s">
        <v>66</v>
      </c>
      <c r="BT12" s="3" t="s">
        <v>67</v>
      </c>
      <c r="BU12" s="3" t="s">
        <v>68</v>
      </c>
      <c r="BV12" s="3" t="s">
        <v>69</v>
      </c>
      <c r="BW12" s="107"/>
      <c r="BX12" s="107"/>
      <c r="BY12" s="3" t="s">
        <v>51</v>
      </c>
      <c r="BZ12" s="3" t="s">
        <v>52</v>
      </c>
      <c r="CA12" s="3" t="s">
        <v>53</v>
      </c>
      <c r="CB12" s="3" t="s">
        <v>54</v>
      </c>
      <c r="CC12" s="3" t="s">
        <v>55</v>
      </c>
      <c r="CD12" s="3" t="s">
        <v>56</v>
      </c>
      <c r="CE12" s="3" t="s">
        <v>57</v>
      </c>
      <c r="CV12" s="107"/>
      <c r="CW12" s="3" t="s">
        <v>418</v>
      </c>
      <c r="CX12" s="3" t="s">
        <v>419</v>
      </c>
      <c r="CY12" s="3" t="s">
        <v>420</v>
      </c>
      <c r="CZ12" s="3" t="s">
        <v>54</v>
      </c>
      <c r="DA12" s="3" t="s">
        <v>421</v>
      </c>
      <c r="DB12" s="3" t="s">
        <v>422</v>
      </c>
      <c r="DC12" s="3" t="s">
        <v>423</v>
      </c>
    </row>
    <row r="13" spans="2:107" x14ac:dyDescent="0.2">
      <c r="B13" s="2" t="s">
        <v>35</v>
      </c>
      <c r="C13" s="73" t="s">
        <v>63</v>
      </c>
      <c r="D13" s="7">
        <f>Table1[[#This Row],[EM 1 ALT2]]</f>
        <v>3.6604278940000001</v>
      </c>
      <c r="E13" s="7">
        <v>4.9811259428344581</v>
      </c>
      <c r="F13" s="7">
        <v>3.6604278940000001</v>
      </c>
      <c r="G13" s="7">
        <v>0.11</v>
      </c>
      <c r="I13" s="54">
        <v>1</v>
      </c>
      <c r="J13" s="55">
        <f>$I$13-I13</f>
        <v>0</v>
      </c>
      <c r="K13" s="8">
        <f>J13+I13</f>
        <v>1</v>
      </c>
      <c r="L13" s="8">
        <v>1</v>
      </c>
      <c r="M13" s="8">
        <f>1-L13</f>
        <v>0</v>
      </c>
      <c r="N13" s="7">
        <f>(($D$19/100)*$I13+($G$19/100*$J13))/$K13*100</f>
        <v>2.7077732910000001</v>
      </c>
      <c r="O13" s="7">
        <f>(($D$13/100)*$I13+($G$13/100*$J13))/$K13*100</f>
        <v>3.6604278939999997</v>
      </c>
      <c r="P13" s="7">
        <f>(($D$20/100)*$I13+($G$20/100*$J13))/$K13*100</f>
        <v>0.65578889600000001</v>
      </c>
      <c r="Q13" s="7">
        <f>(($D$14/100)*$I13+($G$14/100*$J13))/$K13*100</f>
        <v>10.07713981</v>
      </c>
      <c r="R13" s="7">
        <f>(($D$15/100)*$I13+($G$15/100*$J13))/$K13*100</f>
        <v>21.10389953</v>
      </c>
      <c r="S13" s="7">
        <f>(($D$16/100)*$I13+($G$16/100*$J13))/$K13*100</f>
        <v>8.6798077679999999</v>
      </c>
      <c r="T13" s="7">
        <f>(($D$17/100)*$I13+($G$17/100*$J13))/$K13*100</f>
        <v>5.9381225410000003</v>
      </c>
      <c r="U13" s="7">
        <f>(($D$18/100)*$I13+($G$18/100*$J13))/$K13*100</f>
        <v>0.55738749899999995</v>
      </c>
      <c r="V13" s="106"/>
      <c r="W13" s="108" t="s">
        <v>70</v>
      </c>
      <c r="X13" s="109">
        <f>(N13/100/$N$9)/($U13/100/$U$9)</f>
        <v>10.115317806557586</v>
      </c>
      <c r="Y13" s="109">
        <f>(O13/100/$O$9)/($U13/100/$U$9)</f>
        <v>12.934285235590384</v>
      </c>
      <c r="Z13" s="109">
        <f>(P13/100/$P$9)/($U13/100/$U$9)</f>
        <v>1.4405081502203125</v>
      </c>
      <c r="AA13" s="109">
        <f>(Q13/100/$Q$9)/($U13/100/$U$9)</f>
        <v>21.594216257336697</v>
      </c>
      <c r="AB13" s="109">
        <f>(R13/100/$R$9)/($U13/100/$U$9)</f>
        <v>64.532579102202547</v>
      </c>
      <c r="AC13" s="109">
        <f>(S13/100/$S$9)/($U13/100/$U$9)</f>
        <v>27.62753719540477</v>
      </c>
      <c r="AD13" s="109">
        <f>(T13/100/$T$9)/($U13/100/$U$9)</f>
        <v>9.1321085175349861</v>
      </c>
      <c r="AE13" s="109">
        <f>X13/$AB13</f>
        <v>0.15674745914831015</v>
      </c>
      <c r="AF13" s="109">
        <f t="shared" ref="AF13:AK28" si="0">Y13/$AB13</f>
        <v>0.20043031621447974</v>
      </c>
      <c r="AG13" s="110">
        <f t="shared" si="0"/>
        <v>2.2322184705169282E-2</v>
      </c>
      <c r="AH13" s="109">
        <f t="shared" si="0"/>
        <v>0.33462503060875914</v>
      </c>
      <c r="AI13" s="109">
        <f t="shared" si="0"/>
        <v>1</v>
      </c>
      <c r="AJ13" s="109">
        <f t="shared" si="0"/>
        <v>0.42811766676255186</v>
      </c>
      <c r="AK13" s="109">
        <f t="shared" si="0"/>
        <v>0.14151159994817719</v>
      </c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63" t="s">
        <v>71</v>
      </c>
      <c r="BC13" s="109">
        <v>0</v>
      </c>
      <c r="BD13" s="109">
        <f>$BD$6-BC13</f>
        <v>1</v>
      </c>
      <c r="BE13" s="76">
        <f t="shared" ref="BE13:BE33" si="1">$BD$7</f>
        <v>1</v>
      </c>
      <c r="BF13" s="186">
        <f>$BC13*$D$13/100*BP$9/O$9/BP$8*BP$7</f>
        <v>0</v>
      </c>
      <c r="BG13" s="186">
        <f t="shared" ref="BG13:BG33" si="2">$BC13*$D$14/100*BR$9/Q$9/BR$8*BR$7</f>
        <v>0</v>
      </c>
      <c r="BH13" s="186"/>
      <c r="BI13" s="186"/>
      <c r="BJ13" s="186">
        <f>$BC13*$D$15/100*BS$9/R$9/BS$8*BS$7</f>
        <v>0</v>
      </c>
      <c r="BK13" s="186">
        <f t="shared" ref="BK13:BK33" si="3">$BC13*$D$16/100*BT$9/S$9/BT$8*BT$7</f>
        <v>0</v>
      </c>
      <c r="BL13" s="186">
        <f>$BC13*$D$17/100*BU$9/T$9/BU$8*BU$7</f>
        <v>0</v>
      </c>
      <c r="BM13" s="186">
        <f t="shared" ref="BM13:BM33" si="4">$BC13*$D$18/100*BV$9/U$9/BV$8*BV$7</f>
        <v>0</v>
      </c>
      <c r="BN13" s="187">
        <f>BE13+BD13+SUM(BF13:BM13)</f>
        <v>2</v>
      </c>
      <c r="BO13" s="110">
        <f>((($BD$6*$D$19/100 + $BD$7*$G$19/100)-$BC13*$D$19/100*(1-BO$9))/$BN13)*100</f>
        <v>1.3786116454999999</v>
      </c>
      <c r="BP13" s="110">
        <f>((($BD$6*$D$13/100 + $BD$7*$G$13/100)-$BC13*$D$13/100*(1-BP$9))/$BN13)*100</f>
        <v>1.8852139469999998</v>
      </c>
      <c r="BQ13" s="110">
        <f>((($BD$6*$D$20 + $BD$7*$G$20)/100-$BC13*$D$20/100*(1-BQ$9))/$BN13)*100</f>
        <v>0.51769444799999997</v>
      </c>
      <c r="BR13" s="110">
        <f>((($BD$6*$D$14 + $BD$7*$G$14)/100-$BC13*$D$14/100*(1-BR$9))/$BN13)*100</f>
        <v>5.1235699050000001</v>
      </c>
      <c r="BS13" s="110">
        <f>((($BD$6*$D$15 + $BD$7*$G$15)/100-$BC13*$D$15/100*(1-BS$9))/$BN13)*100</f>
        <v>31.026949765000001</v>
      </c>
      <c r="BT13" s="110">
        <f>((($BD$6*$D$16 + $BD$7*$G$16)/100-$BC13*$D$16/100*(1-BT$9))/$BN13)*100</f>
        <v>5.1749038839999999</v>
      </c>
      <c r="BU13" s="110">
        <f>((($BD$6*$D$17 + $BD$7*$G$17)/100-$BC13*$D$17/100*(1-BU$9))/$BN13)*100</f>
        <v>3.3940612704999999</v>
      </c>
      <c r="BV13" s="110">
        <f>((($BD$6*$D$18 + $BD$7*$G$18)/100-$BC13*$D$18/100*(1-BV$9))/$BN13)*100</f>
        <v>0.33974134223846059</v>
      </c>
      <c r="BW13" s="107"/>
      <c r="BX13" s="63" t="s">
        <v>71</v>
      </c>
      <c r="BY13" s="54">
        <f t="shared" ref="BY13:CE13" si="5">(BO13/N$9/100)/($BV13/$U$9/100)</f>
        <v>8.4492468939286258</v>
      </c>
      <c r="BZ13" s="54">
        <f t="shared" si="5"/>
        <v>10.92899048547892</v>
      </c>
      <c r="CA13" s="54">
        <f t="shared" si="5"/>
        <v>1.8656664183525422</v>
      </c>
      <c r="CB13" s="54">
        <f t="shared" si="5"/>
        <v>18.012817723887522</v>
      </c>
      <c r="CC13" s="54">
        <f t="shared" si="5"/>
        <v>155.65541018730315</v>
      </c>
      <c r="CD13" s="54">
        <f t="shared" si="5"/>
        <v>27.023598458194083</v>
      </c>
      <c r="CE13" s="54">
        <f t="shared" si="5"/>
        <v>8.563482449815405</v>
      </c>
      <c r="CV13" s="63" t="s">
        <v>71</v>
      </c>
      <c r="CW13" s="54">
        <f t="shared" ref="CW13:DC13" si="6">BY13/$CC13</f>
        <v>5.428174249620675E-2</v>
      </c>
      <c r="CX13" s="54">
        <f t="shared" si="6"/>
        <v>7.0212724840902449E-2</v>
      </c>
      <c r="CY13" s="54">
        <f t="shared" si="6"/>
        <v>1.1985875827300509E-2</v>
      </c>
      <c r="CZ13" s="54">
        <f t="shared" si="6"/>
        <v>0.11572240053983573</v>
      </c>
      <c r="DA13" s="54">
        <f t="shared" si="6"/>
        <v>1</v>
      </c>
      <c r="DB13" s="54">
        <f t="shared" si="6"/>
        <v>0.17361168767392066</v>
      </c>
      <c r="DC13" s="54">
        <f t="shared" si="6"/>
        <v>5.5015642819679716E-2</v>
      </c>
    </row>
    <row r="14" spans="2:107" x14ac:dyDescent="0.2">
      <c r="B14" s="2" t="s">
        <v>35</v>
      </c>
      <c r="C14" s="73" t="s">
        <v>65</v>
      </c>
      <c r="D14" s="7">
        <f>Table1[[#This Row],[EM 1 ALT2]]</f>
        <v>10.07713981</v>
      </c>
      <c r="E14" s="7">
        <v>6.8896681348859596</v>
      </c>
      <c r="F14" s="7">
        <v>10.07713981</v>
      </c>
      <c r="G14" s="7">
        <v>0.17</v>
      </c>
      <c r="I14" s="54">
        <v>0.95238095238095244</v>
      </c>
      <c r="J14" s="56">
        <f t="shared" ref="J14:J34" si="7">$I$13-I14</f>
        <v>4.7619047619047561E-2</v>
      </c>
      <c r="K14" s="8">
        <f>J14+I14</f>
        <v>1</v>
      </c>
      <c r="L14" s="8">
        <f>I14/$K14</f>
        <v>0.95238095238095244</v>
      </c>
      <c r="M14" s="8">
        <f t="shared" ref="M14:M34" si="8">1-L14</f>
        <v>4.7619047619047561E-2</v>
      </c>
      <c r="N14" s="7">
        <f t="shared" ref="N14:N33" si="9">(($D$19/100)*$I14+($G$19/100*$J14))/$K14*100</f>
        <v>2.5811864676190477</v>
      </c>
      <c r="O14" s="7">
        <f>(($D$13/100)*$I14+($G$13/100*$J14))/$K14*100</f>
        <v>3.4913598990476191</v>
      </c>
      <c r="P14" s="7">
        <f t="shared" ref="P14:P34" si="10">(($D$20/100)*$I14+($G$20/100*$J14))/$K14*100</f>
        <v>0.64263704380952391</v>
      </c>
      <c r="Q14" s="7">
        <f t="shared" ref="Q14:Q34" si="11">(($D$14/100)*$I14+($G$14/100*$J14))/$K14*100</f>
        <v>9.6053712476190487</v>
      </c>
      <c r="R14" s="7">
        <f>(($D$15/100)*$I14+($G$15/100*$J14))/$K14*100</f>
        <v>22.048951933333331</v>
      </c>
      <c r="S14" s="7">
        <f>(($D$16/100)*$I14+($G$16/100*$J14))/$K14*100</f>
        <v>8.3460073980952405</v>
      </c>
      <c r="T14" s="7">
        <f>(($D$17/100)*$I14+($G$17/100*$J14))/$K14*100</f>
        <v>5.6958309914285712</v>
      </c>
      <c r="U14" s="7">
        <f>(($D$18/100)*$I14+($G$18/100*$J14))/$K14*100</f>
        <v>0.53665929359413911</v>
      </c>
      <c r="V14" s="106"/>
      <c r="W14" s="108" t="s">
        <v>72</v>
      </c>
      <c r="X14" s="109">
        <f t="shared" ref="X14:X34" si="12">(N14/100/$N$9)/($U14/100/$U$9)</f>
        <v>10.014866884684238</v>
      </c>
      <c r="Y14" s="109">
        <f t="shared" ref="Y14:Y34" si="13">(O14/100/$O$9)/($U14/100/$U$9)</f>
        <v>12.813381794596609</v>
      </c>
      <c r="Z14" s="109">
        <f t="shared" ref="Z14:Z34" si="14">(P14/100/$P$9)/($U14/100/$U$9)</f>
        <v>1.4661418370293382</v>
      </c>
      <c r="AA14" s="109">
        <f t="shared" ref="AA14:AA34" si="15">(Q14/100/$Q$9)/($U14/100/$U$9)</f>
        <v>21.378286202046827</v>
      </c>
      <c r="AB14" s="109">
        <f>(R14/100/$R$9)/($U14/100/$U$9)</f>
        <v>70.02656637298692</v>
      </c>
      <c r="AC14" s="109">
        <f>(S14/100/$S$9)/($U14/100/$U$9)</f>
        <v>27.591124457838813</v>
      </c>
      <c r="AD14" s="109">
        <f t="shared" ref="AD14:AD34" si="16">(T14/100/$T$9)/($U14/100/$U$9)</f>
        <v>9.0978248551346148</v>
      </c>
      <c r="AE14" s="109">
        <f t="shared" ref="AE14:AE34" si="17">X14/$AB14</f>
        <v>0.14301524983163419</v>
      </c>
      <c r="AF14" s="109">
        <f t="shared" si="0"/>
        <v>0.18297886728228091</v>
      </c>
      <c r="AG14" s="110">
        <f t="shared" si="0"/>
        <v>2.093693740772801E-2</v>
      </c>
      <c r="AH14" s="109">
        <f t="shared" si="0"/>
        <v>0.30528822573105058</v>
      </c>
      <c r="AI14" s="109">
        <f t="shared" si="0"/>
        <v>1</v>
      </c>
      <c r="AJ14" s="109">
        <f t="shared" si="0"/>
        <v>0.39400938653593931</v>
      </c>
      <c r="AK14" s="109">
        <f t="shared" si="0"/>
        <v>0.12991961945808247</v>
      </c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6">
        <v>1</v>
      </c>
      <c r="BC14" s="109">
        <f>($BC$33-$BC$13)/(COUNT($BB$14:$BB$33)+1)+BC13</f>
        <v>0.05</v>
      </c>
      <c r="BD14" s="109">
        <f t="shared" ref="BD14:BD33" si="18">$BD$6-BC14</f>
        <v>0.95</v>
      </c>
      <c r="BE14" s="76">
        <f t="shared" si="1"/>
        <v>1</v>
      </c>
      <c r="BF14" s="186">
        <f t="shared" ref="BF14:BF33" si="19">$BC14*$D$13/100*BP$9/O$9/BP$8*BP$7</f>
        <v>0</v>
      </c>
      <c r="BG14" s="186">
        <f t="shared" si="2"/>
        <v>0</v>
      </c>
      <c r="BH14" s="186"/>
      <c r="BI14" s="186"/>
      <c r="BJ14" s="186">
        <f t="shared" ref="BJ14:BJ33" si="20">$BC14*$D$15/100*BS$9/R$9/BS$8*BS$7</f>
        <v>0</v>
      </c>
      <c r="BK14" s="186">
        <f t="shared" si="3"/>
        <v>0</v>
      </c>
      <c r="BL14" s="186">
        <f t="shared" ref="BL14:BL33" si="21">$BC14*$D$17/100*BU$9/T$9/BU$8*BU$7</f>
        <v>0</v>
      </c>
      <c r="BM14" s="186">
        <f t="shared" si="4"/>
        <v>0</v>
      </c>
      <c r="BN14" s="187">
        <f t="shared" ref="BN14:BN33" si="22">BE14+BD14+SUM(BF14:BM14)</f>
        <v>1.95</v>
      </c>
      <c r="BO14" s="110">
        <f t="shared" ref="BO14:BO32" si="23">((($BD$6*$D$19/100 + $BD$7*$G$19/100)-$BC14*$D$19/100*(1-BO$9))/$BN14)*100</f>
        <v>1.3445305776666667</v>
      </c>
      <c r="BP14" s="110">
        <f t="shared" ref="BP14:BP33" si="24">((($BD$6*$D$13 + $BD$7*$G$13)/100-$BC14*$D$13/100*(1-BP$9))/$BN14)*100</f>
        <v>1.8396956406666669</v>
      </c>
      <c r="BQ14" s="110">
        <f t="shared" ref="BQ14:BQ33" si="25">((($BD$6*$D$20 + $BD$7*$G$20)/100-$BC14*$D$20/100*(1-BQ$9))/$BN14)*100</f>
        <v>0.51415356471794871</v>
      </c>
      <c r="BR14" s="110">
        <f t="shared" ref="BR14:BR33" si="26">((($BD$6*$D$14 + $BD$7*$G$14)/100-$BC14*$D$14/100*(1-BR$9))/$BN14)*100</f>
        <v>4.9965552920512826</v>
      </c>
      <c r="BS14" s="110">
        <f t="shared" ref="BS14:BS33" si="27">((($BD$6*$D$15 + $BD$7*$G$15)/100-$BC14*$D$15/100*(1-BS$9))/$BN14)*100</f>
        <v>31.281386950512825</v>
      </c>
      <c r="BT14" s="110">
        <f t="shared" ref="BT14:BT33" si="28">((($BD$6*$D$16 + $BD$7*$G$16)/100-$BC14*$D$16/100*(1-BT$9))/$BN14)*100</f>
        <v>5.0850345536410257</v>
      </c>
      <c r="BU14" s="110">
        <f t="shared" ref="BU14:BU33" si="29">((($BD$6*$D$17 + $BD$7*$G$17)/100-$BC14*$D$17/100*(1-BU$9))/$BN14)*100</f>
        <v>3.3288289302307685</v>
      </c>
      <c r="BV14" s="110">
        <f t="shared" ref="BV14:BV33" si="30">((($BD$6*$D$18 + $BD$7*$G$18)/100-$BC14*$D$18/100*(1-BV$9))/$BN14)*100</f>
        <v>0.33416067155226725</v>
      </c>
      <c r="BW14" s="107"/>
      <c r="BY14" s="54">
        <f t="shared" ref="BY14:BY32" si="31">(BO14/N$9/100)/($BV14/$U$9/100)</f>
        <v>8.3779893639204452</v>
      </c>
      <c r="BZ14" s="54">
        <f t="shared" ref="BZ14:BZ33" si="32">(BP14/O$9/100)/($BV14/$U$9/100)</f>
        <v>10.843224417691422</v>
      </c>
      <c r="CA14" s="54">
        <f t="shared" ref="CA14:CA33" si="33">(BQ14/P$9/100)/($BV14/$U$9/100)</f>
        <v>1.883850355074572</v>
      </c>
      <c r="CB14" s="54">
        <f>(BR14/Q$9/100)/($BV14/$U$9/100)</f>
        <v>17.859642002773814</v>
      </c>
      <c r="CC14" s="54">
        <f t="shared" ref="CC14:CC33" si="34">(BS14/R$9/100)/($BV14/$U$9/100)</f>
        <v>159.55271601099778</v>
      </c>
      <c r="CD14" s="54">
        <f t="shared" ref="CD14:CD33" si="35">(BT14/S$9/100)/($BV14/$U$9/100)</f>
        <v>26.997768115461561</v>
      </c>
      <c r="CE14" s="54">
        <f t="shared" ref="CE14:CE33" si="36">(BU14/T$9/100)/($BV14/$U$9/100)</f>
        <v>8.5391624231125629</v>
      </c>
      <c r="CW14" s="54">
        <f t="shared" ref="CW14:CX33" si="37">BY14/$CC14</f>
        <v>5.250922437035143E-2</v>
      </c>
      <c r="CX14" s="54">
        <f t="shared" si="37"/>
        <v>6.7960136867516632E-2</v>
      </c>
      <c r="CY14" s="54">
        <f t="shared" ref="CY14:CY28" si="38">CA14/$CC14</f>
        <v>1.1807071682469639E-2</v>
      </c>
      <c r="CZ14" s="54">
        <f t="shared" ref="CZ14:CZ28" si="39">CB14/$CC14</f>
        <v>0.11193568150568349</v>
      </c>
      <c r="DA14" s="54">
        <f t="shared" ref="DA14:DA28" si="40">CC14/$CC14</f>
        <v>1</v>
      </c>
      <c r="DB14" s="54">
        <f t="shared" ref="DB14:DB28" si="41">CD14/$CC14</f>
        <v>0.16920907892035281</v>
      </c>
      <c r="DC14" s="54">
        <f t="shared" ref="DC14:DC28" si="42">CE14/$CC14</f>
        <v>5.351937990528452E-2</v>
      </c>
    </row>
    <row r="15" spans="2:107" x14ac:dyDescent="0.2">
      <c r="B15" s="2" t="s">
        <v>35</v>
      </c>
      <c r="C15" s="73" t="s">
        <v>66</v>
      </c>
      <c r="D15" s="7">
        <f>Table1[[#This Row],[EM 1 ALT2]]</f>
        <v>21.10389953</v>
      </c>
      <c r="E15" s="7">
        <v>22.577621330137802</v>
      </c>
      <c r="F15" s="7">
        <v>21.10389953</v>
      </c>
      <c r="G15" s="7">
        <v>40.950000000000003</v>
      </c>
      <c r="I15" s="54">
        <v>0.90476190476190477</v>
      </c>
      <c r="J15" s="56">
        <f t="shared" si="7"/>
        <v>9.5238095238095233E-2</v>
      </c>
      <c r="K15" s="8">
        <f t="shared" ref="K15:K33" si="43">J15+I15</f>
        <v>1</v>
      </c>
      <c r="L15" s="8">
        <f>I15/$K15</f>
        <v>0.90476190476190477</v>
      </c>
      <c r="M15" s="8">
        <f t="shared" si="8"/>
        <v>9.5238095238095233E-2</v>
      </c>
      <c r="N15" s="7">
        <f t="shared" si="9"/>
        <v>2.4545996442380953</v>
      </c>
      <c r="O15" s="7">
        <f t="shared" ref="O15:O34" si="44">(($D$13/100)*$I15+($G$13/100*$J15))/$K15*100</f>
        <v>3.3222919040952386</v>
      </c>
      <c r="P15" s="7">
        <f t="shared" si="10"/>
        <v>0.6294851916190477</v>
      </c>
      <c r="Q15" s="7">
        <f t="shared" si="11"/>
        <v>9.1336026852380954</v>
      </c>
      <c r="R15" s="7">
        <f t="shared" ref="R15:R33" si="45">(($D$15/100)*$I15+($G$15/100*$J15))/$K15*100</f>
        <v>22.994004336666666</v>
      </c>
      <c r="S15" s="7">
        <f t="shared" ref="S15:S33" si="46">(($D$16/100)*$I15+($G$16/100*$J15))/$K15*100</f>
        <v>8.0122070281904758</v>
      </c>
      <c r="T15" s="7">
        <f>(($D$17/100)*$I15+($G$17/100*$J15))/$K15*100</f>
        <v>5.453539441857143</v>
      </c>
      <c r="U15" s="7">
        <f>(($D$18/100)*$I15+($G$18/100*$J15))/$K15*100</f>
        <v>0.51593108818827826</v>
      </c>
      <c r="V15" s="106"/>
      <c r="W15" s="107"/>
      <c r="X15" s="109">
        <f t="shared" si="12"/>
        <v>9.9063444688092002</v>
      </c>
      <c r="Y15" s="109">
        <f t="shared" si="13"/>
        <v>12.682763446257379</v>
      </c>
      <c r="Z15" s="109">
        <f t="shared" si="14"/>
        <v>1.4938352575417655</v>
      </c>
      <c r="AA15" s="109">
        <f t="shared" si="15"/>
        <v>21.145005602694699</v>
      </c>
      <c r="AB15" s="109">
        <f t="shared" ref="AB15:AB34" si="47">(R15/100/$R$9)/($U15/100/$U$9)</f>
        <v>75.962009874082625</v>
      </c>
      <c r="AC15" s="109">
        <f t="shared" ref="AC15:AC34" si="48">(S15/100/$S$9)/($U15/100/$U$9)</f>
        <v>27.551785861680731</v>
      </c>
      <c r="AD15" s="109">
        <f t="shared" si="16"/>
        <v>9.06078641089392</v>
      </c>
      <c r="AE15" s="109">
        <f t="shared" si="17"/>
        <v>0.13041182671746462</v>
      </c>
      <c r="AF15" s="109">
        <f t="shared" si="0"/>
        <v>0.16696192566890722</v>
      </c>
      <c r="AG15" s="110">
        <f t="shared" si="0"/>
        <v>1.966555729657497E-2</v>
      </c>
      <c r="AH15" s="109">
        <f t="shared" si="0"/>
        <v>0.27836290321629753</v>
      </c>
      <c r="AI15" s="109">
        <f t="shared" si="0"/>
        <v>1</v>
      </c>
      <c r="AJ15" s="109">
        <f t="shared" si="0"/>
        <v>0.3627048034583546</v>
      </c>
      <c r="AK15" s="109">
        <f t="shared" si="0"/>
        <v>0.1192804985796638</v>
      </c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6">
        <v>2</v>
      </c>
      <c r="BC15" s="109">
        <f t="shared" ref="BC15:BC32" si="49">($BC$33-$BC$13)/(COUNT($BB$14:$BB$33)+1)+BC14</f>
        <v>0.1</v>
      </c>
      <c r="BD15" s="109">
        <f t="shared" si="18"/>
        <v>0.9</v>
      </c>
      <c r="BE15" s="76">
        <f t="shared" si="1"/>
        <v>1</v>
      </c>
      <c r="BF15" s="186">
        <f t="shared" si="19"/>
        <v>0</v>
      </c>
      <c r="BG15" s="186">
        <f t="shared" si="2"/>
        <v>0</v>
      </c>
      <c r="BH15" s="186"/>
      <c r="BI15" s="186"/>
      <c r="BJ15" s="186">
        <f t="shared" si="20"/>
        <v>0</v>
      </c>
      <c r="BK15" s="186">
        <f t="shared" si="3"/>
        <v>0</v>
      </c>
      <c r="BL15" s="186">
        <f t="shared" si="21"/>
        <v>0</v>
      </c>
      <c r="BM15" s="186">
        <f t="shared" si="4"/>
        <v>0</v>
      </c>
      <c r="BN15" s="187">
        <f t="shared" si="22"/>
        <v>1.9</v>
      </c>
      <c r="BO15" s="110">
        <f t="shared" si="23"/>
        <v>1.3086557694210526</v>
      </c>
      <c r="BP15" s="110">
        <f t="shared" si="24"/>
        <v>1.7917816340000003</v>
      </c>
      <c r="BQ15" s="110">
        <f t="shared" si="25"/>
        <v>0.51042631915789471</v>
      </c>
      <c r="BR15" s="110">
        <f t="shared" si="26"/>
        <v>4.8628556994736849</v>
      </c>
      <c r="BS15" s="110">
        <f t="shared" si="27"/>
        <v>31.549215566842104</v>
      </c>
      <c r="BT15" s="110">
        <f t="shared" si="28"/>
        <v>4.9904352585263148</v>
      </c>
      <c r="BU15" s="110">
        <f t="shared" si="29"/>
        <v>3.2601633088947368</v>
      </c>
      <c r="BV15" s="110">
        <f t="shared" si="30"/>
        <v>0.32828628135627436</v>
      </c>
      <c r="BW15" s="107"/>
      <c r="BY15" s="54">
        <f t="shared" si="31"/>
        <v>8.3003641477137382</v>
      </c>
      <c r="BZ15" s="54">
        <f t="shared" si="32"/>
        <v>10.749794157697297</v>
      </c>
      <c r="CA15" s="54">
        <f t="shared" si="33"/>
        <v>1.9036592372990115</v>
      </c>
      <c r="CB15" s="54">
        <f>(BR15/Q$9/100)/($BV15/$U$9/100)</f>
        <v>17.692778255634334</v>
      </c>
      <c r="CC15" s="54">
        <f t="shared" si="34"/>
        <v>163.79829128077213</v>
      </c>
      <c r="CD15" s="54">
        <f t="shared" si="35"/>
        <v>26.969629532225852</v>
      </c>
      <c r="CE15" s="54">
        <f t="shared" si="36"/>
        <v>8.5126691201487343</v>
      </c>
      <c r="CW15" s="54">
        <f t="shared" si="37"/>
        <v>5.0674302416780441E-2</v>
      </c>
      <c r="CX15" s="54">
        <f t="shared" si="37"/>
        <v>6.5628243577161099E-2</v>
      </c>
      <c r="CY15" s="54">
        <f t="shared" si="38"/>
        <v>1.1621972502972486E-2</v>
      </c>
      <c r="CZ15" s="54">
        <f t="shared" si="39"/>
        <v>0.10801564605644481</v>
      </c>
      <c r="DA15" s="54">
        <f t="shared" si="40"/>
        <v>1</v>
      </c>
      <c r="DB15" s="54">
        <f t="shared" si="41"/>
        <v>0.16465147054554011</v>
      </c>
      <c r="DC15" s="54">
        <f t="shared" si="42"/>
        <v>5.1970439090581744E-2</v>
      </c>
    </row>
    <row r="16" spans="2:107" x14ac:dyDescent="0.2">
      <c r="B16" s="2" t="s">
        <v>35</v>
      </c>
      <c r="C16" s="73" t="s">
        <v>67</v>
      </c>
      <c r="D16" s="7">
        <f>Table1[[#This Row],[EM 1 ALT2]]</f>
        <v>8.6798077679999999</v>
      </c>
      <c r="E16" s="7">
        <v>8.6216647541707125</v>
      </c>
      <c r="F16" s="7">
        <v>8.6798077679999999</v>
      </c>
      <c r="G16" s="7">
        <v>1.67</v>
      </c>
      <c r="I16" s="54">
        <v>0.85714285714285721</v>
      </c>
      <c r="J16" s="56">
        <f t="shared" si="7"/>
        <v>0.14285714285714279</v>
      </c>
      <c r="K16" s="8">
        <f t="shared" si="43"/>
        <v>1</v>
      </c>
      <c r="L16" s="8">
        <f t="shared" ref="L16:L33" si="50">I16/$K16</f>
        <v>0.85714285714285721</v>
      </c>
      <c r="M16" s="8">
        <f t="shared" si="8"/>
        <v>0.14285714285714279</v>
      </c>
      <c r="N16" s="7">
        <f t="shared" si="9"/>
        <v>2.3280128208571429</v>
      </c>
      <c r="O16" s="7">
        <f t="shared" si="44"/>
        <v>3.1532239091428571</v>
      </c>
      <c r="P16" s="7">
        <f t="shared" si="10"/>
        <v>0.61633333942857138</v>
      </c>
      <c r="Q16" s="7">
        <f t="shared" si="11"/>
        <v>8.6618341228571438</v>
      </c>
      <c r="R16" s="7">
        <f t="shared" si="45"/>
        <v>23.939056739999998</v>
      </c>
      <c r="S16" s="7">
        <f t="shared" si="46"/>
        <v>7.6784066582857147</v>
      </c>
      <c r="T16" s="7">
        <f t="shared" ref="T16:T34" si="51">(($D$17/100)*$I16+($G$17/100*$J16))/$K16*100</f>
        <v>5.2112478922857148</v>
      </c>
      <c r="U16" s="7">
        <f t="shared" ref="U16:U33" si="52">(($D$18/100)*$I16+($G$18/100*$J16))/$K16*100</f>
        <v>0.49520288278241725</v>
      </c>
      <c r="V16" s="106"/>
      <c r="W16" s="107"/>
      <c r="X16" s="109">
        <f t="shared" si="12"/>
        <v>9.7887369889912446</v>
      </c>
      <c r="Y16" s="109">
        <f t="shared" si="13"/>
        <v>12.541210250612993</v>
      </c>
      <c r="Z16" s="109">
        <f t="shared" si="14"/>
        <v>1.5238470607968251</v>
      </c>
      <c r="AA16" s="109">
        <f t="shared" si="15"/>
        <v>20.892195681730382</v>
      </c>
      <c r="AB16" s="109">
        <f t="shared" si="47"/>
        <v>82.394345038547939</v>
      </c>
      <c r="AC16" s="109">
        <f t="shared" si="48"/>
        <v>27.509153995108079</v>
      </c>
      <c r="AD16" s="109">
        <f t="shared" si="16"/>
        <v>9.0206472557857094</v>
      </c>
      <c r="AE16" s="109">
        <f t="shared" si="17"/>
        <v>0.11880350507564098</v>
      </c>
      <c r="AF16" s="109">
        <f t="shared" si="0"/>
        <v>0.15220959939357034</v>
      </c>
      <c r="AG16" s="110">
        <f t="shared" si="0"/>
        <v>1.8494558820558595E-2</v>
      </c>
      <c r="AH16" s="109">
        <f t="shared" si="0"/>
        <v>0.25356346569605026</v>
      </c>
      <c r="AI16" s="109">
        <f t="shared" si="0"/>
        <v>1</v>
      </c>
      <c r="AJ16" s="109">
        <f t="shared" si="0"/>
        <v>0.33387186926770285</v>
      </c>
      <c r="AK16" s="109">
        <f t="shared" si="0"/>
        <v>0.10948138797104859</v>
      </c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6">
        <v>3</v>
      </c>
      <c r="BC16" s="109">
        <f t="shared" si="49"/>
        <v>0.15000000000000002</v>
      </c>
      <c r="BD16" s="109">
        <f t="shared" si="18"/>
        <v>0.85</v>
      </c>
      <c r="BE16" s="76">
        <f t="shared" si="1"/>
        <v>1</v>
      </c>
      <c r="BF16" s="186">
        <f t="shared" si="19"/>
        <v>0</v>
      </c>
      <c r="BG16" s="186">
        <f t="shared" si="2"/>
        <v>0</v>
      </c>
      <c r="BH16" s="186"/>
      <c r="BI16" s="186"/>
      <c r="BJ16" s="186">
        <f t="shared" si="20"/>
        <v>0</v>
      </c>
      <c r="BK16" s="186">
        <f t="shared" si="3"/>
        <v>0</v>
      </c>
      <c r="BL16" s="186">
        <f t="shared" si="21"/>
        <v>0</v>
      </c>
      <c r="BM16" s="186">
        <f t="shared" si="4"/>
        <v>0</v>
      </c>
      <c r="BN16" s="187">
        <f t="shared" si="22"/>
        <v>1.85</v>
      </c>
      <c r="BO16" s="110">
        <f t="shared" si="23"/>
        <v>1.2708417823513511</v>
      </c>
      <c r="BP16" s="110">
        <f t="shared" si="24"/>
        <v>1.741277681027027</v>
      </c>
      <c r="BQ16" s="110">
        <f t="shared" si="25"/>
        <v>0.50649760086486484</v>
      </c>
      <c r="BR16" s="110">
        <f t="shared" si="26"/>
        <v>4.7219291018918907</v>
      </c>
      <c r="BS16" s="110">
        <f t="shared" si="27"/>
        <v>31.831521405675677</v>
      </c>
      <c r="BT16" s="110">
        <f t="shared" si="28"/>
        <v>4.8907224879999998</v>
      </c>
      <c r="BU16" s="110">
        <f t="shared" si="29"/>
        <v>3.1877860323513509</v>
      </c>
      <c r="BV16" s="110">
        <f t="shared" si="30"/>
        <v>0.3220943565550925</v>
      </c>
      <c r="BW16" s="107"/>
      <c r="BY16" s="54">
        <f t="shared" si="31"/>
        <v>8.2154777849415765</v>
      </c>
      <c r="BZ16" s="54">
        <f t="shared" si="32"/>
        <v>10.647624330271119</v>
      </c>
      <c r="CA16" s="54">
        <f t="shared" si="33"/>
        <v>1.9253210637619136</v>
      </c>
      <c r="CB16" s="54">
        <f t="shared" ref="CB16:CB33" si="53">(BR16/Q$9/100)/($BV16/$U$9/100)</f>
        <v>17.510305893361139</v>
      </c>
      <c r="CC16" s="54">
        <f t="shared" si="34"/>
        <v>168.44100224684431</v>
      </c>
      <c r="CD16" s="54">
        <f t="shared" si="35"/>
        <v>26.938858835522364</v>
      </c>
      <c r="CE16" s="54">
        <f t="shared" si="36"/>
        <v>8.4836976050107715</v>
      </c>
      <c r="CW16" s="54">
        <f t="shared" si="37"/>
        <v>4.8773622071555271E-2</v>
      </c>
      <c r="CX16" s="54">
        <f t="shared" si="37"/>
        <v>6.3212781853835109E-2</v>
      </c>
      <c r="CY16" s="54">
        <f t="shared" si="38"/>
        <v>1.1430239894562157E-2</v>
      </c>
      <c r="CZ16" s="54">
        <f t="shared" si="39"/>
        <v>0.10395512766957066</v>
      </c>
      <c r="DA16" s="54">
        <f t="shared" si="40"/>
        <v>1</v>
      </c>
      <c r="DB16" s="54">
        <f t="shared" si="41"/>
        <v>0.15993053043014088</v>
      </c>
      <c r="DC16" s="54">
        <f t="shared" si="42"/>
        <v>5.036598863605795E-2</v>
      </c>
    </row>
    <row r="17" spans="2:107" x14ac:dyDescent="0.2">
      <c r="B17" s="2" t="s">
        <v>35</v>
      </c>
      <c r="C17" s="73" t="s">
        <v>68</v>
      </c>
      <c r="D17" s="7">
        <f>Table1[[#This Row],[EM 1 ALT2]]</f>
        <v>5.9381225410000003</v>
      </c>
      <c r="E17" s="7">
        <v>8.7058627025221309</v>
      </c>
      <c r="F17" s="7">
        <v>5.9381225410000003</v>
      </c>
      <c r="G17" s="7">
        <v>0.85</v>
      </c>
      <c r="I17" s="54">
        <v>0.80952380952380953</v>
      </c>
      <c r="J17" s="56">
        <f t="shared" si="7"/>
        <v>0.19047619047619047</v>
      </c>
      <c r="K17" s="8">
        <f t="shared" si="43"/>
        <v>1</v>
      </c>
      <c r="L17" s="8">
        <f t="shared" si="50"/>
        <v>0.80952380952380953</v>
      </c>
      <c r="M17" s="8">
        <f t="shared" si="8"/>
        <v>0.19047619047619047</v>
      </c>
      <c r="N17" s="7">
        <f t="shared" si="9"/>
        <v>2.2014259974761905</v>
      </c>
      <c r="O17" s="7">
        <f t="shared" si="44"/>
        <v>2.9841559141904761</v>
      </c>
      <c r="P17" s="7">
        <f t="shared" si="10"/>
        <v>0.60318148723809517</v>
      </c>
      <c r="Q17" s="7">
        <f t="shared" si="11"/>
        <v>8.1900655604761905</v>
      </c>
      <c r="R17" s="7">
        <f t="shared" si="45"/>
        <v>24.884109143333333</v>
      </c>
      <c r="S17" s="7">
        <f t="shared" si="46"/>
        <v>7.3446062883809535</v>
      </c>
      <c r="T17" s="7">
        <f t="shared" si="51"/>
        <v>4.9689563427142858</v>
      </c>
      <c r="U17" s="7">
        <f t="shared" si="52"/>
        <v>0.47447467737655641</v>
      </c>
      <c r="V17" s="106"/>
      <c r="W17" s="107"/>
      <c r="X17" s="109">
        <f t="shared" si="12"/>
        <v>9.6608537574201634</v>
      </c>
      <c r="Y17" s="109">
        <f t="shared" si="13"/>
        <v>12.387289087382237</v>
      </c>
      <c r="Z17" s="109">
        <f t="shared" si="14"/>
        <v>1.5564810938657536</v>
      </c>
      <c r="AA17" s="109">
        <f t="shared" si="15"/>
        <v>20.617296927703929</v>
      </c>
      <c r="AB17" s="109">
        <f t="shared" si="47"/>
        <v>89.388694451131144</v>
      </c>
      <c r="AC17" s="109">
        <f t="shared" si="48"/>
        <v>27.462797242343221</v>
      </c>
      <c r="AD17" s="109">
        <f t="shared" si="16"/>
        <v>8.977001010872403</v>
      </c>
      <c r="AE17" s="109">
        <f t="shared" si="17"/>
        <v>0.10807690857037584</v>
      </c>
      <c r="AF17" s="109">
        <f t="shared" si="0"/>
        <v>0.13857780520728352</v>
      </c>
      <c r="AG17" s="110">
        <f t="shared" si="0"/>
        <v>1.7412505053608127E-2</v>
      </c>
      <c r="AH17" s="109">
        <f t="shared" si="0"/>
        <v>0.23064770163944412</v>
      </c>
      <c r="AI17" s="109">
        <f t="shared" si="0"/>
        <v>1</v>
      </c>
      <c r="AJ17" s="109">
        <f t="shared" si="0"/>
        <v>0.30722897801530313</v>
      </c>
      <c r="AK17" s="109">
        <f t="shared" si="0"/>
        <v>0.10042658152681865</v>
      </c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6">
        <v>4</v>
      </c>
      <c r="BC17" s="109">
        <f t="shared" si="49"/>
        <v>0.2</v>
      </c>
      <c r="BD17" s="109">
        <f t="shared" si="18"/>
        <v>0.8</v>
      </c>
      <c r="BE17" s="76">
        <f t="shared" si="1"/>
        <v>1</v>
      </c>
      <c r="BF17" s="186">
        <f t="shared" si="19"/>
        <v>0</v>
      </c>
      <c r="BG17" s="186">
        <f t="shared" si="2"/>
        <v>0</v>
      </c>
      <c r="BH17" s="186"/>
      <c r="BI17" s="186"/>
      <c r="BJ17" s="186">
        <f t="shared" si="20"/>
        <v>0</v>
      </c>
      <c r="BK17" s="186">
        <f t="shared" si="3"/>
        <v>0</v>
      </c>
      <c r="BL17" s="186">
        <f t="shared" si="21"/>
        <v>0</v>
      </c>
      <c r="BM17" s="186">
        <f t="shared" si="4"/>
        <v>0</v>
      </c>
      <c r="BN17" s="187">
        <f t="shared" si="22"/>
        <v>1.8</v>
      </c>
      <c r="BO17" s="110">
        <f t="shared" si="23"/>
        <v>1.2309270182222221</v>
      </c>
      <c r="BP17" s="110">
        <f t="shared" si="24"/>
        <v>1.6879679528888889</v>
      </c>
      <c r="BQ17" s="110">
        <f t="shared" si="25"/>
        <v>0.50235062044444445</v>
      </c>
      <c r="BR17" s="110">
        <f t="shared" si="26"/>
        <v>4.5731732488888888</v>
      </c>
      <c r="BS17" s="110">
        <f t="shared" si="27"/>
        <v>32.129510902222222</v>
      </c>
      <c r="BT17" s="110">
        <f t="shared" si="28"/>
        <v>4.7854701191111104</v>
      </c>
      <c r="BU17" s="110">
        <f t="shared" si="29"/>
        <v>3.1113877959999998</v>
      </c>
      <c r="BV17" s="110">
        <f t="shared" si="30"/>
        <v>0.31555843593162286</v>
      </c>
      <c r="BW17" s="107"/>
      <c r="BY17" s="54">
        <f t="shared" si="31"/>
        <v>8.1222614634434738</v>
      </c>
      <c r="BZ17" s="54">
        <f t="shared" si="32"/>
        <v>10.535428505526847</v>
      </c>
      <c r="CA17" s="54">
        <f t="shared" si="33"/>
        <v>1.9491085805532931</v>
      </c>
      <c r="CB17" s="54">
        <f t="shared" si="53"/>
        <v>17.30992738931533</v>
      </c>
      <c r="CC17" s="54">
        <f t="shared" si="34"/>
        <v>173.53930571871919</v>
      </c>
      <c r="CD17" s="54">
        <f t="shared" si="35"/>
        <v>26.905068588620946</v>
      </c>
      <c r="CE17" s="54">
        <f t="shared" si="36"/>
        <v>8.4518830946325121</v>
      </c>
      <c r="CW17" s="54">
        <f t="shared" si="37"/>
        <v>4.6803583947768145E-2</v>
      </c>
      <c r="CX17" s="54">
        <f t="shared" si="37"/>
        <v>6.0709177450572339E-2</v>
      </c>
      <c r="CY17" s="54">
        <f t="shared" si="38"/>
        <v>1.1231510766284276E-2</v>
      </c>
      <c r="CZ17" s="54">
        <f t="shared" si="39"/>
        <v>9.974643679497075E-2</v>
      </c>
      <c r="DA17" s="54">
        <f t="shared" si="40"/>
        <v>1</v>
      </c>
      <c r="DB17" s="54">
        <f t="shared" si="41"/>
        <v>0.15503731835962262</v>
      </c>
      <c r="DC17" s="54">
        <f t="shared" si="42"/>
        <v>4.8702990136031361E-2</v>
      </c>
    </row>
    <row r="18" spans="2:107" x14ac:dyDescent="0.2">
      <c r="B18" s="2" t="s">
        <v>35</v>
      </c>
      <c r="C18" s="73" t="s">
        <v>69</v>
      </c>
      <c r="D18" s="7">
        <f>Table1[[#This Row],[EM 1 ALT2]]</f>
        <v>0.55738749899999995</v>
      </c>
      <c r="E18" s="7">
        <v>1.1387915059848752</v>
      </c>
      <c r="F18" s="7">
        <v>0.55738749899999995</v>
      </c>
      <c r="G18" s="7">
        <f>0.203707922992913/100/(47.87+2*15.999)*1*47.87*100</f>
        <v>0.12209518547692121</v>
      </c>
      <c r="I18" s="54">
        <v>0.76190476190476197</v>
      </c>
      <c r="J18" s="56">
        <f t="shared" si="7"/>
        <v>0.23809523809523803</v>
      </c>
      <c r="K18" s="8">
        <f t="shared" si="43"/>
        <v>1</v>
      </c>
      <c r="L18" s="8">
        <f t="shared" si="50"/>
        <v>0.76190476190476197</v>
      </c>
      <c r="M18" s="8">
        <f t="shared" si="8"/>
        <v>0.23809523809523803</v>
      </c>
      <c r="N18" s="7">
        <f t="shared" si="9"/>
        <v>2.0748391740952381</v>
      </c>
      <c r="O18" s="7">
        <f t="shared" si="44"/>
        <v>2.8150879192380955</v>
      </c>
      <c r="P18" s="7">
        <f t="shared" si="10"/>
        <v>0.59002963504761907</v>
      </c>
      <c r="Q18" s="7">
        <f t="shared" si="11"/>
        <v>7.7182969980952389</v>
      </c>
      <c r="R18" s="7">
        <f t="shared" si="45"/>
        <v>25.829161546666668</v>
      </c>
      <c r="S18" s="7">
        <f t="shared" si="46"/>
        <v>7.0108059184761915</v>
      </c>
      <c r="T18" s="7">
        <f t="shared" si="51"/>
        <v>4.7266647931428576</v>
      </c>
      <c r="U18" s="7">
        <f t="shared" si="52"/>
        <v>0.45374647197069551</v>
      </c>
      <c r="V18" s="106"/>
      <c r="W18" s="107"/>
      <c r="X18" s="109">
        <f t="shared" si="12"/>
        <v>9.5212865126138624</v>
      </c>
      <c r="Y18" s="109">
        <f t="shared" si="13"/>
        <v>12.219304963071481</v>
      </c>
      <c r="Z18" s="109">
        <f t="shared" si="14"/>
        <v>1.5920967256135061</v>
      </c>
      <c r="AA18" s="109">
        <f t="shared" si="15"/>
        <v>20.317282131167985</v>
      </c>
      <c r="AB18" s="109">
        <f t="shared" si="47"/>
        <v>97.022080507568404</v>
      </c>
      <c r="AC18" s="109">
        <f t="shared" si="48"/>
        <v>27.412205118715491</v>
      </c>
      <c r="AD18" s="109">
        <f t="shared" si="16"/>
        <v>8.929367039836059</v>
      </c>
      <c r="AE18" s="109">
        <f t="shared" si="17"/>
        <v>9.813525398345932E-2</v>
      </c>
      <c r="AF18" s="109">
        <f t="shared" si="0"/>
        <v>0.12594354706832214</v>
      </c>
      <c r="AG18" s="110">
        <f t="shared" si="0"/>
        <v>1.6409632913296592E-2</v>
      </c>
      <c r="AH18" s="109">
        <f t="shared" si="0"/>
        <v>0.2094088482217519</v>
      </c>
      <c r="AI18" s="109">
        <f t="shared" si="0"/>
        <v>1</v>
      </c>
      <c r="AJ18" s="109">
        <f t="shared" si="0"/>
        <v>0.2825357380022081</v>
      </c>
      <c r="AK18" s="109">
        <f t="shared" si="0"/>
        <v>9.2034380144419864E-2</v>
      </c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6">
        <v>5</v>
      </c>
      <c r="BC18" s="109">
        <f t="shared" si="49"/>
        <v>0.25</v>
      </c>
      <c r="BD18" s="109">
        <f t="shared" si="18"/>
        <v>0.75</v>
      </c>
      <c r="BE18" s="76">
        <f t="shared" si="1"/>
        <v>1</v>
      </c>
      <c r="BF18" s="186">
        <f t="shared" si="19"/>
        <v>0</v>
      </c>
      <c r="BG18" s="186">
        <f t="shared" si="2"/>
        <v>0</v>
      </c>
      <c r="BH18" s="186"/>
      <c r="BI18" s="186"/>
      <c r="BJ18" s="186">
        <f t="shared" si="20"/>
        <v>0</v>
      </c>
      <c r="BK18" s="186">
        <f t="shared" si="3"/>
        <v>0</v>
      </c>
      <c r="BL18" s="186">
        <f t="shared" si="21"/>
        <v>0</v>
      </c>
      <c r="BM18" s="186">
        <f t="shared" si="4"/>
        <v>0</v>
      </c>
      <c r="BN18" s="187">
        <f t="shared" si="22"/>
        <v>1.75</v>
      </c>
      <c r="BO18" s="110">
        <f t="shared" si="23"/>
        <v>1.1887314104285713</v>
      </c>
      <c r="BP18" s="110">
        <f t="shared" si="24"/>
        <v>1.6316119545714287</v>
      </c>
      <c r="BQ18" s="110">
        <f t="shared" si="25"/>
        <v>0.49796666971428571</v>
      </c>
      <c r="BR18" s="110">
        <f t="shared" si="26"/>
        <v>4.415917061428571</v>
      </c>
      <c r="BS18" s="110">
        <f t="shared" si="27"/>
        <v>32.44452837</v>
      </c>
      <c r="BT18" s="110">
        <f t="shared" si="28"/>
        <v>4.6742033291428564</v>
      </c>
      <c r="BU18" s="110">
        <f t="shared" si="29"/>
        <v>3.0306239461428568</v>
      </c>
      <c r="BV18" s="110">
        <f t="shared" si="30"/>
        <v>0.30864903412966926</v>
      </c>
      <c r="BW18" s="107"/>
      <c r="BY18" s="54">
        <f t="shared" si="31"/>
        <v>8.0194257811531173</v>
      </c>
      <c r="BZ18" s="54">
        <f t="shared" si="32"/>
        <v>10.411654750005491</v>
      </c>
      <c r="CA18" s="54">
        <f t="shared" si="33"/>
        <v>1.9753508252580969</v>
      </c>
      <c r="CB18" s="54">
        <f t="shared" si="53"/>
        <v>17.088871035141434</v>
      </c>
      <c r="CC18" s="54">
        <f t="shared" si="34"/>
        <v>179.16372328452317</v>
      </c>
      <c r="CD18" s="54">
        <f t="shared" si="35"/>
        <v>26.86779139253532</v>
      </c>
      <c r="CE18" s="54">
        <f t="shared" si="36"/>
        <v>8.4167855191339065</v>
      </c>
      <c r="CW18" s="54">
        <f t="shared" si="37"/>
        <v>4.4760321085858264E-2</v>
      </c>
      <c r="CX18" s="54">
        <f t="shared" si="37"/>
        <v>5.8112516078219323E-2</v>
      </c>
      <c r="CY18" s="54">
        <f t="shared" si="38"/>
        <v>1.1025395035584947E-2</v>
      </c>
      <c r="CZ18" s="54">
        <f t="shared" si="39"/>
        <v>9.5381312253726952E-2</v>
      </c>
      <c r="DA18" s="54">
        <f t="shared" si="40"/>
        <v>1</v>
      </c>
      <c r="DB18" s="54">
        <f t="shared" si="41"/>
        <v>0.14996222951823562</v>
      </c>
      <c r="DC18" s="54">
        <f t="shared" si="42"/>
        <v>4.6978179314612289E-2</v>
      </c>
    </row>
    <row r="19" spans="2:107" x14ac:dyDescent="0.2">
      <c r="B19" s="2" t="s">
        <v>35</v>
      </c>
      <c r="C19" s="73" t="s">
        <v>62</v>
      </c>
      <c r="D19" s="7">
        <f>Table1[[#This Row],[EM 1 ALT2]]</f>
        <v>2.7077732910000001</v>
      </c>
      <c r="E19" s="7">
        <v>2.4926636441375303</v>
      </c>
      <c r="F19" s="7">
        <v>2.7077732910000001</v>
      </c>
      <c r="G19" s="7">
        <v>4.9450000000000001E-2</v>
      </c>
      <c r="I19" s="54">
        <v>0.71428571428571441</v>
      </c>
      <c r="J19" s="56">
        <f t="shared" si="7"/>
        <v>0.28571428571428559</v>
      </c>
      <c r="K19" s="8">
        <f t="shared" si="43"/>
        <v>1</v>
      </c>
      <c r="L19" s="8">
        <f t="shared" si="50"/>
        <v>0.71428571428571441</v>
      </c>
      <c r="M19" s="8">
        <f t="shared" si="8"/>
        <v>0.28571428571428559</v>
      </c>
      <c r="N19" s="7">
        <f t="shared" si="9"/>
        <v>1.9482523507142862</v>
      </c>
      <c r="O19" s="7">
        <f t="shared" si="44"/>
        <v>2.646019924285715</v>
      </c>
      <c r="P19" s="7">
        <f t="shared" si="10"/>
        <v>0.57687778285714286</v>
      </c>
      <c r="Q19" s="7">
        <f t="shared" si="11"/>
        <v>7.2465284357142874</v>
      </c>
      <c r="R19" s="7">
        <f t="shared" si="45"/>
        <v>26.774213949999996</v>
      </c>
      <c r="S19" s="7">
        <f t="shared" si="46"/>
        <v>6.6770055485714295</v>
      </c>
      <c r="T19" s="7">
        <f t="shared" si="51"/>
        <v>4.4843732435714294</v>
      </c>
      <c r="U19" s="7">
        <f t="shared" si="52"/>
        <v>0.43301826656483472</v>
      </c>
      <c r="V19" s="106"/>
      <c r="W19" s="107"/>
      <c r="X19" s="109">
        <f t="shared" si="12"/>
        <v>9.3683573441121677</v>
      </c>
      <c r="Y19" s="109">
        <f t="shared" si="13"/>
        <v>12.03523833276734</v>
      </c>
      <c r="Z19" s="109">
        <f t="shared" si="14"/>
        <v>1.6311221355970977</v>
      </c>
      <c r="AA19" s="109">
        <f t="shared" si="15"/>
        <v>19.988544443208873</v>
      </c>
      <c r="AB19" s="109">
        <f t="shared" si="47"/>
        <v>105.3862735822651</v>
      </c>
      <c r="AC19" s="109">
        <f t="shared" si="48"/>
        <v>27.356769393736737</v>
      </c>
      <c r="AD19" s="109">
        <f t="shared" si="16"/>
        <v>8.8771726757993399</v>
      </c>
      <c r="AE19" s="109">
        <f t="shared" si="17"/>
        <v>8.8895422768688906E-2</v>
      </c>
      <c r="AF19" s="109">
        <f t="shared" si="0"/>
        <v>0.11420119455474026</v>
      </c>
      <c r="AG19" s="110">
        <f t="shared" si="0"/>
        <v>1.5477557751615866E-2</v>
      </c>
      <c r="AH19" s="109">
        <f t="shared" si="0"/>
        <v>0.18966933513979603</v>
      </c>
      <c r="AI19" s="109">
        <f t="shared" si="0"/>
        <v>1</v>
      </c>
      <c r="AJ19" s="109">
        <f t="shared" si="0"/>
        <v>0.25958569805945264</v>
      </c>
      <c r="AK19" s="109">
        <f t="shared" si="0"/>
        <v>8.4234619690483417E-2</v>
      </c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6">
        <v>6</v>
      </c>
      <c r="BC19" s="109">
        <f t="shared" si="49"/>
        <v>0.3</v>
      </c>
      <c r="BD19" s="109">
        <f t="shared" si="18"/>
        <v>0.7</v>
      </c>
      <c r="BE19" s="76">
        <f t="shared" si="1"/>
        <v>1</v>
      </c>
      <c r="BF19" s="186">
        <f t="shared" si="19"/>
        <v>0</v>
      </c>
      <c r="BG19" s="186">
        <f t="shared" si="2"/>
        <v>0</v>
      </c>
      <c r="BH19" s="186"/>
      <c r="BI19" s="186"/>
      <c r="BJ19" s="186">
        <f t="shared" si="20"/>
        <v>0</v>
      </c>
      <c r="BK19" s="186">
        <f t="shared" si="3"/>
        <v>0</v>
      </c>
      <c r="BL19" s="186">
        <f t="shared" si="21"/>
        <v>0</v>
      </c>
      <c r="BM19" s="186">
        <f t="shared" si="4"/>
        <v>0</v>
      </c>
      <c r="BN19" s="187">
        <f t="shared" si="22"/>
        <v>1.7</v>
      </c>
      <c r="BO19" s="110">
        <f t="shared" si="23"/>
        <v>1.1440537080588236</v>
      </c>
      <c r="BP19" s="110">
        <f t="shared" si="24"/>
        <v>1.571940897529412</v>
      </c>
      <c r="BQ19" s="110">
        <f t="shared" si="25"/>
        <v>0.4933248395294117</v>
      </c>
      <c r="BR19" s="110">
        <f t="shared" si="26"/>
        <v>4.2494105099999997</v>
      </c>
      <c r="BS19" s="110">
        <f t="shared" si="27"/>
        <v>32.77807627705883</v>
      </c>
      <c r="BT19" s="110">
        <f t="shared" si="28"/>
        <v>4.5563914338823528</v>
      </c>
      <c r="BU19" s="110">
        <f t="shared" si="29"/>
        <v>2.9451092815882354</v>
      </c>
      <c r="BV19" s="110">
        <f t="shared" si="30"/>
        <v>0.30133319692760069</v>
      </c>
      <c r="BW19" s="107"/>
      <c r="BY19" s="54">
        <f t="shared" si="31"/>
        <v>7.9054007411636267</v>
      </c>
      <c r="BZ19" s="54">
        <f t="shared" si="32"/>
        <v>10.274413404310684</v>
      </c>
      <c r="CA19" s="54">
        <f t="shared" si="33"/>
        <v>2.004448439386143</v>
      </c>
      <c r="CB19" s="54">
        <f t="shared" si="53"/>
        <v>16.843761953709564</v>
      </c>
      <c r="CC19" s="54">
        <f t="shared" si="34"/>
        <v>185.40012317583333</v>
      </c>
      <c r="CD19" s="54">
        <f t="shared" si="35"/>
        <v>26.82645813466517</v>
      </c>
      <c r="CE19" s="54">
        <f t="shared" si="36"/>
        <v>8.3778690422785012</v>
      </c>
      <c r="CW19" s="54">
        <f t="shared" si="37"/>
        <v>4.2639673619127808E-2</v>
      </c>
      <c r="CX19" s="54">
        <f t="shared" si="37"/>
        <v>5.5417511209344981E-2</v>
      </c>
      <c r="CY19" s="54">
        <f t="shared" si="38"/>
        <v>1.0811473072674962E-2</v>
      </c>
      <c r="CZ19" s="54">
        <f t="shared" si="39"/>
        <v>9.0850867114769682E-2</v>
      </c>
      <c r="DA19" s="54">
        <f t="shared" si="40"/>
        <v>1</v>
      </c>
      <c r="DB19" s="54">
        <f t="shared" si="41"/>
        <v>0.14469493156281768</v>
      </c>
      <c r="DC19" s="54">
        <f t="shared" si="42"/>
        <v>4.518804463971654E-2</v>
      </c>
    </row>
    <row r="20" spans="2:107" x14ac:dyDescent="0.2">
      <c r="B20" s="2" t="s">
        <v>35</v>
      </c>
      <c r="C20" s="73" t="s">
        <v>64</v>
      </c>
      <c r="D20" s="7">
        <f>Table1[[#This Row],[EM 1 ALT2]]</f>
        <v>0.65578889600000001</v>
      </c>
      <c r="E20" s="7">
        <v>0.45658262115823561</v>
      </c>
      <c r="F20" s="7">
        <v>0.65578889600000001</v>
      </c>
      <c r="G20" s="7">
        <v>0.37959999999999999</v>
      </c>
      <c r="I20" s="54">
        <v>0.66666666666666674</v>
      </c>
      <c r="J20" s="56">
        <f t="shared" si="7"/>
        <v>0.33333333333333326</v>
      </c>
      <c r="K20" s="8">
        <f t="shared" si="43"/>
        <v>1</v>
      </c>
      <c r="L20" s="8">
        <f t="shared" si="50"/>
        <v>0.66666666666666674</v>
      </c>
      <c r="M20" s="8">
        <f t="shared" si="8"/>
        <v>0.33333333333333326</v>
      </c>
      <c r="N20" s="7">
        <f t="shared" si="9"/>
        <v>1.8216655273333333</v>
      </c>
      <c r="O20" s="7">
        <f t="shared" si="44"/>
        <v>2.4769519293333335</v>
      </c>
      <c r="P20" s="7">
        <f t="shared" si="10"/>
        <v>0.56372593066666665</v>
      </c>
      <c r="Q20" s="7">
        <f t="shared" si="11"/>
        <v>6.7747598733333341</v>
      </c>
      <c r="R20" s="7">
        <f t="shared" si="45"/>
        <v>27.719266353333332</v>
      </c>
      <c r="S20" s="7">
        <f t="shared" si="46"/>
        <v>6.3432051786666683</v>
      </c>
      <c r="T20" s="7">
        <f t="shared" si="51"/>
        <v>4.2420816940000012</v>
      </c>
      <c r="U20" s="7">
        <f t="shared" si="52"/>
        <v>0.41229006115897376</v>
      </c>
      <c r="V20" s="106"/>
      <c r="W20" s="107"/>
      <c r="X20" s="109">
        <f t="shared" si="12"/>
        <v>9.2000509084100948</v>
      </c>
      <c r="Y20" s="109">
        <f t="shared" si="13"/>
        <v>11.832663514753873</v>
      </c>
      <c r="Z20" s="109">
        <f t="shared" si="14"/>
        <v>1.6740716116225143</v>
      </c>
      <c r="AA20" s="109">
        <f t="shared" si="15"/>
        <v>19.626751666308209</v>
      </c>
      <c r="AB20" s="109">
        <f t="shared" si="47"/>
        <v>114.591499359129</v>
      </c>
      <c r="AC20" s="109">
        <f t="shared" si="48"/>
        <v>27.295759519864117</v>
      </c>
      <c r="AD20" s="109">
        <f t="shared" si="16"/>
        <v>8.8197300867836379</v>
      </c>
      <c r="AE20" s="109">
        <f t="shared" si="17"/>
        <v>8.0285631655601222E-2</v>
      </c>
      <c r="AF20" s="109">
        <f t="shared" si="0"/>
        <v>0.10325952257305215</v>
      </c>
      <c r="AG20" s="110">
        <f t="shared" si="0"/>
        <v>1.4609038375315998E-2</v>
      </c>
      <c r="AH20" s="109">
        <f t="shared" si="0"/>
        <v>0.17127580820631466</v>
      </c>
      <c r="AI20" s="109">
        <f t="shared" si="0"/>
        <v>1</v>
      </c>
      <c r="AJ20" s="109">
        <f t="shared" si="0"/>
        <v>0.23820056175649981</v>
      </c>
      <c r="AK20" s="109">
        <f t="shared" si="0"/>
        <v>7.6966704651822926E-2</v>
      </c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6">
        <v>7</v>
      </c>
      <c r="BC20" s="109">
        <f t="shared" si="49"/>
        <v>0.35</v>
      </c>
      <c r="BD20" s="109">
        <f t="shared" si="18"/>
        <v>0.65</v>
      </c>
      <c r="BE20" s="76">
        <f t="shared" si="1"/>
        <v>1</v>
      </c>
      <c r="BF20" s="186">
        <f t="shared" si="19"/>
        <v>0</v>
      </c>
      <c r="BG20" s="186">
        <f t="shared" si="2"/>
        <v>0</v>
      </c>
      <c r="BH20" s="186"/>
      <c r="BI20" s="186"/>
      <c r="BJ20" s="186">
        <f t="shared" si="20"/>
        <v>0</v>
      </c>
      <c r="BK20" s="186">
        <f t="shared" si="3"/>
        <v>0</v>
      </c>
      <c r="BL20" s="186">
        <f t="shared" si="21"/>
        <v>0</v>
      </c>
      <c r="BM20" s="186">
        <f t="shared" si="4"/>
        <v>0</v>
      </c>
      <c r="BN20" s="187">
        <f t="shared" si="22"/>
        <v>1.65</v>
      </c>
      <c r="BO20" s="110">
        <f t="shared" si="23"/>
        <v>1.0966682661515152</v>
      </c>
      <c r="BP20" s="110">
        <f t="shared" si="24"/>
        <v>1.508653412787879</v>
      </c>
      <c r="BQ20" s="110">
        <f t="shared" si="25"/>
        <v>0.48840168630303021</v>
      </c>
      <c r="BR20" s="110">
        <f t="shared" si="26"/>
        <v>4.0728126524242425</v>
      </c>
      <c r="BS20" s="110">
        <f t="shared" si="27"/>
        <v>33.131839208787881</v>
      </c>
      <c r="BT20" s="110">
        <f t="shared" si="28"/>
        <v>4.4314394237575767</v>
      </c>
      <c r="BU20" s="110">
        <f t="shared" si="29"/>
        <v>2.8544119100909091</v>
      </c>
      <c r="BV20" s="110">
        <f t="shared" si="30"/>
        <v>0.29357397565267951</v>
      </c>
      <c r="BW20" s="107"/>
      <c r="BY20" s="54">
        <f t="shared" si="31"/>
        <v>7.7782550327939814</v>
      </c>
      <c r="BZ20" s="54">
        <f t="shared" si="32"/>
        <v>10.121379929228558</v>
      </c>
      <c r="CA20" s="54">
        <f t="shared" si="33"/>
        <v>2.0368942667282615</v>
      </c>
      <c r="CB20" s="54">
        <f t="shared" si="53"/>
        <v>16.570448585090173</v>
      </c>
      <c r="CC20" s="54">
        <f t="shared" si="34"/>
        <v>192.35413504840176</v>
      </c>
      <c r="CD20" s="54">
        <f t="shared" si="35"/>
        <v>26.780368728762664</v>
      </c>
      <c r="CE20" s="54">
        <f t="shared" si="36"/>
        <v>8.3344745122920365</v>
      </c>
      <c r="CW20" s="54">
        <f t="shared" si="37"/>
        <v>4.043716050521478E-2</v>
      </c>
      <c r="CX20" s="54">
        <f t="shared" si="37"/>
        <v>5.2618468153449012E-2</v>
      </c>
      <c r="CY20" s="54">
        <f t="shared" si="38"/>
        <v>1.058929284892015E-2</v>
      </c>
      <c r="CZ20" s="54">
        <f t="shared" si="39"/>
        <v>8.6145528303410671E-2</v>
      </c>
      <c r="DA20" s="54">
        <f t="shared" si="40"/>
        <v>1</v>
      </c>
      <c r="DB20" s="54">
        <f t="shared" si="41"/>
        <v>0.13922429440897624</v>
      </c>
      <c r="DC20" s="54">
        <f t="shared" si="42"/>
        <v>4.3328803460319927E-2</v>
      </c>
    </row>
    <row r="21" spans="2:107" x14ac:dyDescent="0.2">
      <c r="C21" s="2"/>
      <c r="D21" s="7"/>
      <c r="E21" s="7"/>
      <c r="F21" s="7"/>
      <c r="G21" s="4"/>
      <c r="I21" s="54">
        <v>0.61904761904761918</v>
      </c>
      <c r="J21" s="56">
        <f t="shared" si="7"/>
        <v>0.38095238095238082</v>
      </c>
      <c r="K21" s="8">
        <f t="shared" si="43"/>
        <v>1</v>
      </c>
      <c r="L21" s="8">
        <f t="shared" si="50"/>
        <v>0.61904761904761918</v>
      </c>
      <c r="M21" s="8">
        <f t="shared" si="8"/>
        <v>0.38095238095238082</v>
      </c>
      <c r="N21" s="7">
        <f t="shared" si="9"/>
        <v>1.6950787039523814</v>
      </c>
      <c r="O21" s="7">
        <f t="shared" si="44"/>
        <v>2.3078839343809525</v>
      </c>
      <c r="P21" s="7">
        <f t="shared" si="10"/>
        <v>0.55057407847619055</v>
      </c>
      <c r="Q21" s="7">
        <f t="shared" si="11"/>
        <v>6.3029913109523825</v>
      </c>
      <c r="R21" s="7">
        <f t="shared" si="45"/>
        <v>28.664318756666663</v>
      </c>
      <c r="S21" s="7">
        <f t="shared" si="46"/>
        <v>6.0094048087619063</v>
      </c>
      <c r="T21" s="7">
        <f t="shared" si="51"/>
        <v>3.9997901444285722</v>
      </c>
      <c r="U21" s="7">
        <f t="shared" si="52"/>
        <v>0.39156185575311292</v>
      </c>
      <c r="V21" s="106"/>
      <c r="W21" s="107"/>
      <c r="X21" s="109">
        <f t="shared" si="12"/>
        <v>9.013925115081113</v>
      </c>
      <c r="Y21" s="109">
        <f t="shared" si="13"/>
        <v>11.608641191698013</v>
      </c>
      <c r="Z21" s="109">
        <f t="shared" si="14"/>
        <v>1.7215683414115368</v>
      </c>
      <c r="AA21" s="109">
        <f t="shared" si="15"/>
        <v>19.226654264563379</v>
      </c>
      <c r="AB21" s="109">
        <f t="shared" si="47"/>
        <v>124.77132369765901</v>
      </c>
      <c r="AC21" s="109">
        <f t="shared" si="48"/>
        <v>27.228290256861335</v>
      </c>
      <c r="AD21" s="109">
        <f t="shared" si="16"/>
        <v>8.7562057930938515</v>
      </c>
      <c r="AE21" s="109">
        <f t="shared" si="17"/>
        <v>7.2243564049406919E-2</v>
      </c>
      <c r="AF21" s="109">
        <f t="shared" si="0"/>
        <v>9.3039336665431377E-2</v>
      </c>
      <c r="AG21" s="110">
        <f t="shared" si="0"/>
        <v>1.3797788549420008E-2</v>
      </c>
      <c r="AH21" s="109">
        <f t="shared" si="0"/>
        <v>0.15409513736628022</v>
      </c>
      <c r="AI21" s="109">
        <f t="shared" si="0"/>
        <v>1</v>
      </c>
      <c r="AJ21" s="109">
        <f t="shared" si="0"/>
        <v>0.21822554614263662</v>
      </c>
      <c r="AK21" s="109">
        <f t="shared" si="0"/>
        <v>7.0178030765398844E-2</v>
      </c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6">
        <v>8</v>
      </c>
      <c r="BC21" s="109">
        <f t="shared" si="49"/>
        <v>0.39999999999999997</v>
      </c>
      <c r="BD21" s="109">
        <f t="shared" si="18"/>
        <v>0.60000000000000009</v>
      </c>
      <c r="BE21" s="76">
        <f t="shared" si="1"/>
        <v>1</v>
      </c>
      <c r="BF21" s="186">
        <f t="shared" si="19"/>
        <v>0</v>
      </c>
      <c r="BG21" s="186">
        <f t="shared" si="2"/>
        <v>0</v>
      </c>
      <c r="BH21" s="186"/>
      <c r="BI21" s="186"/>
      <c r="BJ21" s="186">
        <f t="shared" si="20"/>
        <v>0</v>
      </c>
      <c r="BK21" s="186">
        <f t="shared" si="3"/>
        <v>0</v>
      </c>
      <c r="BL21" s="186">
        <f t="shared" si="21"/>
        <v>0</v>
      </c>
      <c r="BM21" s="186">
        <f t="shared" si="4"/>
        <v>0</v>
      </c>
      <c r="BN21" s="187">
        <f t="shared" si="22"/>
        <v>1.6</v>
      </c>
      <c r="BO21" s="110">
        <f t="shared" si="23"/>
        <v>1.0463212341250001</v>
      </c>
      <c r="BP21" s="110">
        <f t="shared" si="24"/>
        <v>1.4414104602500002</v>
      </c>
      <c r="BQ21" s="110">
        <f t="shared" si="25"/>
        <v>0.48317083599999999</v>
      </c>
      <c r="BR21" s="110">
        <f t="shared" si="26"/>
        <v>3.8851774287499996</v>
      </c>
      <c r="BS21" s="110">
        <f t="shared" si="27"/>
        <v>33.507712323749999</v>
      </c>
      <c r="BT21" s="110">
        <f t="shared" si="28"/>
        <v>4.2986779129999997</v>
      </c>
      <c r="BU21" s="110">
        <f t="shared" si="29"/>
        <v>2.7580459528749999</v>
      </c>
      <c r="BV21" s="110">
        <f t="shared" si="30"/>
        <v>0.28532980304807576</v>
      </c>
      <c r="BW21" s="107"/>
      <c r="BY21" s="54">
        <f t="shared" si="31"/>
        <v>7.6355857470500847</v>
      </c>
      <c r="BZ21" s="54">
        <f t="shared" si="32"/>
        <v>9.9496621664756209</v>
      </c>
      <c r="CA21" s="54">
        <f t="shared" si="33"/>
        <v>2.0733014964462475</v>
      </c>
      <c r="CB21" s="54">
        <f t="shared" si="53"/>
        <v>16.263765618081774</v>
      </c>
      <c r="CC21" s="54">
        <f t="shared" si="34"/>
        <v>200.15718180189143</v>
      </c>
      <c r="CD21" s="54">
        <f t="shared" si="35"/>
        <v>26.728652137579296</v>
      </c>
      <c r="CE21" s="54">
        <f t="shared" si="36"/>
        <v>8.2857818220097812</v>
      </c>
      <c r="CW21" s="54">
        <f t="shared" si="37"/>
        <v>3.8147947919288355E-2</v>
      </c>
      <c r="CX21" s="54">
        <f t="shared" si="37"/>
        <v>4.9709243889751849E-2</v>
      </c>
      <c r="CY21" s="54">
        <f t="shared" si="38"/>
        <v>1.0358366748480346E-2</v>
      </c>
      <c r="CZ21" s="54">
        <f t="shared" si="39"/>
        <v>8.1254969078147193E-2</v>
      </c>
      <c r="DA21" s="54">
        <f t="shared" si="40"/>
        <v>1</v>
      </c>
      <c r="DB21" s="54">
        <f t="shared" si="41"/>
        <v>0.13353831172560363</v>
      </c>
      <c r="DC21" s="54">
        <f t="shared" si="42"/>
        <v>4.1396375325721553E-2</v>
      </c>
    </row>
    <row r="22" spans="2:107" x14ac:dyDescent="0.2">
      <c r="B22" s="111" t="s">
        <v>342</v>
      </c>
      <c r="C22" s="112" t="s">
        <v>62</v>
      </c>
      <c r="D22" s="111">
        <f>VLOOKUP(C22,Table1[],2,FALSE)</f>
        <v>2.7077732910000001</v>
      </c>
      <c r="E22" s="111"/>
      <c r="F22" s="111"/>
      <c r="G22" s="113"/>
      <c r="I22" s="54">
        <v>0.57142857142857162</v>
      </c>
      <c r="J22" s="56">
        <f t="shared" si="7"/>
        <v>0.42857142857142838</v>
      </c>
      <c r="K22" s="8">
        <f t="shared" si="43"/>
        <v>1</v>
      </c>
      <c r="L22" s="8">
        <f t="shared" si="50"/>
        <v>0.57142857142857162</v>
      </c>
      <c r="M22" s="8">
        <f t="shared" si="8"/>
        <v>0.42857142857142838</v>
      </c>
      <c r="N22" s="7">
        <f t="shared" si="9"/>
        <v>1.568491880571429</v>
      </c>
      <c r="O22" s="7">
        <f t="shared" si="44"/>
        <v>2.138815939428572</v>
      </c>
      <c r="P22" s="7">
        <f t="shared" si="10"/>
        <v>0.53742222628571434</v>
      </c>
      <c r="Q22" s="7">
        <f t="shared" si="11"/>
        <v>5.8312227485714301</v>
      </c>
      <c r="R22" s="7">
        <f t="shared" si="45"/>
        <v>29.609371159999998</v>
      </c>
      <c r="S22" s="7">
        <f t="shared" si="46"/>
        <v>5.6756044388571443</v>
      </c>
      <c r="T22" s="7">
        <f t="shared" si="51"/>
        <v>3.757498594857144</v>
      </c>
      <c r="U22" s="7">
        <f t="shared" si="52"/>
        <v>0.37083365034725202</v>
      </c>
      <c r="V22" s="106"/>
      <c r="W22" s="107"/>
      <c r="X22" s="109">
        <f t="shared" si="12"/>
        <v>8.8069918590429648</v>
      </c>
      <c r="Y22" s="109">
        <f t="shared" si="13"/>
        <v>11.359574859159991</v>
      </c>
      <c r="Z22" s="109">
        <f t="shared" si="14"/>
        <v>1.7743748480789605</v>
      </c>
      <c r="AA22" s="109">
        <f t="shared" si="15"/>
        <v>18.781828984871378</v>
      </c>
      <c r="AB22" s="109">
        <f t="shared" si="47"/>
        <v>136.08917577281457</v>
      </c>
      <c r="AC22" s="109">
        <f t="shared" si="48"/>
        <v>27.15327843810185</v>
      </c>
      <c r="AD22" s="109">
        <f t="shared" si="16"/>
        <v>8.6855799615224303</v>
      </c>
      <c r="AE22" s="109">
        <f t="shared" si="17"/>
        <v>6.4714859275400702E-2</v>
      </c>
      <c r="AF22" s="109">
        <f t="shared" si="0"/>
        <v>8.3471553080191413E-2</v>
      </c>
      <c r="AG22" s="110">
        <f t="shared" si="0"/>
        <v>1.3038324598578493E-2</v>
      </c>
      <c r="AH22" s="109">
        <f t="shared" si="0"/>
        <v>0.13801118919424943</v>
      </c>
      <c r="AI22" s="109">
        <f t="shared" si="0"/>
        <v>1</v>
      </c>
      <c r="AJ22" s="109">
        <f t="shared" si="0"/>
        <v>0.19952562930817633</v>
      </c>
      <c r="AK22" s="109">
        <f t="shared" si="0"/>
        <v>6.382270972102895E-2</v>
      </c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6">
        <v>9</v>
      </c>
      <c r="BC22" s="109">
        <f t="shared" si="49"/>
        <v>0.44999999999999996</v>
      </c>
      <c r="BD22" s="109">
        <f t="shared" si="18"/>
        <v>0.55000000000000004</v>
      </c>
      <c r="BE22" s="76">
        <f t="shared" si="1"/>
        <v>1</v>
      </c>
      <c r="BF22" s="186">
        <f t="shared" si="19"/>
        <v>0</v>
      </c>
      <c r="BG22" s="186">
        <f t="shared" si="2"/>
        <v>0</v>
      </c>
      <c r="BH22" s="186"/>
      <c r="BI22" s="186"/>
      <c r="BJ22" s="186">
        <f t="shared" si="20"/>
        <v>0</v>
      </c>
      <c r="BK22" s="186">
        <f t="shared" si="3"/>
        <v>0</v>
      </c>
      <c r="BL22" s="186">
        <f t="shared" si="21"/>
        <v>0</v>
      </c>
      <c r="BM22" s="186">
        <f t="shared" si="4"/>
        <v>0</v>
      </c>
      <c r="BN22" s="187">
        <f t="shared" si="22"/>
        <v>1.55</v>
      </c>
      <c r="BO22" s="110">
        <f t="shared" si="23"/>
        <v>0.99272600648387088</v>
      </c>
      <c r="BP22" s="110">
        <f t="shared" si="24"/>
        <v>1.3698292527096776</v>
      </c>
      <c r="BQ22" s="110">
        <f t="shared" si="25"/>
        <v>0.47760251148387095</v>
      </c>
      <c r="BR22" s="110">
        <f t="shared" si="26"/>
        <v>3.6854367067741935</v>
      </c>
      <c r="BS22" s="110">
        <f t="shared" si="27"/>
        <v>33.907835317096783</v>
      </c>
      <c r="BT22" s="110">
        <f t="shared" si="28"/>
        <v>4.1573511434838704</v>
      </c>
      <c r="BU22" s="110">
        <f t="shared" si="29"/>
        <v>2.6554628371290319</v>
      </c>
      <c r="BV22" s="110">
        <f t="shared" si="30"/>
        <v>0.27655374833994911</v>
      </c>
      <c r="BW22" s="107"/>
      <c r="BY22" s="54">
        <f t="shared" si="31"/>
        <v>7.4743650709509026</v>
      </c>
      <c r="BZ22" s="54">
        <f t="shared" si="32"/>
        <v>9.7556158189039159</v>
      </c>
      <c r="CA22" s="54">
        <f t="shared" si="33"/>
        <v>2.1144427845618154</v>
      </c>
      <c r="CB22" s="54">
        <f t="shared" si="53"/>
        <v>15.917204443184248</v>
      </c>
      <c r="CC22" s="54">
        <f t="shared" si="34"/>
        <v>208.97486436525253</v>
      </c>
      <c r="CD22" s="54">
        <f t="shared" si="35"/>
        <v>26.670210800660481</v>
      </c>
      <c r="CE22" s="54">
        <f t="shared" si="36"/>
        <v>8.2307575860120998</v>
      </c>
      <c r="CW22" s="54">
        <f t="shared" si="37"/>
        <v>3.5766813839806989E-2</v>
      </c>
      <c r="CX22" s="54">
        <f t="shared" si="37"/>
        <v>4.6683202061338622E-2</v>
      </c>
      <c r="CY22" s="54">
        <f t="shared" si="38"/>
        <v>1.0118167995870207E-2</v>
      </c>
      <c r="CZ22" s="54">
        <f t="shared" si="39"/>
        <v>7.6168033373447644E-2</v>
      </c>
      <c r="DA22" s="54">
        <f t="shared" si="40"/>
        <v>1</v>
      </c>
      <c r="DB22" s="54">
        <f t="shared" si="41"/>
        <v>0.12762401297241896</v>
      </c>
      <c r="DC22" s="54">
        <f t="shared" si="42"/>
        <v>3.9386352090776504E-2</v>
      </c>
    </row>
    <row r="23" spans="2:107" x14ac:dyDescent="0.2">
      <c r="C23" s="2"/>
      <c r="I23" s="54">
        <v>0.52380952380952395</v>
      </c>
      <c r="J23" s="56">
        <f t="shared" si="7"/>
        <v>0.47619047619047605</v>
      </c>
      <c r="K23" s="8">
        <f t="shared" si="43"/>
        <v>1</v>
      </c>
      <c r="L23" s="8">
        <f t="shared" si="50"/>
        <v>0.52380952380952395</v>
      </c>
      <c r="M23" s="8">
        <f t="shared" si="8"/>
        <v>0.47619047619047605</v>
      </c>
      <c r="N23" s="7">
        <f t="shared" si="9"/>
        <v>1.4419050571904766</v>
      </c>
      <c r="O23" s="7">
        <f t="shared" si="44"/>
        <v>1.9697479444761907</v>
      </c>
      <c r="P23" s="7">
        <f t="shared" si="10"/>
        <v>0.52427037409523813</v>
      </c>
      <c r="Q23" s="7">
        <f t="shared" si="11"/>
        <v>5.3594541861904776</v>
      </c>
      <c r="R23" s="7">
        <f t="shared" si="45"/>
        <v>30.554423563333334</v>
      </c>
      <c r="S23" s="7">
        <f t="shared" si="46"/>
        <v>5.3418040689523831</v>
      </c>
      <c r="T23" s="7">
        <f t="shared" si="51"/>
        <v>3.5152070452857149</v>
      </c>
      <c r="U23" s="7">
        <f t="shared" si="52"/>
        <v>0.35010544494139112</v>
      </c>
      <c r="V23" s="106"/>
      <c r="W23" s="107"/>
      <c r="X23" s="109">
        <f t="shared" si="12"/>
        <v>8.575555384911878</v>
      </c>
      <c r="Y23" s="109">
        <f t="shared" si="13"/>
        <v>11.081016279785324</v>
      </c>
      <c r="Z23" s="109">
        <f t="shared" si="14"/>
        <v>1.8334342373152432</v>
      </c>
      <c r="AA23" s="109">
        <f t="shared" si="15"/>
        <v>18.284331403731915</v>
      </c>
      <c r="AB23" s="109">
        <f t="shared" si="47"/>
        <v>148.74718845361994</v>
      </c>
      <c r="AC23" s="109">
        <f t="shared" si="48"/>
        <v>27.06938437880838</v>
      </c>
      <c r="AD23" s="109">
        <f t="shared" si="16"/>
        <v>8.6065912394851498</v>
      </c>
      <c r="AE23" s="109">
        <f t="shared" si="17"/>
        <v>5.7651882190605408E-2</v>
      </c>
      <c r="AF23" s="109">
        <f t="shared" si="0"/>
        <v>7.4495635144327013E-2</v>
      </c>
      <c r="AG23" s="110">
        <f t="shared" si="0"/>
        <v>1.2325841290687095E-2</v>
      </c>
      <c r="AH23" s="109">
        <f t="shared" si="0"/>
        <v>0.12292219835424355</v>
      </c>
      <c r="AI23" s="109">
        <f t="shared" si="0"/>
        <v>1</v>
      </c>
      <c r="AJ23" s="109">
        <f t="shared" si="0"/>
        <v>0.18198249432626243</v>
      </c>
      <c r="AK23" s="109">
        <f t="shared" si="0"/>
        <v>5.7860530534792086E-2</v>
      </c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6">
        <v>10</v>
      </c>
      <c r="BC23" s="109">
        <f t="shared" si="49"/>
        <v>0.49999999999999994</v>
      </c>
      <c r="BD23" s="109">
        <f t="shared" si="18"/>
        <v>0.5</v>
      </c>
      <c r="BE23" s="76">
        <f t="shared" si="1"/>
        <v>1</v>
      </c>
      <c r="BF23" s="186">
        <f t="shared" si="19"/>
        <v>0</v>
      </c>
      <c r="BG23" s="186">
        <f t="shared" si="2"/>
        <v>0</v>
      </c>
      <c r="BH23" s="186"/>
      <c r="BI23" s="186"/>
      <c r="BJ23" s="186">
        <f t="shared" si="20"/>
        <v>0</v>
      </c>
      <c r="BK23" s="186">
        <f t="shared" si="3"/>
        <v>0</v>
      </c>
      <c r="BL23" s="186">
        <f t="shared" si="21"/>
        <v>0</v>
      </c>
      <c r="BM23" s="186">
        <f t="shared" si="4"/>
        <v>0</v>
      </c>
      <c r="BN23" s="187">
        <f t="shared" si="22"/>
        <v>1.5</v>
      </c>
      <c r="BO23" s="110">
        <f t="shared" si="23"/>
        <v>0.93555776366666654</v>
      </c>
      <c r="BP23" s="110">
        <f t="shared" si="24"/>
        <v>1.2934759646666669</v>
      </c>
      <c r="BQ23" s="110">
        <f t="shared" si="25"/>
        <v>0.47166296533333335</v>
      </c>
      <c r="BR23" s="110">
        <f t="shared" si="26"/>
        <v>3.4723799366666674</v>
      </c>
      <c r="BS23" s="110">
        <f t="shared" si="27"/>
        <v>34.334633176666671</v>
      </c>
      <c r="BT23" s="110">
        <f t="shared" si="28"/>
        <v>4.0066025893333332</v>
      </c>
      <c r="BU23" s="110">
        <f t="shared" si="29"/>
        <v>2.546040847</v>
      </c>
      <c r="BV23" s="110">
        <f t="shared" si="30"/>
        <v>0.26719262331794752</v>
      </c>
      <c r="BW23" s="107"/>
      <c r="BY23" s="54">
        <f t="shared" si="31"/>
        <v>7.2907230200093274</v>
      </c>
      <c r="BZ23" s="54">
        <f t="shared" si="32"/>
        <v>9.5345829457762346</v>
      </c>
      <c r="CA23" s="54">
        <f t="shared" si="33"/>
        <v>2.1613056976243623</v>
      </c>
      <c r="CB23" s="54">
        <f t="shared" si="53"/>
        <v>15.522446112709618</v>
      </c>
      <c r="CC23" s="54">
        <f t="shared" si="34"/>
        <v>219.01884476322076</v>
      </c>
      <c r="CD23" s="54">
        <f t="shared" si="35"/>
        <v>26.603641876430576</v>
      </c>
      <c r="CE23" s="54">
        <f t="shared" si="36"/>
        <v>8.1680809877332816</v>
      </c>
      <c r="CW23" s="54">
        <f t="shared" si="37"/>
        <v>3.3288108280779494E-2</v>
      </c>
      <c r="CX23" s="54">
        <f t="shared" si="37"/>
        <v>4.3533162436702577E-2</v>
      </c>
      <c r="CY23" s="54">
        <f t="shared" si="38"/>
        <v>9.868126644357612E-3</v>
      </c>
      <c r="CZ23" s="54">
        <f t="shared" si="39"/>
        <v>7.0872650841943718E-2</v>
      </c>
      <c r="DA23" s="54">
        <f t="shared" si="40"/>
        <v>1</v>
      </c>
      <c r="DB23" s="54">
        <f t="shared" si="41"/>
        <v>0.12146736462422458</v>
      </c>
      <c r="DC23" s="54">
        <f t="shared" si="42"/>
        <v>3.7293964346144362E-2</v>
      </c>
    </row>
    <row r="24" spans="2:107" x14ac:dyDescent="0.2">
      <c r="B24" t="s">
        <v>36</v>
      </c>
      <c r="C24" s="50" t="s">
        <v>52</v>
      </c>
      <c r="D24" s="8">
        <f>(D13/100/$O$9)/(D$18/100/$U$9)</f>
        <v>12.934285235590384</v>
      </c>
      <c r="E24" s="8"/>
      <c r="F24" s="8"/>
      <c r="G24" s="8">
        <f>(G13/100/$O$9)/(G$18/100/$U$9)</f>
        <v>1.7744425714357854</v>
      </c>
      <c r="I24" s="54">
        <v>0.47619047619047639</v>
      </c>
      <c r="J24" s="56">
        <f t="shared" si="7"/>
        <v>0.52380952380952361</v>
      </c>
      <c r="K24" s="8">
        <f t="shared" si="43"/>
        <v>1</v>
      </c>
      <c r="L24" s="8">
        <f t="shared" si="50"/>
        <v>0.47619047619047639</v>
      </c>
      <c r="M24" s="8">
        <f t="shared" si="8"/>
        <v>0.52380952380952361</v>
      </c>
      <c r="N24" s="7">
        <f t="shared" si="9"/>
        <v>1.3153182338095244</v>
      </c>
      <c r="O24" s="7">
        <f t="shared" si="44"/>
        <v>1.8006799495238102</v>
      </c>
      <c r="P24" s="7">
        <f t="shared" si="10"/>
        <v>0.51111852190476192</v>
      </c>
      <c r="Q24" s="7">
        <f t="shared" si="11"/>
        <v>4.8876856238095261</v>
      </c>
      <c r="R24" s="7">
        <f t="shared" si="45"/>
        <v>31.499475966666669</v>
      </c>
      <c r="S24" s="7">
        <f t="shared" si="46"/>
        <v>5.0080036990476211</v>
      </c>
      <c r="T24" s="7">
        <f t="shared" si="51"/>
        <v>3.2729154957142867</v>
      </c>
      <c r="U24" s="7">
        <f t="shared" si="52"/>
        <v>0.32937723953553028</v>
      </c>
      <c r="V24" s="106"/>
      <c r="W24" s="107"/>
      <c r="X24" s="109">
        <f t="shared" si="12"/>
        <v>8.3149896195100119</v>
      </c>
      <c r="Y24" s="109">
        <f t="shared" si="13"/>
        <v>10.767397479133772</v>
      </c>
      <c r="Z24" s="109">
        <f t="shared" si="14"/>
        <v>1.899927019052845</v>
      </c>
      <c r="AA24" s="109">
        <f t="shared" si="15"/>
        <v>17.724217279534898</v>
      </c>
      <c r="AB24" s="109">
        <f t="shared" si="47"/>
        <v>162.99837671175243</v>
      </c>
      <c r="AC24" s="109">
        <f t="shared" si="48"/>
        <v>26.974931160686445</v>
      </c>
      <c r="AD24" s="109">
        <f t="shared" si="16"/>
        <v>8.5176607591318181</v>
      </c>
      <c r="AE24" s="109">
        <f t="shared" si="17"/>
        <v>5.1012714281285773E-2</v>
      </c>
      <c r="AF24" s="109">
        <f t="shared" si="0"/>
        <v>6.6058311109287421E-2</v>
      </c>
      <c r="AG24" s="110">
        <f t="shared" si="0"/>
        <v>1.165611006306333E-2</v>
      </c>
      <c r="AH24" s="109">
        <f t="shared" si="0"/>
        <v>0.10873861223095822</v>
      </c>
      <c r="AI24" s="109">
        <f t="shared" si="0"/>
        <v>1</v>
      </c>
      <c r="AJ24" s="109">
        <f t="shared" si="0"/>
        <v>0.16549202332480353</v>
      </c>
      <c r="AK24" s="109">
        <f t="shared" si="0"/>
        <v>5.2256107888697043E-2</v>
      </c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6">
        <v>11</v>
      </c>
      <c r="BC24" s="109">
        <f t="shared" si="49"/>
        <v>0.54999999999999993</v>
      </c>
      <c r="BD24" s="109">
        <f t="shared" si="18"/>
        <v>0.45000000000000007</v>
      </c>
      <c r="BE24" s="76">
        <f t="shared" si="1"/>
        <v>1</v>
      </c>
      <c r="BF24" s="186">
        <f t="shared" si="19"/>
        <v>0</v>
      </c>
      <c r="BG24" s="186">
        <f t="shared" si="2"/>
        <v>0</v>
      </c>
      <c r="BH24" s="186"/>
      <c r="BI24" s="186"/>
      <c r="BJ24" s="186">
        <f t="shared" si="20"/>
        <v>0</v>
      </c>
      <c r="BK24" s="186">
        <f t="shared" si="3"/>
        <v>0</v>
      </c>
      <c r="BL24" s="186">
        <f t="shared" si="21"/>
        <v>0</v>
      </c>
      <c r="BM24" s="186">
        <f t="shared" si="4"/>
        <v>0</v>
      </c>
      <c r="BN24" s="187">
        <f t="shared" si="22"/>
        <v>1.4500000000000002</v>
      </c>
      <c r="BO24" s="110">
        <f t="shared" si="23"/>
        <v>0.87444688341379284</v>
      </c>
      <c r="BP24" s="110">
        <f t="shared" si="24"/>
        <v>1.2118569326206898</v>
      </c>
      <c r="BQ24" s="110">
        <f t="shared" si="25"/>
        <v>0.46531379531034484</v>
      </c>
      <c r="BR24" s="110">
        <f t="shared" si="26"/>
        <v>3.2446295962068965</v>
      </c>
      <c r="BS24" s="110">
        <f t="shared" si="27"/>
        <v>34.790865371379311</v>
      </c>
      <c r="BT24" s="110">
        <f t="shared" si="28"/>
        <v>3.8454575831724132</v>
      </c>
      <c r="BU24" s="110">
        <f t="shared" si="29"/>
        <v>2.4290725127241375</v>
      </c>
      <c r="BV24" s="110">
        <f t="shared" si="30"/>
        <v>0.25718590346684217</v>
      </c>
      <c r="BW24" s="107"/>
      <c r="BY24" s="54">
        <f t="shared" si="31"/>
        <v>7.0796327484707522</v>
      </c>
      <c r="BZ24" s="54">
        <f t="shared" si="32"/>
        <v>9.2805131999405255</v>
      </c>
      <c r="CA24" s="54">
        <f t="shared" si="33"/>
        <v>2.2151730171883828</v>
      </c>
      <c r="CB24" s="54">
        <f t="shared" si="53"/>
        <v>15.068684881309979</v>
      </c>
      <c r="CC24" s="54">
        <f t="shared" si="34"/>
        <v>230.56405752176158</v>
      </c>
      <c r="CD24" s="54">
        <f t="shared" si="35"/>
        <v>26.527123169415098</v>
      </c>
      <c r="CE24" s="54">
        <f t="shared" si="36"/>
        <v>8.0960363765891898</v>
      </c>
      <c r="CW24" s="54">
        <f t="shared" si="37"/>
        <v>3.0705708533094095E-2</v>
      </c>
      <c r="CX24" s="54">
        <f t="shared" si="37"/>
        <v>4.0251344028609456E-2</v>
      </c>
      <c r="CY24" s="54">
        <f t="shared" si="38"/>
        <v>9.6076250608979046E-3</v>
      </c>
      <c r="CZ24" s="54">
        <f t="shared" si="39"/>
        <v>6.5355741234245646E-2</v>
      </c>
      <c r="DA24" s="54">
        <f t="shared" si="40"/>
        <v>1</v>
      </c>
      <c r="DB24" s="54">
        <f t="shared" si="41"/>
        <v>0.11505315899860653</v>
      </c>
      <c r="DC24" s="54">
        <f t="shared" si="42"/>
        <v>3.511404363546583E-2</v>
      </c>
    </row>
    <row r="25" spans="2:107" x14ac:dyDescent="0.2">
      <c r="B25" t="s">
        <v>36</v>
      </c>
      <c r="C25" s="50" t="s">
        <v>54</v>
      </c>
      <c r="D25" s="8">
        <f>(D14/100/$Q$9)/(D$18/100/$U$9)</f>
        <v>21.594216257336697</v>
      </c>
      <c r="E25" s="8"/>
      <c r="F25" s="8"/>
      <c r="G25" s="8">
        <f>(G14/100/$Q$9)/(G$18/100/$U$9)</f>
        <v>1.6630594292917331</v>
      </c>
      <c r="I25" s="54">
        <v>0.42857142857142883</v>
      </c>
      <c r="J25" s="56">
        <f t="shared" si="7"/>
        <v>0.57142857142857117</v>
      </c>
      <c r="K25" s="8">
        <f t="shared" si="43"/>
        <v>1</v>
      </c>
      <c r="L25" s="8">
        <f t="shared" si="50"/>
        <v>0.42857142857142883</v>
      </c>
      <c r="M25" s="8">
        <f t="shared" si="8"/>
        <v>0.57142857142857117</v>
      </c>
      <c r="N25" s="7">
        <f t="shared" si="9"/>
        <v>1.1887314104285722</v>
      </c>
      <c r="O25" s="7">
        <f t="shared" si="44"/>
        <v>1.6316119545714298</v>
      </c>
      <c r="P25" s="7">
        <f t="shared" si="10"/>
        <v>0.49796666971428583</v>
      </c>
      <c r="Q25" s="7">
        <f t="shared" si="11"/>
        <v>4.4159170614285745</v>
      </c>
      <c r="R25" s="7">
        <f t="shared" si="45"/>
        <v>32.44452837</v>
      </c>
      <c r="S25" s="7">
        <f t="shared" si="46"/>
        <v>4.6742033291428591</v>
      </c>
      <c r="T25" s="7">
        <f t="shared" si="51"/>
        <v>3.0306239461428586</v>
      </c>
      <c r="U25" s="7">
        <f t="shared" si="52"/>
        <v>0.30864903412966938</v>
      </c>
      <c r="V25" s="106"/>
      <c r="W25" s="107"/>
      <c r="X25" s="109">
        <f t="shared" si="12"/>
        <v>8.0194257811531173</v>
      </c>
      <c r="Y25" s="109">
        <f t="shared" si="13"/>
        <v>10.411654750005489</v>
      </c>
      <c r="Z25" s="109">
        <f t="shared" si="14"/>
        <v>1.975350825258096</v>
      </c>
      <c r="AA25" s="109">
        <f t="shared" si="15"/>
        <v>17.088871035141434</v>
      </c>
      <c r="AB25" s="109">
        <f t="shared" si="47"/>
        <v>179.16372328452309</v>
      </c>
      <c r="AC25" s="109">
        <f t="shared" si="48"/>
        <v>26.867791392535317</v>
      </c>
      <c r="AD25" s="109">
        <f t="shared" si="16"/>
        <v>8.4167855191339047</v>
      </c>
      <c r="AE25" s="109">
        <f t="shared" si="17"/>
        <v>4.4760321085858285E-2</v>
      </c>
      <c r="AF25" s="109">
        <f t="shared" si="0"/>
        <v>5.8112516078219344E-2</v>
      </c>
      <c r="AG25" s="110">
        <f t="shared" si="0"/>
        <v>1.1025395035584947E-2</v>
      </c>
      <c r="AH25" s="109">
        <f t="shared" si="0"/>
        <v>9.5381312253726994E-2</v>
      </c>
      <c r="AI25" s="109">
        <f t="shared" si="0"/>
        <v>1</v>
      </c>
      <c r="AJ25" s="109">
        <f t="shared" si="0"/>
        <v>0.14996222951823568</v>
      </c>
      <c r="AK25" s="109">
        <f t="shared" si="0"/>
        <v>4.6978179314612303E-2</v>
      </c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6">
        <v>12</v>
      </c>
      <c r="BC25" s="109">
        <f t="shared" si="49"/>
        <v>0.6</v>
      </c>
      <c r="BD25" s="109">
        <f t="shared" si="18"/>
        <v>0.4</v>
      </c>
      <c r="BE25" s="76">
        <f t="shared" si="1"/>
        <v>1</v>
      </c>
      <c r="BF25" s="186">
        <f t="shared" si="19"/>
        <v>0</v>
      </c>
      <c r="BG25" s="186">
        <f t="shared" si="2"/>
        <v>0</v>
      </c>
      <c r="BH25" s="186"/>
      <c r="BI25" s="186"/>
      <c r="BJ25" s="186">
        <f t="shared" si="20"/>
        <v>0</v>
      </c>
      <c r="BK25" s="186">
        <f t="shared" si="3"/>
        <v>0</v>
      </c>
      <c r="BL25" s="186">
        <f t="shared" si="21"/>
        <v>0</v>
      </c>
      <c r="BM25" s="186">
        <f t="shared" si="4"/>
        <v>0</v>
      </c>
      <c r="BN25" s="187">
        <f t="shared" si="22"/>
        <v>1.4</v>
      </c>
      <c r="BO25" s="110">
        <f t="shared" si="23"/>
        <v>0.80897094028571404</v>
      </c>
      <c r="BP25" s="110">
        <f t="shared" si="24"/>
        <v>1.1244079697142859</v>
      </c>
      <c r="BQ25" s="110">
        <f t="shared" si="25"/>
        <v>0.4585111131428572</v>
      </c>
      <c r="BR25" s="110">
        <f t="shared" si="26"/>
        <v>3.0006113742857141</v>
      </c>
      <c r="BS25" s="110">
        <f t="shared" si="27"/>
        <v>35.279685579999999</v>
      </c>
      <c r="BT25" s="110">
        <f t="shared" si="28"/>
        <v>3.6728022194285717</v>
      </c>
      <c r="BU25" s="110">
        <f t="shared" si="29"/>
        <v>2.3037492974285714</v>
      </c>
      <c r="BV25" s="110">
        <f t="shared" si="30"/>
        <v>0.24646441791208659</v>
      </c>
      <c r="BW25" s="107"/>
      <c r="BY25" s="54">
        <f t="shared" si="31"/>
        <v>6.8344433563970339</v>
      </c>
      <c r="BZ25" s="54">
        <f t="shared" si="32"/>
        <v>8.9854015111273444</v>
      </c>
      <c r="CA25" s="54">
        <f t="shared" si="33"/>
        <v>2.2777419609879987</v>
      </c>
      <c r="CB25" s="54">
        <f t="shared" si="53"/>
        <v>14.541623924580055</v>
      </c>
      <c r="CC25" s="54">
        <f t="shared" si="34"/>
        <v>243.97426196650338</v>
      </c>
      <c r="CD25" s="54">
        <f t="shared" si="35"/>
        <v>26.438243776164786</v>
      </c>
      <c r="CE25" s="54">
        <f t="shared" si="36"/>
        <v>8.0123538161383649</v>
      </c>
      <c r="CW25" s="54">
        <f t="shared" si="37"/>
        <v>2.8012968668536739E-2</v>
      </c>
      <c r="CX25" s="54">
        <f t="shared" si="37"/>
        <v>3.6829300921754612E-2</v>
      </c>
      <c r="CY25" s="54">
        <f t="shared" si="38"/>
        <v>9.3359928323124633E-3</v>
      </c>
      <c r="CZ25" s="54">
        <f t="shared" si="39"/>
        <v>5.9603106521853348E-2</v>
      </c>
      <c r="DA25" s="54">
        <f t="shared" si="40"/>
        <v>1</v>
      </c>
      <c r="DB25" s="54">
        <f t="shared" si="41"/>
        <v>0.10836488883321078</v>
      </c>
      <c r="DC25" s="54">
        <f t="shared" si="42"/>
        <v>3.2840979829415064E-2</v>
      </c>
    </row>
    <row r="26" spans="2:107" x14ac:dyDescent="0.2">
      <c r="B26" t="s">
        <v>36</v>
      </c>
      <c r="C26" s="50" t="s">
        <v>55</v>
      </c>
      <c r="D26" s="8">
        <f>(D15/100/$R$9)/(D$18/100/$U$9)</f>
        <v>64.532579102202547</v>
      </c>
      <c r="E26" s="8"/>
      <c r="F26" s="8"/>
      <c r="G26" s="8">
        <f>(G15/100/$R$9)/(G$18/100/$U$9)</f>
        <v>571.64828264929145</v>
      </c>
      <c r="I26" s="54">
        <v>0.38095238095238115</v>
      </c>
      <c r="J26" s="56">
        <f t="shared" si="7"/>
        <v>0.61904761904761885</v>
      </c>
      <c r="K26" s="8">
        <f t="shared" si="43"/>
        <v>1</v>
      </c>
      <c r="L26" s="8">
        <f t="shared" si="50"/>
        <v>0.38095238095238115</v>
      </c>
      <c r="M26" s="8">
        <f t="shared" si="8"/>
        <v>0.61904761904761885</v>
      </c>
      <c r="N26" s="7">
        <f t="shared" si="9"/>
        <v>1.0621445870476196</v>
      </c>
      <c r="O26" s="7">
        <f t="shared" si="44"/>
        <v>1.4625439596190484</v>
      </c>
      <c r="P26" s="7">
        <f t="shared" si="10"/>
        <v>0.48481481752380956</v>
      </c>
      <c r="Q26" s="7">
        <f t="shared" si="11"/>
        <v>3.9441484990476212</v>
      </c>
      <c r="R26" s="7">
        <f t="shared" si="45"/>
        <v>33.389580773333336</v>
      </c>
      <c r="S26" s="7">
        <f t="shared" si="46"/>
        <v>4.340402959238097</v>
      </c>
      <c r="T26" s="7">
        <f t="shared" si="51"/>
        <v>2.7883323965714295</v>
      </c>
      <c r="U26" s="7">
        <f t="shared" si="52"/>
        <v>0.28792082872380842</v>
      </c>
      <c r="V26" s="106"/>
      <c r="W26" s="107"/>
      <c r="X26" s="109">
        <f t="shared" si="12"/>
        <v>7.6813050497839193</v>
      </c>
      <c r="Y26" s="109">
        <f t="shared" si="13"/>
        <v>10.004690243045452</v>
      </c>
      <c r="Z26" s="109">
        <f t="shared" si="14"/>
        <v>2.0616345623300649</v>
      </c>
      <c r="AA26" s="109">
        <f t="shared" si="15"/>
        <v>16.362044174246535</v>
      </c>
      <c r="AB26" s="109">
        <f t="shared" si="47"/>
        <v>197.656644598604</v>
      </c>
      <c r="AC26" s="109">
        <f t="shared" si="48"/>
        <v>26.745225056384811</v>
      </c>
      <c r="AD26" s="109">
        <f t="shared" si="16"/>
        <v>8.3013857120575345</v>
      </c>
      <c r="AE26" s="109">
        <f t="shared" si="17"/>
        <v>3.8861861008431642E-2</v>
      </c>
      <c r="AF26" s="109">
        <f t="shared" si="0"/>
        <v>5.061651361816203E-2</v>
      </c>
      <c r="AG26" s="110">
        <f t="shared" si="0"/>
        <v>1.0430383286718132E-2</v>
      </c>
      <c r="AH26" s="109">
        <f t="shared" si="0"/>
        <v>8.2780137280353772E-2</v>
      </c>
      <c r="AI26" s="109">
        <f t="shared" si="0"/>
        <v>1</v>
      </c>
      <c r="AJ26" s="109">
        <f t="shared" si="0"/>
        <v>0.13531154042758503</v>
      </c>
      <c r="AK26" s="109">
        <f t="shared" si="0"/>
        <v>4.1999021732437955E-2</v>
      </c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6">
        <v>13</v>
      </c>
      <c r="BC26" s="109">
        <f t="shared" si="49"/>
        <v>0.65</v>
      </c>
      <c r="BD26" s="109">
        <f t="shared" si="18"/>
        <v>0.35</v>
      </c>
      <c r="BE26" s="76">
        <f t="shared" si="1"/>
        <v>1</v>
      </c>
      <c r="BF26" s="186">
        <f t="shared" si="19"/>
        <v>0</v>
      </c>
      <c r="BG26" s="186">
        <f t="shared" si="2"/>
        <v>0</v>
      </c>
      <c r="BH26" s="186"/>
      <c r="BI26" s="186"/>
      <c r="BJ26" s="186">
        <f t="shared" si="20"/>
        <v>0</v>
      </c>
      <c r="BK26" s="186">
        <f t="shared" si="3"/>
        <v>0</v>
      </c>
      <c r="BL26" s="186">
        <f t="shared" si="21"/>
        <v>0</v>
      </c>
      <c r="BM26" s="186">
        <f t="shared" si="4"/>
        <v>0</v>
      </c>
      <c r="BN26" s="187">
        <f t="shared" si="22"/>
        <v>1.35</v>
      </c>
      <c r="BO26" s="110">
        <f t="shared" si="23"/>
        <v>0.73864492729629605</v>
      </c>
      <c r="BP26" s="110">
        <f t="shared" si="24"/>
        <v>1.0304813058518518</v>
      </c>
      <c r="BQ26" s="110">
        <f t="shared" si="25"/>
        <v>0.45120452859259252</v>
      </c>
      <c r="BR26" s="110">
        <f t="shared" si="26"/>
        <v>2.7385177285185183</v>
      </c>
      <c r="BS26" s="110">
        <f t="shared" si="27"/>
        <v>35.80471469296296</v>
      </c>
      <c r="BT26" s="110">
        <f t="shared" si="28"/>
        <v>3.4873575694814809</v>
      </c>
      <c r="BU26" s="110">
        <f t="shared" si="29"/>
        <v>2.1691428809999995</v>
      </c>
      <c r="BV26" s="110">
        <f t="shared" si="30"/>
        <v>0.23494874824216383</v>
      </c>
      <c r="BW26" s="107"/>
      <c r="BY26" s="54">
        <f t="shared" si="31"/>
        <v>6.546166394815371</v>
      </c>
      <c r="BZ26" s="54">
        <f t="shared" si="32"/>
        <v>8.6384293184938272</v>
      </c>
      <c r="CA26" s="54">
        <f t="shared" si="33"/>
        <v>2.3513062569609016</v>
      </c>
      <c r="CB26" s="54">
        <f t="shared" si="53"/>
        <v>13.921941605172274</v>
      </c>
      <c r="CC26" s="54">
        <f t="shared" si="34"/>
        <v>259.74106557420919</v>
      </c>
      <c r="CD26" s="54">
        <f t="shared" si="35"/>
        <v>26.333745448497666</v>
      </c>
      <c r="CE26" s="54">
        <f t="shared" si="36"/>
        <v>7.9139655699744171</v>
      </c>
      <c r="CW26" s="54">
        <f t="shared" si="37"/>
        <v>2.5202662429769318E-2</v>
      </c>
      <c r="CX26" s="54">
        <f t="shared" si="37"/>
        <v>3.3257849695029408E-2</v>
      </c>
      <c r="CY26" s="54">
        <f t="shared" si="38"/>
        <v>9.0525010042708191E-3</v>
      </c>
      <c r="CZ26" s="54">
        <f t="shared" si="39"/>
        <v>5.3599308890163587E-2</v>
      </c>
      <c r="DA26" s="54">
        <f t="shared" si="40"/>
        <v>1</v>
      </c>
      <c r="DB26" s="54">
        <f t="shared" si="41"/>
        <v>0.10138460543496153</v>
      </c>
      <c r="DC26" s="54">
        <f t="shared" si="42"/>
        <v>3.0468672916541036E-2</v>
      </c>
    </row>
    <row r="27" spans="2:107" x14ac:dyDescent="0.2">
      <c r="B27" t="s">
        <v>36</v>
      </c>
      <c r="C27" s="50" t="s">
        <v>56</v>
      </c>
      <c r="D27" s="8">
        <f>(D16/100/$S$9)/(D$18/100/$U$9)</f>
        <v>27.62753719540477</v>
      </c>
      <c r="E27" s="8"/>
      <c r="F27" s="8"/>
      <c r="G27" s="8">
        <f>(G16/100/$S$9)/(G$18/100/$U$9)</f>
        <v>24.266504466582802</v>
      </c>
      <c r="I27" s="54">
        <v>0.33333333333333359</v>
      </c>
      <c r="J27" s="56">
        <f t="shared" si="7"/>
        <v>0.66666666666666641</v>
      </c>
      <c r="K27" s="8">
        <f t="shared" si="43"/>
        <v>1</v>
      </c>
      <c r="L27" s="8">
        <f t="shared" si="50"/>
        <v>0.33333333333333359</v>
      </c>
      <c r="M27" s="8">
        <f t="shared" si="8"/>
        <v>0.66666666666666641</v>
      </c>
      <c r="N27" s="7">
        <f t="shared" si="9"/>
        <v>0.93555776366666743</v>
      </c>
      <c r="O27" s="7">
        <f t="shared" si="44"/>
        <v>1.2934759646666674</v>
      </c>
      <c r="P27" s="7">
        <f t="shared" si="10"/>
        <v>0.47166296533333335</v>
      </c>
      <c r="Q27" s="7">
        <f t="shared" si="11"/>
        <v>3.4723799366666697</v>
      </c>
      <c r="R27" s="7">
        <f t="shared" si="45"/>
        <v>34.334633176666664</v>
      </c>
      <c r="S27" s="7">
        <f t="shared" si="46"/>
        <v>4.006602589333335</v>
      </c>
      <c r="T27" s="7">
        <f t="shared" si="51"/>
        <v>2.5460408470000013</v>
      </c>
      <c r="U27" s="7">
        <f t="shared" si="52"/>
        <v>0.26719262331794758</v>
      </c>
      <c r="V27" s="106"/>
      <c r="W27" s="107"/>
      <c r="X27" s="109">
        <f t="shared" si="12"/>
        <v>7.2907230200093327</v>
      </c>
      <c r="Y27" s="109">
        <f t="shared" si="13"/>
        <v>9.5345829457762328</v>
      </c>
      <c r="Z27" s="109">
        <f t="shared" si="14"/>
        <v>2.1613056976243619</v>
      </c>
      <c r="AA27" s="109">
        <f t="shared" si="15"/>
        <v>15.522446112709623</v>
      </c>
      <c r="AB27" s="109">
        <f t="shared" si="47"/>
        <v>219.01884476322064</v>
      </c>
      <c r="AC27" s="109">
        <f t="shared" si="48"/>
        <v>26.603641876430583</v>
      </c>
      <c r="AD27" s="109">
        <f t="shared" si="16"/>
        <v>8.1680809877332852</v>
      </c>
      <c r="AE27" s="109">
        <f t="shared" si="17"/>
        <v>3.3288108280779535E-2</v>
      </c>
      <c r="AF27" s="109">
        <f t="shared" si="0"/>
        <v>4.3533162436702591E-2</v>
      </c>
      <c r="AG27" s="110">
        <f t="shared" si="0"/>
        <v>9.8681266443576155E-3</v>
      </c>
      <c r="AH27" s="109">
        <f t="shared" si="0"/>
        <v>7.0872650841943774E-2</v>
      </c>
      <c r="AI27" s="109">
        <f t="shared" si="0"/>
        <v>1</v>
      </c>
      <c r="AJ27" s="109">
        <f t="shared" si="0"/>
        <v>0.12146736462422468</v>
      </c>
      <c r="AK27" s="109">
        <f t="shared" si="0"/>
        <v>3.7293964346144397E-2</v>
      </c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6">
        <v>14</v>
      </c>
      <c r="BC27" s="109">
        <f t="shared" si="49"/>
        <v>0.70000000000000007</v>
      </c>
      <c r="BD27" s="109">
        <f t="shared" si="18"/>
        <v>0.29999999999999993</v>
      </c>
      <c r="BE27" s="76">
        <f t="shared" si="1"/>
        <v>1</v>
      </c>
      <c r="BF27" s="186">
        <f t="shared" si="19"/>
        <v>0</v>
      </c>
      <c r="BG27" s="186">
        <f t="shared" si="2"/>
        <v>0</v>
      </c>
      <c r="BH27" s="186"/>
      <c r="BI27" s="186"/>
      <c r="BJ27" s="186">
        <f t="shared" si="20"/>
        <v>0</v>
      </c>
      <c r="BK27" s="186">
        <f t="shared" si="3"/>
        <v>0</v>
      </c>
      <c r="BL27" s="186">
        <f t="shared" si="21"/>
        <v>0</v>
      </c>
      <c r="BM27" s="186">
        <f t="shared" si="4"/>
        <v>0</v>
      </c>
      <c r="BN27" s="187">
        <f t="shared" si="22"/>
        <v>1.2999999999999998</v>
      </c>
      <c r="BO27" s="110">
        <f t="shared" si="23"/>
        <v>0.6629092209999996</v>
      </c>
      <c r="BP27" s="110">
        <f t="shared" si="24"/>
        <v>0.92932951400000008</v>
      </c>
      <c r="BQ27" s="110">
        <f t="shared" si="25"/>
        <v>0.44333589907692317</v>
      </c>
      <c r="BR27" s="110">
        <f t="shared" si="26"/>
        <v>2.4562630330769228</v>
      </c>
      <c r="BS27" s="110">
        <f t="shared" si="27"/>
        <v>36.370130660769235</v>
      </c>
      <c r="BT27" s="110">
        <f t="shared" si="28"/>
        <v>3.2876479464615382</v>
      </c>
      <c r="BU27" s="110">
        <f t="shared" si="29"/>
        <v>2.0241821248461531</v>
      </c>
      <c r="BV27" s="110">
        <f t="shared" si="30"/>
        <v>0.22254725782840093</v>
      </c>
      <c r="BW27" s="107"/>
      <c r="BY27" s="54">
        <f t="shared" si="31"/>
        <v>6.202349985048027</v>
      </c>
      <c r="BZ27" s="54">
        <f t="shared" si="32"/>
        <v>8.2246094526750895</v>
      </c>
      <c r="CA27" s="54">
        <f t="shared" si="33"/>
        <v>2.4390434524332516</v>
      </c>
      <c r="CB27" s="54">
        <f t="shared" si="53"/>
        <v>13.182871271261019</v>
      </c>
      <c r="CC27" s="54">
        <f t="shared" si="34"/>
        <v>278.5455020444906</v>
      </c>
      <c r="CD27" s="54">
        <f t="shared" si="35"/>
        <v>26.209114469844085</v>
      </c>
      <c r="CE27" s="54">
        <f t="shared" si="36"/>
        <v>7.7966218413122448</v>
      </c>
      <c r="CW27" s="54">
        <f t="shared" si="37"/>
        <v>2.2266918473008976E-2</v>
      </c>
      <c r="CX27" s="54">
        <f t="shared" si="37"/>
        <v>2.9526987125289915E-2</v>
      </c>
      <c r="CY27" s="54">
        <f t="shared" si="38"/>
        <v>8.7563555488455753E-3</v>
      </c>
      <c r="CZ27" s="54">
        <f t="shared" si="39"/>
        <v>4.732753239417016E-2</v>
      </c>
      <c r="DA27" s="54">
        <f t="shared" si="40"/>
        <v>1</v>
      </c>
      <c r="DB27" s="54">
        <f t="shared" si="41"/>
        <v>9.4092757834796564E-2</v>
      </c>
      <c r="DC27" s="54">
        <f t="shared" si="42"/>
        <v>2.7990478338677075E-2</v>
      </c>
    </row>
    <row r="28" spans="2:107" x14ac:dyDescent="0.2">
      <c r="B28" t="s">
        <v>36</v>
      </c>
      <c r="C28" s="50" t="s">
        <v>57</v>
      </c>
      <c r="D28" s="8">
        <f>(D17/100/$T$9)/(D$18/100/$U$9)</f>
        <v>9.1321085175349861</v>
      </c>
      <c r="E28" s="8"/>
      <c r="F28" s="8"/>
      <c r="G28" s="8">
        <f>(G17/100/$T$9)/(G$18/100/$U$9)</f>
        <v>5.9675974399815637</v>
      </c>
      <c r="I28" s="54">
        <v>0.28571428571428592</v>
      </c>
      <c r="J28" s="56">
        <f t="shared" si="7"/>
        <v>0.71428571428571408</v>
      </c>
      <c r="K28" s="8">
        <f t="shared" si="43"/>
        <v>1</v>
      </c>
      <c r="L28" s="8">
        <f t="shared" si="50"/>
        <v>0.28571428571428592</v>
      </c>
      <c r="M28" s="8">
        <f t="shared" si="8"/>
        <v>0.71428571428571408</v>
      </c>
      <c r="N28" s="7">
        <f t="shared" si="9"/>
        <v>0.8089709402857147</v>
      </c>
      <c r="O28" s="7">
        <f t="shared" si="44"/>
        <v>1.1244079697142864</v>
      </c>
      <c r="P28" s="7">
        <f t="shared" si="10"/>
        <v>0.4585111131428572</v>
      </c>
      <c r="Q28" s="7">
        <f t="shared" si="11"/>
        <v>3.0006113742857163</v>
      </c>
      <c r="R28" s="7">
        <f t="shared" si="45"/>
        <v>35.279685579999999</v>
      </c>
      <c r="S28" s="7">
        <f t="shared" si="46"/>
        <v>3.6728022194285734</v>
      </c>
      <c r="T28" s="7">
        <f t="shared" si="51"/>
        <v>2.3037492974285727</v>
      </c>
      <c r="U28" s="7">
        <f t="shared" si="52"/>
        <v>0.24646441791208668</v>
      </c>
      <c r="V28" s="106"/>
      <c r="W28" s="107"/>
      <c r="X28" s="109">
        <f t="shared" si="12"/>
        <v>6.8344433563970357</v>
      </c>
      <c r="Y28" s="109">
        <f t="shared" si="13"/>
        <v>8.9854015111273444</v>
      </c>
      <c r="Z28" s="109">
        <f t="shared" si="14"/>
        <v>2.2777419609879979</v>
      </c>
      <c r="AA28" s="109">
        <f t="shared" si="15"/>
        <v>14.54162392458006</v>
      </c>
      <c r="AB28" s="109">
        <f t="shared" si="47"/>
        <v>243.97426196650326</v>
      </c>
      <c r="AC28" s="109">
        <f t="shared" si="48"/>
        <v>26.438243776164789</v>
      </c>
      <c r="AD28" s="109">
        <f t="shared" si="16"/>
        <v>8.0123538161383667</v>
      </c>
      <c r="AE28" s="109">
        <f t="shared" si="17"/>
        <v>2.801296866853676E-2</v>
      </c>
      <c r="AF28" s="109">
        <f t="shared" si="0"/>
        <v>3.6829300921754633E-2</v>
      </c>
      <c r="AG28" s="110">
        <f t="shared" si="0"/>
        <v>9.3359928323124633E-3</v>
      </c>
      <c r="AH28" s="109">
        <f t="shared" si="0"/>
        <v>5.9603106521853397E-2</v>
      </c>
      <c r="AI28" s="109">
        <f t="shared" si="0"/>
        <v>1</v>
      </c>
      <c r="AJ28" s="109">
        <f t="shared" si="0"/>
        <v>0.10836488883321085</v>
      </c>
      <c r="AK28" s="109">
        <f t="shared" si="0"/>
        <v>3.2840979829415091E-2</v>
      </c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6">
        <v>15</v>
      </c>
      <c r="BC28" s="109">
        <f t="shared" si="49"/>
        <v>0.75000000000000011</v>
      </c>
      <c r="BD28" s="109">
        <f t="shared" si="18"/>
        <v>0.24999999999999989</v>
      </c>
      <c r="BE28" s="76">
        <f t="shared" si="1"/>
        <v>1</v>
      </c>
      <c r="BF28" s="186">
        <f t="shared" si="19"/>
        <v>0</v>
      </c>
      <c r="BG28" s="186">
        <f t="shared" si="2"/>
        <v>0</v>
      </c>
      <c r="BH28" s="186"/>
      <c r="BI28" s="186"/>
      <c r="BJ28" s="186">
        <f t="shared" si="20"/>
        <v>0</v>
      </c>
      <c r="BK28" s="186">
        <f t="shared" si="3"/>
        <v>0</v>
      </c>
      <c r="BL28" s="186">
        <f t="shared" si="21"/>
        <v>0</v>
      </c>
      <c r="BM28" s="186">
        <f t="shared" si="4"/>
        <v>0</v>
      </c>
      <c r="BN28" s="187">
        <f t="shared" si="22"/>
        <v>1.25</v>
      </c>
      <c r="BO28" s="110">
        <f t="shared" si="23"/>
        <v>0.58111465819999952</v>
      </c>
      <c r="BP28" s="110">
        <f t="shared" si="24"/>
        <v>0.82008557879999966</v>
      </c>
      <c r="BQ28" s="110">
        <f t="shared" si="25"/>
        <v>0.43483777919999989</v>
      </c>
      <c r="BR28" s="110">
        <f t="shared" si="26"/>
        <v>2.1514279619999988</v>
      </c>
      <c r="BS28" s="110">
        <f t="shared" si="27"/>
        <v>36.980779906000002</v>
      </c>
      <c r="BT28" s="110">
        <f t="shared" si="28"/>
        <v>3.0719615535999991</v>
      </c>
      <c r="BU28" s="110">
        <f t="shared" si="29"/>
        <v>1.8676245081999991</v>
      </c>
      <c r="BV28" s="110">
        <f t="shared" si="30"/>
        <v>0.20915364818153689</v>
      </c>
      <c r="BW28" s="107"/>
      <c r="BY28" s="54">
        <f t="shared" si="31"/>
        <v>5.7852328337745043</v>
      </c>
      <c r="BZ28" s="54">
        <f t="shared" si="32"/>
        <v>7.722564295239148</v>
      </c>
      <c r="CA28" s="54">
        <f t="shared" si="33"/>
        <v>2.5454859839602366</v>
      </c>
      <c r="CB28" s="54">
        <f t="shared" si="53"/>
        <v>12.2862331134708</v>
      </c>
      <c r="CC28" s="54">
        <f t="shared" si="34"/>
        <v>301.35899421345243</v>
      </c>
      <c r="CD28" s="54">
        <f t="shared" si="35"/>
        <v>26.05791249896787</v>
      </c>
      <c r="CE28" s="54">
        <f t="shared" si="36"/>
        <v>7.6542607426884208</v>
      </c>
      <c r="CW28" s="54">
        <f t="shared" si="37"/>
        <v>1.9197146741460207E-2</v>
      </c>
      <c r="CX28" s="54">
        <f t="shared" si="37"/>
        <v>2.5625796619726103E-2</v>
      </c>
      <c r="CY28" s="54">
        <f t="shared" si="38"/>
        <v>8.4466899373750563E-3</v>
      </c>
      <c r="CZ28" s="54">
        <f t="shared" si="39"/>
        <v>4.0769425666348176E-2</v>
      </c>
      <c r="DA28" s="54">
        <f t="shared" si="40"/>
        <v>1</v>
      </c>
      <c r="DB28" s="54">
        <f t="shared" si="41"/>
        <v>8.6468009912825314E-2</v>
      </c>
      <c r="DC28" s="54">
        <f t="shared" si="42"/>
        <v>2.5399144839416712E-2</v>
      </c>
    </row>
    <row r="29" spans="2:107" x14ac:dyDescent="0.2">
      <c r="B29" t="s">
        <v>36</v>
      </c>
      <c r="C29" s="50" t="s">
        <v>341</v>
      </c>
      <c r="D29" s="8">
        <f>(D18/100/$U$9)/(D$18/100/$U$9)</f>
        <v>1</v>
      </c>
      <c r="E29" s="8"/>
      <c r="F29" s="8"/>
      <c r="G29" s="8">
        <f>(G18/100/$U$9)/(G$18/100/$U$9)</f>
        <v>1</v>
      </c>
      <c r="I29" s="54">
        <v>0.23809523809523836</v>
      </c>
      <c r="J29" s="56">
        <f t="shared" si="7"/>
        <v>0.76190476190476164</v>
      </c>
      <c r="K29" s="8">
        <f t="shared" si="43"/>
        <v>1</v>
      </c>
      <c r="L29" s="8">
        <f t="shared" si="50"/>
        <v>0.23809523809523836</v>
      </c>
      <c r="M29" s="8">
        <f t="shared" si="8"/>
        <v>0.76190476190476164</v>
      </c>
      <c r="N29" s="7">
        <f t="shared" si="9"/>
        <v>0.68238411690476264</v>
      </c>
      <c r="O29" s="7">
        <f t="shared" si="44"/>
        <v>0.9553399747619058</v>
      </c>
      <c r="P29" s="7">
        <f t="shared" si="10"/>
        <v>0.4453592609523811</v>
      </c>
      <c r="Q29" s="7">
        <f t="shared" si="11"/>
        <v>2.5288428119047648</v>
      </c>
      <c r="R29" s="7">
        <f t="shared" si="45"/>
        <v>36.224737983333327</v>
      </c>
      <c r="S29" s="7">
        <f t="shared" si="46"/>
        <v>3.3390018495238114</v>
      </c>
      <c r="T29" s="7">
        <f t="shared" si="51"/>
        <v>2.0614577478571445</v>
      </c>
      <c r="U29" s="7">
        <f t="shared" si="52"/>
        <v>0.2257362125062258</v>
      </c>
      <c r="V29" s="106"/>
      <c r="W29" s="107"/>
      <c r="X29" s="109">
        <f t="shared" si="12"/>
        <v>6.2943680227425558</v>
      </c>
      <c r="Y29" s="109">
        <f t="shared" si="13"/>
        <v>8.3353630145467257</v>
      </c>
      <c r="Z29" s="109">
        <f t="shared" si="14"/>
        <v>2.4155617211056231</v>
      </c>
      <c r="AA29" s="109">
        <f t="shared" si="15"/>
        <v>13.380673935452561</v>
      </c>
      <c r="AB29" s="109">
        <f t="shared" si="47"/>
        <v>273.51273660692016</v>
      </c>
      <c r="AC29" s="109">
        <f t="shared" si="48"/>
        <v>26.24247034747486</v>
      </c>
      <c r="AD29" s="109">
        <f t="shared" si="16"/>
        <v>7.8280273802583338</v>
      </c>
      <c r="AE29" s="109">
        <f t="shared" si="17"/>
        <v>2.3013070984655937E-2</v>
      </c>
      <c r="AF29" s="109">
        <f t="shared" ref="AF29:AF34" si="54">Y29/$AB29</f>
        <v>3.047522802028018E-2</v>
      </c>
      <c r="AG29" s="110">
        <f t="shared" ref="AG29:AG34" si="55">Z29/$AB29</f>
        <v>8.8316242639082526E-3</v>
      </c>
      <c r="AH29" s="109">
        <f t="shared" ref="AH29:AH34" si="56">AA29/$AB29</f>
        <v>4.8921575285478011E-2</v>
      </c>
      <c r="AI29" s="109">
        <f t="shared" ref="AI29:AI34" si="57">AB29/$AB29</f>
        <v>1</v>
      </c>
      <c r="AJ29" s="109">
        <f t="shared" ref="AJ29:AJ34" si="58">AC29/$AB29</f>
        <v>9.5946063327900247E-2</v>
      </c>
      <c r="AK29" s="109">
        <f t="shared" ref="AK29:AK34" si="59">AD29/$AB29</f>
        <v>2.8620339503634934E-2</v>
      </c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6">
        <v>16</v>
      </c>
      <c r="BC29" s="109">
        <f t="shared" si="49"/>
        <v>0.80000000000000016</v>
      </c>
      <c r="BD29" s="109">
        <f t="shared" si="18"/>
        <v>0.19999999999999984</v>
      </c>
      <c r="BE29" s="76">
        <f t="shared" si="1"/>
        <v>1</v>
      </c>
      <c r="BF29" s="186">
        <f t="shared" si="19"/>
        <v>0</v>
      </c>
      <c r="BG29" s="186">
        <f t="shared" si="2"/>
        <v>0</v>
      </c>
      <c r="BH29" s="186"/>
      <c r="BI29" s="186"/>
      <c r="BJ29" s="186">
        <f t="shared" si="20"/>
        <v>0</v>
      </c>
      <c r="BK29" s="186">
        <f t="shared" si="3"/>
        <v>0</v>
      </c>
      <c r="BL29" s="186">
        <f t="shared" si="21"/>
        <v>0</v>
      </c>
      <c r="BM29" s="186">
        <f t="shared" si="4"/>
        <v>0</v>
      </c>
      <c r="BN29" s="187">
        <f t="shared" si="22"/>
        <v>1.1999999999999997</v>
      </c>
      <c r="BO29" s="110">
        <f t="shared" si="23"/>
        <v>0.49250388183333277</v>
      </c>
      <c r="BP29" s="110">
        <f t="shared" si="24"/>
        <v>0.70173798233333318</v>
      </c>
      <c r="BQ29" s="110">
        <f t="shared" si="25"/>
        <v>0.42563148266666662</v>
      </c>
      <c r="BR29" s="110">
        <f t="shared" si="26"/>
        <v>1.8211899683333324</v>
      </c>
      <c r="BS29" s="110">
        <f t="shared" si="27"/>
        <v>37.642316588333344</v>
      </c>
      <c r="BT29" s="110">
        <f t="shared" si="28"/>
        <v>2.8383012946666657</v>
      </c>
      <c r="BU29" s="110">
        <f t="shared" si="29"/>
        <v>1.6980204234999992</v>
      </c>
      <c r="BV29" s="110">
        <f t="shared" si="30"/>
        <v>0.19464390439743429</v>
      </c>
      <c r="BW29" s="107"/>
      <c r="BY29" s="54">
        <f t="shared" si="31"/>
        <v>5.2685766951135147</v>
      </c>
      <c r="BZ29" s="54">
        <f t="shared" si="32"/>
        <v>7.1007133076152682</v>
      </c>
      <c r="CA29" s="54">
        <f t="shared" si="33"/>
        <v>2.6773294892203938</v>
      </c>
      <c r="CB29" s="54">
        <f t="shared" si="53"/>
        <v>11.175625201603333</v>
      </c>
      <c r="CC29" s="54">
        <f t="shared" si="34"/>
        <v>329.61659699339498</v>
      </c>
      <c r="CD29" s="54">
        <f t="shared" si="35"/>
        <v>25.870628360225712</v>
      </c>
      <c r="CE29" s="54">
        <f t="shared" si="36"/>
        <v>7.47792722275054</v>
      </c>
      <c r="CW29" s="54">
        <f t="shared" si="37"/>
        <v>1.598395451919276E-2</v>
      </c>
      <c r="CX29" s="54">
        <f t="shared" si="37"/>
        <v>2.1542341533723062E-2</v>
      </c>
      <c r="CY29" s="54">
        <f t="shared" ref="CY29:CY33" si="60">CA29/$CC29</f>
        <v>8.1225566723329874E-3</v>
      </c>
      <c r="CZ29" s="54">
        <f t="shared" ref="CZ29:CZ33" si="61">CB29/$CC29</f>
        <v>3.3904922578359351E-2</v>
      </c>
      <c r="DA29" s="54">
        <f t="shared" ref="DA29:DA33" si="62">CC29/$CC29</f>
        <v>1</v>
      </c>
      <c r="DB29" s="54">
        <f t="shared" ref="DB29:DB33" si="63">CD29/$CC29</f>
        <v>7.8487031891613518E-2</v>
      </c>
      <c r="DC29" s="54">
        <f t="shared" ref="DC29:DC33" si="64">CE29/$CC29</f>
        <v>2.2686743601386027E-2</v>
      </c>
    </row>
    <row r="30" spans="2:107" x14ac:dyDescent="0.2">
      <c r="B30" t="s">
        <v>36</v>
      </c>
      <c r="C30" s="50" t="s">
        <v>51</v>
      </c>
      <c r="D30" s="8">
        <f>(D19/100/$N$9)/(D$18/100/$U$9)</f>
        <v>10.115317806557586</v>
      </c>
      <c r="E30" s="8"/>
      <c r="F30" s="8"/>
      <c r="G30" s="8">
        <f>(G19/100/$N$9)/(G$18/100/$U$9)</f>
        <v>0.84331963709637681</v>
      </c>
      <c r="I30" s="54">
        <v>0.1904761904761908</v>
      </c>
      <c r="J30" s="56">
        <f t="shared" si="7"/>
        <v>0.8095238095238092</v>
      </c>
      <c r="K30" s="8">
        <f t="shared" si="43"/>
        <v>1</v>
      </c>
      <c r="L30" s="8">
        <f t="shared" si="50"/>
        <v>0.1904761904761908</v>
      </c>
      <c r="M30" s="8">
        <f t="shared" si="8"/>
        <v>0.8095238095238092</v>
      </c>
      <c r="N30" s="7">
        <f t="shared" si="9"/>
        <v>0.55579729352381035</v>
      </c>
      <c r="O30" s="7">
        <f t="shared" si="44"/>
        <v>0.7862719798095249</v>
      </c>
      <c r="P30" s="7">
        <f t="shared" si="10"/>
        <v>0.43220740876190489</v>
      </c>
      <c r="Q30" s="7">
        <f t="shared" si="11"/>
        <v>2.0570742495238128</v>
      </c>
      <c r="R30" s="7">
        <f t="shared" si="45"/>
        <v>37.169790386666662</v>
      </c>
      <c r="S30" s="7">
        <f t="shared" si="46"/>
        <v>3.0052014796190498</v>
      </c>
      <c r="T30" s="7">
        <f t="shared" si="51"/>
        <v>1.8191661982857161</v>
      </c>
      <c r="U30" s="7">
        <f t="shared" si="52"/>
        <v>0.20500800710036493</v>
      </c>
      <c r="V30" s="106"/>
      <c r="W30" s="107"/>
      <c r="X30" s="109">
        <f t="shared" si="12"/>
        <v>5.6450794675269407</v>
      </c>
      <c r="Y30" s="109">
        <f t="shared" si="13"/>
        <v>7.5538747110105771</v>
      </c>
      <c r="Z30" s="109">
        <f t="shared" si="14"/>
        <v>2.5812511857983087</v>
      </c>
      <c r="AA30" s="109">
        <f t="shared" si="15"/>
        <v>11.984958385887353</v>
      </c>
      <c r="AB30" s="109">
        <f t="shared" si="47"/>
        <v>309.02443715575362</v>
      </c>
      <c r="AC30" s="109">
        <f t="shared" si="48"/>
        <v>26.007107910528212</v>
      </c>
      <c r="AD30" s="109">
        <f t="shared" si="16"/>
        <v>7.6064267297884181</v>
      </c>
      <c r="AE30" s="109">
        <f t="shared" si="17"/>
        <v>1.8267420918177173E-2</v>
      </c>
      <c r="AF30" s="109">
        <f t="shared" si="54"/>
        <v>2.4444263309840751E-2</v>
      </c>
      <c r="AG30" s="110">
        <f t="shared" si="55"/>
        <v>8.3529031216949164E-3</v>
      </c>
      <c r="AH30" s="109">
        <f t="shared" si="56"/>
        <v>3.8783205937356756E-2</v>
      </c>
      <c r="AI30" s="109">
        <f t="shared" si="57"/>
        <v>1</v>
      </c>
      <c r="AJ30" s="109">
        <f t="shared" si="58"/>
        <v>8.4158742104334563E-2</v>
      </c>
      <c r="AK30" s="109">
        <f t="shared" si="59"/>
        <v>2.4614321119059746E-2</v>
      </c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6">
        <v>17</v>
      </c>
      <c r="BC30" s="109">
        <f t="shared" si="49"/>
        <v>0.8500000000000002</v>
      </c>
      <c r="BD30" s="109">
        <f t="shared" si="18"/>
        <v>0.1499999999999998</v>
      </c>
      <c r="BE30" s="76">
        <f t="shared" si="1"/>
        <v>1</v>
      </c>
      <c r="BF30" s="186">
        <f t="shared" si="19"/>
        <v>0</v>
      </c>
      <c r="BG30" s="186">
        <f t="shared" si="2"/>
        <v>0</v>
      </c>
      <c r="BH30" s="186"/>
      <c r="BI30" s="186"/>
      <c r="BJ30" s="186">
        <f t="shared" si="20"/>
        <v>0</v>
      </c>
      <c r="BK30" s="186">
        <f t="shared" si="3"/>
        <v>0</v>
      </c>
      <c r="BL30" s="186">
        <f t="shared" si="21"/>
        <v>0</v>
      </c>
      <c r="BM30" s="186">
        <f t="shared" si="4"/>
        <v>0</v>
      </c>
      <c r="BN30" s="187">
        <f t="shared" si="22"/>
        <v>1.1499999999999999</v>
      </c>
      <c r="BO30" s="110">
        <f t="shared" si="23"/>
        <v>0.39618782056521651</v>
      </c>
      <c r="BP30" s="110">
        <f t="shared" si="24"/>
        <v>0.57309929052173858</v>
      </c>
      <c r="BQ30" s="110">
        <f t="shared" si="25"/>
        <v>0.41562463860869564</v>
      </c>
      <c r="BR30" s="110">
        <f t="shared" si="26"/>
        <v>1.4622356273913022</v>
      </c>
      <c r="BS30" s="110">
        <f t="shared" si="27"/>
        <v>38.361378199565216</v>
      </c>
      <c r="BT30" s="110">
        <f t="shared" si="28"/>
        <v>2.5843227523478243</v>
      </c>
      <c r="BU30" s="110">
        <f t="shared" si="29"/>
        <v>1.5136681575217379</v>
      </c>
      <c r="BV30" s="110">
        <f t="shared" si="30"/>
        <v>0.17887244376254008</v>
      </c>
      <c r="BW30" s="107"/>
      <c r="BY30" s="54">
        <f t="shared" si="31"/>
        <v>4.6119239406889934</v>
      </c>
      <c r="BZ30" s="54">
        <f t="shared" si="32"/>
        <v>6.310361401755558</v>
      </c>
      <c r="CA30" s="54">
        <f t="shared" si="33"/>
        <v>2.8448981957617354</v>
      </c>
      <c r="CB30" s="54">
        <f t="shared" si="53"/>
        <v>9.764079514168909</v>
      </c>
      <c r="CC30" s="54">
        <f t="shared" si="34"/>
        <v>365.53106952240262</v>
      </c>
      <c r="CD30" s="54">
        <f t="shared" si="35"/>
        <v>25.632596453968308</v>
      </c>
      <c r="CE30" s="54">
        <f t="shared" si="36"/>
        <v>7.2538131884826589</v>
      </c>
      <c r="CW30" s="54">
        <f t="shared" si="37"/>
        <v>1.2617050437640947E-2</v>
      </c>
      <c r="CX30" s="54">
        <f t="shared" si="37"/>
        <v>1.7263543178424153E-2</v>
      </c>
      <c r="CY30" s="54">
        <f t="shared" si="60"/>
        <v>7.7829176039093924E-3</v>
      </c>
      <c r="CZ30" s="54">
        <f t="shared" si="61"/>
        <v>2.6712037165340031E-2</v>
      </c>
      <c r="DA30" s="54">
        <f t="shared" si="62"/>
        <v>1</v>
      </c>
      <c r="DB30" s="54">
        <f t="shared" si="63"/>
        <v>7.0124261905997409E-2</v>
      </c>
      <c r="DC30" s="54">
        <f t="shared" si="64"/>
        <v>1.9844587213777427E-2</v>
      </c>
    </row>
    <row r="31" spans="2:107" x14ac:dyDescent="0.2">
      <c r="B31" t="s">
        <v>36</v>
      </c>
      <c r="C31" s="50" t="s">
        <v>53</v>
      </c>
      <c r="D31" s="8">
        <f>(D20/100/$P$9)/(D$18/100/$U$9)</f>
        <v>1.4405081502203125</v>
      </c>
      <c r="E31" s="8"/>
      <c r="F31" s="8"/>
      <c r="G31" s="8">
        <f>(G20/100/$P$9)/(G$18/100/$U$9)</f>
        <v>3.8065939236241495</v>
      </c>
      <c r="I31" s="54">
        <v>0.14285714285714313</v>
      </c>
      <c r="J31" s="56">
        <f t="shared" si="7"/>
        <v>0.85714285714285687</v>
      </c>
      <c r="K31" s="8">
        <f t="shared" si="43"/>
        <v>1</v>
      </c>
      <c r="L31" s="8">
        <f t="shared" si="50"/>
        <v>0.14285714285714313</v>
      </c>
      <c r="M31" s="8">
        <f t="shared" si="8"/>
        <v>0.85714285714285687</v>
      </c>
      <c r="N31" s="7">
        <f t="shared" si="9"/>
        <v>0.42921047014285779</v>
      </c>
      <c r="O31" s="7">
        <f t="shared" si="44"/>
        <v>0.61720398485714389</v>
      </c>
      <c r="P31" s="7">
        <f t="shared" si="10"/>
        <v>0.41905555657142868</v>
      </c>
      <c r="Q31" s="7">
        <f t="shared" si="11"/>
        <v>1.5853056871428599</v>
      </c>
      <c r="R31" s="7">
        <f t="shared" si="45"/>
        <v>38.114842789999997</v>
      </c>
      <c r="S31" s="7">
        <f t="shared" si="46"/>
        <v>2.6714011097142878</v>
      </c>
      <c r="T31" s="7">
        <f t="shared" si="51"/>
        <v>1.5768746487142871</v>
      </c>
      <c r="U31" s="7">
        <f t="shared" si="52"/>
        <v>0.184279801694504</v>
      </c>
      <c r="V31" s="106"/>
      <c r="W31" s="107"/>
      <c r="X31" s="109">
        <f t="shared" si="12"/>
        <v>4.8497240464212137</v>
      </c>
      <c r="Y31" s="109">
        <f t="shared" si="13"/>
        <v>6.5965792931947087</v>
      </c>
      <c r="Z31" s="109">
        <f t="shared" si="14"/>
        <v>2.784214895700253</v>
      </c>
      <c r="AA31" s="109">
        <f t="shared" si="15"/>
        <v>10.275256405541175</v>
      </c>
      <c r="AB31" s="109">
        <f t="shared" si="47"/>
        <v>352.52500915462196</v>
      </c>
      <c r="AC31" s="109">
        <f t="shared" si="48"/>
        <v>25.718797284002537</v>
      </c>
      <c r="AD31" s="109">
        <f t="shared" si="16"/>
        <v>7.3349738029564122</v>
      </c>
      <c r="AE31" s="109">
        <f t="shared" si="17"/>
        <v>1.3757106362612881E-2</v>
      </c>
      <c r="AF31" s="109">
        <f t="shared" si="54"/>
        <v>1.8712372517949116E-2</v>
      </c>
      <c r="AG31" s="110">
        <f t="shared" si="55"/>
        <v>7.8979216322183285E-3</v>
      </c>
      <c r="AH31" s="109">
        <f t="shared" si="56"/>
        <v>2.9147595599477927E-2</v>
      </c>
      <c r="AI31" s="109">
        <f t="shared" si="57"/>
        <v>1</v>
      </c>
      <c r="AJ31" s="109">
        <f t="shared" si="58"/>
        <v>7.2955950971188954E-2</v>
      </c>
      <c r="AK31" s="109">
        <f t="shared" si="59"/>
        <v>2.0806960109145616E-2</v>
      </c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6">
        <v>18</v>
      </c>
      <c r="BC31" s="109">
        <f t="shared" si="49"/>
        <v>0.90000000000000024</v>
      </c>
      <c r="BD31" s="109">
        <f t="shared" si="18"/>
        <v>9.9999999999999756E-2</v>
      </c>
      <c r="BE31" s="76">
        <f t="shared" si="1"/>
        <v>1</v>
      </c>
      <c r="BF31" s="186">
        <f t="shared" si="19"/>
        <v>0</v>
      </c>
      <c r="BG31" s="186">
        <f t="shared" si="2"/>
        <v>0</v>
      </c>
      <c r="BH31" s="186"/>
      <c r="BI31" s="186"/>
      <c r="BJ31" s="186">
        <f t="shared" si="20"/>
        <v>0</v>
      </c>
      <c r="BK31" s="186">
        <f t="shared" si="3"/>
        <v>0</v>
      </c>
      <c r="BL31" s="186">
        <f t="shared" si="21"/>
        <v>0</v>
      </c>
      <c r="BM31" s="186">
        <f t="shared" si="4"/>
        <v>0</v>
      </c>
      <c r="BN31" s="187">
        <f t="shared" si="22"/>
        <v>1.0999999999999996</v>
      </c>
      <c r="BO31" s="110">
        <f t="shared" si="23"/>
        <v>0.29111575372727222</v>
      </c>
      <c r="BP31" s="110">
        <f t="shared" si="24"/>
        <v>0.4327661721818174</v>
      </c>
      <c r="BQ31" s="110">
        <f t="shared" si="25"/>
        <v>0.40470808145454545</v>
      </c>
      <c r="BR31" s="110">
        <f t="shared" si="26"/>
        <v>1.0706490736363619</v>
      </c>
      <c r="BS31" s="110">
        <f t="shared" si="27"/>
        <v>39.145809048181832</v>
      </c>
      <c r="BT31" s="110">
        <f t="shared" si="28"/>
        <v>2.307255251636362</v>
      </c>
      <c r="BU31" s="110">
        <f t="shared" si="29"/>
        <v>1.3125565946363622</v>
      </c>
      <c r="BV31" s="110">
        <f t="shared" si="30"/>
        <v>0.16166721397901918</v>
      </c>
      <c r="BW31" s="107"/>
      <c r="BY31" s="54">
        <f t="shared" si="31"/>
        <v>3.749455555111525</v>
      </c>
      <c r="BZ31" s="54">
        <f t="shared" si="32"/>
        <v>5.2722883445850401</v>
      </c>
      <c r="CA31" s="54">
        <f t="shared" si="33"/>
        <v>3.0649882065478371</v>
      </c>
      <c r="CB31" s="54">
        <f t="shared" si="53"/>
        <v>7.9101110018806651</v>
      </c>
      <c r="CC31" s="54">
        <f t="shared" si="34"/>
        <v>412.70226759055959</v>
      </c>
      <c r="CD31" s="54">
        <f t="shared" si="35"/>
        <v>25.319957859943592</v>
      </c>
      <c r="CE31" s="54">
        <f t="shared" si="36"/>
        <v>6.959454765377175</v>
      </c>
      <c r="CW31" s="54">
        <f t="shared" si="37"/>
        <v>9.0851343681768813E-3</v>
      </c>
      <c r="CX31" s="54">
        <f t="shared" si="37"/>
        <v>1.2775040891744404E-2</v>
      </c>
      <c r="CY31" s="54">
        <f t="shared" si="60"/>
        <v>7.4266328228382809E-3</v>
      </c>
      <c r="CZ31" s="54">
        <f t="shared" si="61"/>
        <v>1.9166628397904169E-2</v>
      </c>
      <c r="DA31" s="54">
        <f t="shared" si="62"/>
        <v>1</v>
      </c>
      <c r="DB31" s="54">
        <f t="shared" si="63"/>
        <v>6.1351632516503232E-2</v>
      </c>
      <c r="DC31" s="54">
        <f t="shared" si="64"/>
        <v>1.6863136725678532E-2</v>
      </c>
    </row>
    <row r="32" spans="2:107" x14ac:dyDescent="0.2">
      <c r="I32" s="54">
        <v>9.5238095238095566E-2</v>
      </c>
      <c r="J32" s="56">
        <f t="shared" si="7"/>
        <v>0.90476190476190443</v>
      </c>
      <c r="K32" s="8">
        <f t="shared" si="43"/>
        <v>1</v>
      </c>
      <c r="L32" s="8">
        <f t="shared" si="50"/>
        <v>9.5238095238095566E-2</v>
      </c>
      <c r="M32" s="8">
        <f t="shared" si="8"/>
        <v>0.90476190476190443</v>
      </c>
      <c r="N32" s="7">
        <f t="shared" si="9"/>
        <v>0.30262364676190562</v>
      </c>
      <c r="O32" s="7">
        <f t="shared" si="44"/>
        <v>0.44813598990476305</v>
      </c>
      <c r="P32" s="7">
        <f t="shared" si="10"/>
        <v>0.40590370438095241</v>
      </c>
      <c r="Q32" s="7">
        <f t="shared" si="11"/>
        <v>1.1135371247619081</v>
      </c>
      <c r="R32" s="7">
        <f t="shared" si="45"/>
        <v>39.059895193333325</v>
      </c>
      <c r="S32" s="7">
        <f t="shared" si="46"/>
        <v>2.3376007398095262</v>
      </c>
      <c r="T32" s="7">
        <f t="shared" si="51"/>
        <v>1.3345830991428589</v>
      </c>
      <c r="U32" s="7">
        <f t="shared" si="52"/>
        <v>0.16355159628864316</v>
      </c>
      <c r="V32" s="106"/>
      <c r="W32" s="107"/>
      <c r="X32" s="109">
        <f t="shared" si="12"/>
        <v>3.8527650835163749</v>
      </c>
      <c r="Y32" s="109">
        <f t="shared" si="13"/>
        <v>5.3966324246457411</v>
      </c>
      <c r="Z32" s="109">
        <f t="shared" si="14"/>
        <v>3.0386250428642114</v>
      </c>
      <c r="AA32" s="109">
        <f t="shared" si="15"/>
        <v>8.1321859392172939</v>
      </c>
      <c r="AB32" s="109">
        <f t="shared" si="47"/>
        <v>407.05193384128216</v>
      </c>
      <c r="AC32" s="109">
        <f t="shared" si="48"/>
        <v>25.357406821841746</v>
      </c>
      <c r="AD32" s="109">
        <f t="shared" si="16"/>
        <v>6.9947140634355769</v>
      </c>
      <c r="AE32" s="109">
        <f t="shared" si="17"/>
        <v>9.4650455217310091E-3</v>
      </c>
      <c r="AF32" s="109">
        <f t="shared" si="54"/>
        <v>1.325784740467539E-2</v>
      </c>
      <c r="AG32" s="110">
        <f t="shared" si="55"/>
        <v>7.4649566559952356E-3</v>
      </c>
      <c r="AH32" s="109">
        <f t="shared" si="56"/>
        <v>1.997825157707812E-2</v>
      </c>
      <c r="AI32" s="109">
        <f t="shared" si="57"/>
        <v>1</v>
      </c>
      <c r="AJ32" s="109">
        <f t="shared" si="58"/>
        <v>6.2295261890904355E-2</v>
      </c>
      <c r="AK32" s="109">
        <f t="shared" si="59"/>
        <v>1.7183836955219967E-2</v>
      </c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6">
        <v>19</v>
      </c>
      <c r="BC32" s="109">
        <f t="shared" si="49"/>
        <v>0.95000000000000029</v>
      </c>
      <c r="BD32" s="109">
        <f t="shared" si="18"/>
        <v>4.9999999999999711E-2</v>
      </c>
      <c r="BE32" s="76">
        <f t="shared" si="1"/>
        <v>1</v>
      </c>
      <c r="BF32" s="186">
        <f t="shared" si="19"/>
        <v>0</v>
      </c>
      <c r="BG32" s="186">
        <f t="shared" si="2"/>
        <v>0</v>
      </c>
      <c r="BH32" s="186"/>
      <c r="BI32" s="186"/>
      <c r="BJ32" s="186">
        <f t="shared" si="20"/>
        <v>0</v>
      </c>
      <c r="BK32" s="186">
        <f t="shared" si="3"/>
        <v>0</v>
      </c>
      <c r="BL32" s="186">
        <f t="shared" si="21"/>
        <v>0</v>
      </c>
      <c r="BM32" s="186">
        <f t="shared" si="4"/>
        <v>0</v>
      </c>
      <c r="BN32" s="187">
        <f t="shared" si="22"/>
        <v>1.0499999999999998</v>
      </c>
      <c r="BO32" s="110">
        <f t="shared" si="23"/>
        <v>0.17603682338095153</v>
      </c>
      <c r="BP32" s="110">
        <f t="shared" si="24"/>
        <v>0.27906799495238038</v>
      </c>
      <c r="BQ32" s="110">
        <f t="shared" si="25"/>
        <v>0.39275185219047604</v>
      </c>
      <c r="BR32" s="110">
        <f t="shared" si="26"/>
        <v>0.64176856238095037</v>
      </c>
      <c r="BS32" s="110">
        <f t="shared" si="27"/>
        <v>40.004947596666668</v>
      </c>
      <c r="BT32" s="110">
        <f t="shared" si="28"/>
        <v>2.0038003699047606</v>
      </c>
      <c r="BU32" s="110">
        <f t="shared" si="29"/>
        <v>1.092291549571426</v>
      </c>
      <c r="BV32" s="110">
        <f t="shared" si="30"/>
        <v>0.14282339088278195</v>
      </c>
      <c r="BW32" s="107"/>
      <c r="BY32" s="54">
        <f t="shared" si="31"/>
        <v>2.5664253681090656</v>
      </c>
      <c r="BZ32" s="54">
        <f t="shared" si="32"/>
        <v>3.848384832893565</v>
      </c>
      <c r="CA32" s="54">
        <f t="shared" si="33"/>
        <v>3.3668811581872404</v>
      </c>
      <c r="CB32" s="54">
        <f t="shared" si="53"/>
        <v>5.367060436241105</v>
      </c>
      <c r="CC32" s="54">
        <f t="shared" si="34"/>
        <v>477.4060320471973</v>
      </c>
      <c r="CD32" s="54">
        <f t="shared" si="35"/>
        <v>24.891117915734402</v>
      </c>
      <c r="CE32" s="54">
        <f t="shared" si="36"/>
        <v>6.555689356516341</v>
      </c>
      <c r="CW32" s="54">
        <f t="shared" si="37"/>
        <v>5.375770718907347E-3</v>
      </c>
      <c r="CX32" s="54">
        <f t="shared" si="37"/>
        <v>8.0610310187976559E-3</v>
      </c>
      <c r="CY32" s="54">
        <f t="shared" si="60"/>
        <v>7.0524478791134833E-3</v>
      </c>
      <c r="CZ32" s="54">
        <f t="shared" si="61"/>
        <v>1.1242129499759874E-2</v>
      </c>
      <c r="DA32" s="54">
        <f t="shared" si="62"/>
        <v>1</v>
      </c>
      <c r="DB32" s="54">
        <f t="shared" si="63"/>
        <v>5.2138256001913311E-2</v>
      </c>
      <c r="DC32" s="54">
        <f t="shared" si="64"/>
        <v>1.3731894690153878E-2</v>
      </c>
    </row>
    <row r="33" spans="1:107" x14ac:dyDescent="0.2">
      <c r="A33" s="224" t="s">
        <v>469</v>
      </c>
      <c r="B33" s="224"/>
      <c r="C33" s="75" t="s">
        <v>490</v>
      </c>
      <c r="D33" s="75" t="s">
        <v>430</v>
      </c>
      <c r="E33" s="75" t="s">
        <v>435</v>
      </c>
      <c r="F33" s="75"/>
      <c r="G33" s="75" t="s">
        <v>431</v>
      </c>
      <c r="H33" s="75" t="s">
        <v>433</v>
      </c>
      <c r="I33" s="54">
        <v>4.7619047619047894E-2</v>
      </c>
      <c r="J33" s="56">
        <f t="shared" si="7"/>
        <v>0.95238095238095211</v>
      </c>
      <c r="K33" s="8">
        <f t="shared" si="43"/>
        <v>1</v>
      </c>
      <c r="L33" s="8">
        <f t="shared" si="50"/>
        <v>4.7619047619047894E-2</v>
      </c>
      <c r="M33" s="8">
        <f t="shared" si="8"/>
        <v>0.95238095238095211</v>
      </c>
      <c r="N33" s="7">
        <f t="shared" si="9"/>
        <v>0.17603682338095311</v>
      </c>
      <c r="O33" s="7">
        <f t="shared" si="44"/>
        <v>0.27906799495238194</v>
      </c>
      <c r="P33" s="7">
        <f t="shared" si="10"/>
        <v>0.39275185219047631</v>
      </c>
      <c r="Q33" s="7">
        <f t="shared" si="11"/>
        <v>0.64176856238095525</v>
      </c>
      <c r="R33" s="7">
        <f t="shared" si="45"/>
        <v>40.004947596666661</v>
      </c>
      <c r="S33" s="7">
        <f t="shared" si="46"/>
        <v>2.0038003699047637</v>
      </c>
      <c r="T33" s="7">
        <f t="shared" si="51"/>
        <v>1.09229154957143</v>
      </c>
      <c r="U33" s="7">
        <f t="shared" si="52"/>
        <v>0.14282339088278223</v>
      </c>
      <c r="V33" s="106"/>
      <c r="W33" s="107"/>
      <c r="X33" s="109">
        <f t="shared" si="12"/>
        <v>2.5664253681090838</v>
      </c>
      <c r="Y33" s="109">
        <f t="shared" si="13"/>
        <v>3.8483848328935788</v>
      </c>
      <c r="Z33" s="109">
        <f t="shared" si="14"/>
        <v>3.3668811581872364</v>
      </c>
      <c r="AA33" s="109">
        <f t="shared" si="15"/>
        <v>5.3670604362411352</v>
      </c>
      <c r="AB33" s="109">
        <f t="shared" si="47"/>
        <v>477.40603204719633</v>
      </c>
      <c r="AC33" s="109">
        <f t="shared" si="48"/>
        <v>24.891117915734391</v>
      </c>
      <c r="AD33" s="109">
        <f t="shared" si="16"/>
        <v>6.5556893565163534</v>
      </c>
      <c r="AE33" s="109">
        <f t="shared" si="17"/>
        <v>5.3757707189073956E-3</v>
      </c>
      <c r="AF33" s="109">
        <f t="shared" si="54"/>
        <v>8.061031018797701E-3</v>
      </c>
      <c r="AG33" s="110">
        <f t="shared" si="55"/>
        <v>7.0524478791134894E-3</v>
      </c>
      <c r="AH33" s="109">
        <f t="shared" si="56"/>
        <v>1.1242129499759961E-2</v>
      </c>
      <c r="AI33" s="109">
        <f t="shared" si="57"/>
        <v>1</v>
      </c>
      <c r="AJ33" s="109">
        <f t="shared" si="58"/>
        <v>5.2138256001913394E-2</v>
      </c>
      <c r="AK33" s="109">
        <f t="shared" si="59"/>
        <v>1.3731894690153932E-2</v>
      </c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63" t="s">
        <v>73</v>
      </c>
      <c r="BC33" s="74">
        <f>$BD$6</f>
        <v>1</v>
      </c>
      <c r="BD33" s="109">
        <f t="shared" si="18"/>
        <v>0</v>
      </c>
      <c r="BE33" s="76">
        <f t="shared" si="1"/>
        <v>1</v>
      </c>
      <c r="BF33" s="186">
        <f t="shared" si="19"/>
        <v>0</v>
      </c>
      <c r="BG33" s="186">
        <f t="shared" si="2"/>
        <v>0</v>
      </c>
      <c r="BH33" s="186"/>
      <c r="BI33" s="186"/>
      <c r="BJ33" s="186">
        <f t="shared" si="20"/>
        <v>0</v>
      </c>
      <c r="BK33" s="186">
        <f t="shared" si="3"/>
        <v>0</v>
      </c>
      <c r="BL33" s="186">
        <f t="shared" si="21"/>
        <v>0</v>
      </c>
      <c r="BM33" s="186">
        <f t="shared" si="4"/>
        <v>0</v>
      </c>
      <c r="BN33" s="187">
        <f t="shared" si="22"/>
        <v>1</v>
      </c>
      <c r="BO33" s="110">
        <f>((($BD$6*$D$19/100 + $BD$7*$G$19/100)-$BC33*$D$19/100*(1-BO$9))/$BN33)*100</f>
        <v>4.9449999999999841E-2</v>
      </c>
      <c r="BP33" s="110">
        <f t="shared" si="24"/>
        <v>0.11000000000000038</v>
      </c>
      <c r="BQ33" s="110">
        <f t="shared" si="25"/>
        <v>0.37959999999999999</v>
      </c>
      <c r="BR33" s="110">
        <f t="shared" si="26"/>
        <v>0.16999999999999932</v>
      </c>
      <c r="BS33" s="110">
        <f t="shared" si="27"/>
        <v>40.949999999999996</v>
      </c>
      <c r="BT33" s="110">
        <f t="shared" si="28"/>
        <v>1.6699999999999993</v>
      </c>
      <c r="BU33" s="110">
        <f t="shared" si="29"/>
        <v>0.84999999999999942</v>
      </c>
      <c r="BV33" s="110">
        <f t="shared" si="30"/>
        <v>0.12209518547692116</v>
      </c>
      <c r="BW33" s="107"/>
      <c r="BX33" s="63" t="s">
        <v>73</v>
      </c>
      <c r="BY33" s="54">
        <f>(BO33/N$9/100)/($BV33/$U$9/100)</f>
        <v>0.84331963709637436</v>
      </c>
      <c r="BZ33" s="54">
        <f t="shared" si="32"/>
        <v>1.7744425714357919</v>
      </c>
      <c r="CA33" s="54">
        <f t="shared" si="33"/>
        <v>3.8065939236241504</v>
      </c>
      <c r="CB33" s="54">
        <f t="shared" si="53"/>
        <v>1.6630594292917269</v>
      </c>
      <c r="CC33" s="54">
        <f t="shared" si="34"/>
        <v>571.64828264929156</v>
      </c>
      <c r="CD33" s="54">
        <f t="shared" si="35"/>
        <v>24.266504466582802</v>
      </c>
      <c r="CE33" s="54">
        <f t="shared" si="36"/>
        <v>5.9675974399815619</v>
      </c>
      <c r="CV33" s="63" t="s">
        <v>73</v>
      </c>
      <c r="CW33" s="54">
        <f>BY33/$CC33</f>
        <v>1.4752421422277835E-3</v>
      </c>
      <c r="CX33" s="54">
        <f t="shared" si="37"/>
        <v>3.1040809975185725E-3</v>
      </c>
      <c r="CY33" s="54">
        <f t="shared" si="60"/>
        <v>6.6589790246243258E-3</v>
      </c>
      <c r="CZ33" s="54">
        <f t="shared" si="61"/>
        <v>2.9092354158475105E-3</v>
      </c>
      <c r="DA33" s="54">
        <f t="shared" si="62"/>
        <v>1</v>
      </c>
      <c r="DB33" s="54">
        <f t="shared" si="63"/>
        <v>4.2450060995758113E-2</v>
      </c>
      <c r="DC33" s="54">
        <f t="shared" si="64"/>
        <v>1.0439281672158379E-2</v>
      </c>
    </row>
    <row r="34" spans="1:107" x14ac:dyDescent="0.2">
      <c r="A34" s="2" t="s">
        <v>35</v>
      </c>
      <c r="B34" s="50" t="s">
        <v>63</v>
      </c>
      <c r="C34" s="105">
        <f>AVERAGE('Morgan-Pompa solid data'!$I$42,'Morgan-Pompa solid data'!$I$50)</f>
        <v>5.195205810837634</v>
      </c>
      <c r="D34" s="7">
        <f>AVERAGE('Morgan-Pompa solid data'!$I$35:$I$41,'Morgan-Pompa solid data'!$I$43:$I$49)</f>
        <v>2.7869149818522092</v>
      </c>
      <c r="E34" s="7">
        <f t="shared" ref="E34:E41" si="65">C34</f>
        <v>5.195205810837634</v>
      </c>
      <c r="F34" s="7"/>
      <c r="G34" s="7">
        <f t="shared" ref="G34:G41" si="66">HLOOKUP(B34,$BO$42:$BV$62,21,FALSE)</f>
        <v>6.7070179969829811</v>
      </c>
      <c r="H34" s="4">
        <f>(G34-E34)^2/$B$42^2</f>
        <v>228.5576086177573</v>
      </c>
      <c r="I34" s="54">
        <v>3.3306690738754696E-16</v>
      </c>
      <c r="J34" s="55">
        <f t="shared" si="7"/>
        <v>0.99999999999999967</v>
      </c>
      <c r="K34" s="8">
        <f t="shared" ref="K34" si="67">J34+I34</f>
        <v>1</v>
      </c>
      <c r="L34" s="7">
        <f t="shared" ref="L34" si="68">I34/$K34</f>
        <v>3.3306690738754696E-16</v>
      </c>
      <c r="M34" s="7">
        <f t="shared" si="8"/>
        <v>0.99999999999999967</v>
      </c>
      <c r="N34" s="7">
        <f>(($D$19/100)*$I34+($G$19/100*$J34))/$K34*100</f>
        <v>4.9450000000000882E-2</v>
      </c>
      <c r="O34" s="7">
        <f t="shared" si="44"/>
        <v>0.11000000000000118</v>
      </c>
      <c r="P34" s="7">
        <f t="shared" si="10"/>
        <v>0.37960000000000005</v>
      </c>
      <c r="Q34" s="7">
        <f t="shared" si="11"/>
        <v>0.17000000000000332</v>
      </c>
      <c r="R34" s="7">
        <f>(($D$15/100)*$I34+($G$15/100*$J34))/$K34*100</f>
        <v>40.949999999999996</v>
      </c>
      <c r="S34" s="7">
        <f>(($D$16/100)*$I34+($G$16/100*$J34))/$K34*100</f>
        <v>1.6700000000000021</v>
      </c>
      <c r="T34" s="7">
        <f t="shared" si="51"/>
        <v>0.85000000000000164</v>
      </c>
      <c r="U34" s="7">
        <f>(($D$18/100)*$I34+($G$18/100*$J34))/$K34*100</f>
        <v>0.12209518547692136</v>
      </c>
      <c r="V34" s="106"/>
      <c r="W34" s="108" t="s">
        <v>74</v>
      </c>
      <c r="X34" s="109">
        <f t="shared" si="12"/>
        <v>0.84331963709639068</v>
      </c>
      <c r="Y34" s="109">
        <f t="shared" si="13"/>
        <v>1.7744425714358019</v>
      </c>
      <c r="Z34" s="109">
        <f t="shared" si="14"/>
        <v>3.8065939236241451</v>
      </c>
      <c r="AA34" s="109">
        <f t="shared" si="15"/>
        <v>1.6630594292917633</v>
      </c>
      <c r="AB34" s="109">
        <f t="shared" si="47"/>
        <v>571.64828264929065</v>
      </c>
      <c r="AC34" s="109">
        <f t="shared" si="48"/>
        <v>24.266504466582798</v>
      </c>
      <c r="AD34" s="109">
        <f t="shared" si="16"/>
        <v>5.9675974399815663</v>
      </c>
      <c r="AE34" s="109">
        <f t="shared" si="17"/>
        <v>1.4752421422278145E-3</v>
      </c>
      <c r="AF34" s="109">
        <f t="shared" si="54"/>
        <v>3.104080997518595E-3</v>
      </c>
      <c r="AG34" s="110">
        <f t="shared" si="55"/>
        <v>6.6589790246243266E-3</v>
      </c>
      <c r="AH34" s="109">
        <f t="shared" si="56"/>
        <v>2.9092354158475786E-3</v>
      </c>
      <c r="AI34" s="109">
        <f t="shared" si="57"/>
        <v>1</v>
      </c>
      <c r="AJ34" s="109">
        <f t="shared" si="58"/>
        <v>4.2450060995758175E-2</v>
      </c>
      <c r="AK34" s="109">
        <f t="shared" si="59"/>
        <v>1.0439281672158403E-2</v>
      </c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10"/>
      <c r="BP34" s="109"/>
      <c r="BQ34" s="109"/>
      <c r="BR34" s="109"/>
      <c r="BS34" s="109"/>
      <c r="BT34" s="109"/>
      <c r="BU34" s="109"/>
      <c r="BV34" s="106"/>
      <c r="BW34" s="107"/>
    </row>
    <row r="35" spans="1:107" x14ac:dyDescent="0.2">
      <c r="A35" s="2" t="s">
        <v>35</v>
      </c>
      <c r="B35" s="50" t="s">
        <v>65</v>
      </c>
      <c r="C35" s="105">
        <f>AVERAGE('Morgan-Pompa solid data'!$F$42,'Morgan-Pompa solid data'!$F$50)</f>
        <v>8.2904720295308234</v>
      </c>
      <c r="D35" s="7">
        <f>AVERAGE('Morgan-Pompa solid data'!$F$35:$F$41,'Morgan-Pompa solid data'!$F$43:$F$49)</f>
        <v>4.7057617714418187</v>
      </c>
      <c r="E35" s="7">
        <f t="shared" si="65"/>
        <v>8.2904720295308234</v>
      </c>
      <c r="F35" s="7"/>
      <c r="G35" s="7">
        <f t="shared" si="66"/>
        <v>8.2437256900989766</v>
      </c>
      <c r="H35" s="4">
        <f t="shared" ref="H35:H41" si="69">(G35-E35)^2/$B$42^2</f>
        <v>0.21852202502774348</v>
      </c>
      <c r="J35" s="8"/>
      <c r="BC35" t="s">
        <v>470</v>
      </c>
      <c r="BN35" s="79"/>
      <c r="BO35" s="105"/>
      <c r="BT35" s="59"/>
    </row>
    <row r="36" spans="1:107" x14ac:dyDescent="0.2">
      <c r="A36" s="2" t="s">
        <v>35</v>
      </c>
      <c r="B36" s="50" t="s">
        <v>66</v>
      </c>
      <c r="C36" s="105">
        <f>AVERAGE('Morgan-Pompa solid data'!$M$42,'Morgan-Pompa solid data'!$M$50)</f>
        <v>21.501730910059251</v>
      </c>
      <c r="D36" s="7">
        <f>AVERAGE('Morgan-Pompa solid data'!$M$35:$M$41,'Morgan-Pompa solid data'!$M$43:$M$49)</f>
        <v>27.458111025516651</v>
      </c>
      <c r="E36" s="7">
        <f t="shared" si="65"/>
        <v>21.501730910059251</v>
      </c>
      <c r="F36" s="7"/>
      <c r="G36" s="7">
        <f t="shared" si="66"/>
        <v>20.53524612188329</v>
      </c>
      <c r="H36" s="4">
        <f t="shared" si="69"/>
        <v>93.409284577553251</v>
      </c>
      <c r="BC36" s="1" t="s">
        <v>4</v>
      </c>
      <c r="BD36" s="4" t="s">
        <v>5</v>
      </c>
      <c r="BE36" t="s">
        <v>6</v>
      </c>
      <c r="BF36" s="4"/>
      <c r="BG36" s="4"/>
      <c r="BH36" s="4"/>
      <c r="BI36" s="4"/>
      <c r="BJ36" s="4"/>
      <c r="BK36" s="4"/>
      <c r="BL36" s="4"/>
      <c r="BM36" s="4"/>
      <c r="BN36" s="79"/>
      <c r="BO36" s="105"/>
      <c r="BS36" s="81"/>
    </row>
    <row r="37" spans="1:107" x14ac:dyDescent="0.2">
      <c r="A37" s="2" t="s">
        <v>35</v>
      </c>
      <c r="B37" s="50" t="s">
        <v>67</v>
      </c>
      <c r="C37" s="105">
        <f>AVERAGE('Morgan-Pompa solid data'!$D$42,'Morgan-Pompa solid data'!$D$50)</f>
        <v>7.7272133462794601</v>
      </c>
      <c r="D37" s="7">
        <f>AVERAGE('Morgan-Pompa solid data'!$D$35:$D$41,'Morgan-Pompa solid data'!$D$43:$D$49)</f>
        <v>5.7186671374349016</v>
      </c>
      <c r="E37" s="7">
        <f t="shared" si="65"/>
        <v>7.7272133462794601</v>
      </c>
      <c r="F37" s="7"/>
      <c r="G37" s="7">
        <f t="shared" si="66"/>
        <v>6.7328753232784475</v>
      </c>
      <c r="H37" s="4">
        <f t="shared" si="69"/>
        <v>98.870810398556216</v>
      </c>
      <c r="BC37" s="79" t="s">
        <v>10</v>
      </c>
      <c r="BD37" s="211">
        <v>1</v>
      </c>
      <c r="BE37" t="s">
        <v>11</v>
      </c>
      <c r="BF37" s="4"/>
      <c r="BG37" s="4"/>
      <c r="BH37" s="4"/>
      <c r="BI37" s="4"/>
      <c r="BJ37" s="4"/>
      <c r="BK37" s="4"/>
      <c r="BL37" s="4"/>
      <c r="BM37" s="4"/>
      <c r="BN37" s="218" t="s">
        <v>482</v>
      </c>
      <c r="BO37" s="215">
        <f>($BD$38*$G$19 + $H$56*$BD$37)/($BD$37+$BD$38)</f>
        <v>2.3776131639742282</v>
      </c>
      <c r="BP37" s="215">
        <f>($BD$38*$G$13 + $H$50*$BD$37)/($BD$37+$BD$38)</f>
        <v>4.3114510719536536</v>
      </c>
      <c r="BQ37" s="215">
        <f>($BD$38*$G$20 + $H$57*$BD$37)/($BD$37+$BD$38)</f>
        <v>0.5286853936297895</v>
      </c>
      <c r="BR37" s="215">
        <f>($BD$38*$G$14 + $H$51*$BD$37)/($BD$37+$BD$38)</f>
        <v>8.527458485260123</v>
      </c>
      <c r="BS37" s="215">
        <f>($BD$38*$G$15 + $H$52*$BD$37)/($BD$37+$BD$38)</f>
        <v>22.371503014203249</v>
      </c>
      <c r="BT37" s="215">
        <f>($BD$38*$G$16 + $H$53*$BD$37)/($BD$37+$BD$38)</f>
        <v>8.4706298070315995</v>
      </c>
      <c r="BU37" s="215">
        <f>($BD$38*$G$17 + $H$54*$BD$37)/($BD$37+$BD$38)</f>
        <v>6.2312966317901148</v>
      </c>
      <c r="BV37" s="215">
        <f>($BD$38*$G$18 + $H$55*$BD$37)/($BD$37+$BD$38)</f>
        <v>0.7142252719892741</v>
      </c>
    </row>
    <row r="38" spans="1:107" x14ac:dyDescent="0.2">
      <c r="A38" s="2" t="s">
        <v>35</v>
      </c>
      <c r="B38" s="50" t="s">
        <v>68</v>
      </c>
      <c r="C38" s="105">
        <f>AVERAGE('Morgan-Pompa solid data'!$G$42,'Morgan-Pompa solid data'!$G$50)</f>
        <v>8.0784252944823312</v>
      </c>
      <c r="D38" s="7">
        <f>AVERAGE('Morgan-Pompa solid data'!$G$35:$G$41,'Morgan-Pompa solid data'!$G$43:$G$49)</f>
        <v>4.8325669680598375</v>
      </c>
      <c r="E38" s="7">
        <f t="shared" si="65"/>
        <v>8.0784252944823312</v>
      </c>
      <c r="F38" s="7"/>
      <c r="G38" s="7">
        <f t="shared" si="66"/>
        <v>10.285840770463107</v>
      </c>
      <c r="H38" s="4">
        <f t="shared" si="69"/>
        <v>487.26830835994343</v>
      </c>
      <c r="BC38" s="79" t="s">
        <v>18</v>
      </c>
      <c r="BD38" s="219">
        <v>9.9999999999999995E-7</v>
      </c>
      <c r="BE38" t="s">
        <v>11</v>
      </c>
      <c r="BF38" s="4"/>
      <c r="BG38" s="4"/>
      <c r="BH38" s="4"/>
      <c r="BI38" s="4"/>
      <c r="BJ38" s="4"/>
      <c r="BK38" s="4"/>
      <c r="BL38" s="4"/>
      <c r="BM38" s="4"/>
      <c r="BN38" s="4"/>
      <c r="BO38" s="4" t="s">
        <v>343</v>
      </c>
      <c r="BP38" s="4" t="s">
        <v>12</v>
      </c>
      <c r="BQ38" s="4" t="s">
        <v>343</v>
      </c>
      <c r="BR38" s="4" t="s">
        <v>13</v>
      </c>
      <c r="BS38" s="4" t="s">
        <v>14</v>
      </c>
      <c r="BT38" s="4" t="s">
        <v>15</v>
      </c>
      <c r="BU38" s="4" t="s">
        <v>16</v>
      </c>
      <c r="BV38" s="4" t="s">
        <v>17</v>
      </c>
    </row>
    <row r="39" spans="1:107" x14ac:dyDescent="0.2">
      <c r="A39" s="2" t="s">
        <v>35</v>
      </c>
      <c r="B39" s="50" t="s">
        <v>69</v>
      </c>
      <c r="C39" s="105">
        <f>AVERAGE('Morgan-Pompa solid data'!$O$42,'Morgan-Pompa solid data'!$O$50)</f>
        <v>0.94697126400801346</v>
      </c>
      <c r="D39" s="7">
        <f>AVERAGE('Morgan-Pompa solid data'!$O$35:$O$41,'Morgan-Pompa solid data'!$O$43:$O$49)</f>
        <v>0.5783716897264134</v>
      </c>
      <c r="E39" s="7">
        <f t="shared" si="65"/>
        <v>0.94697126400801346</v>
      </c>
      <c r="F39" s="7"/>
      <c r="G39" s="7">
        <f t="shared" si="66"/>
        <v>1.270249078921647</v>
      </c>
      <c r="H39" s="4">
        <f t="shared" si="69"/>
        <v>10.450854561533346</v>
      </c>
      <c r="BB39" s="214" t="s">
        <v>477</v>
      </c>
      <c r="BC39" s="212">
        <v>0.1</v>
      </c>
      <c r="BD39" s="212">
        <v>0.4</v>
      </c>
      <c r="BE39" s="212">
        <v>0</v>
      </c>
      <c r="BF39" s="212">
        <v>0.6</v>
      </c>
      <c r="BG39" s="59"/>
      <c r="BH39" s="59"/>
      <c r="BI39" s="59"/>
      <c r="BJ39" s="59"/>
      <c r="BK39" s="59"/>
      <c r="BL39" s="59"/>
      <c r="BM39" s="59"/>
      <c r="BN39" s="62" t="s">
        <v>481</v>
      </c>
      <c r="BO39" s="61" t="s">
        <v>5</v>
      </c>
      <c r="BP39" s="61">
        <f>O41+2*15.999+2*1.0079</f>
        <v>34.013800000000003</v>
      </c>
      <c r="BQ39" s="61" t="s">
        <v>5</v>
      </c>
      <c r="BR39" s="61">
        <f>Q41+12.011+3*15.999</f>
        <v>60.007999999999996</v>
      </c>
      <c r="BS39" s="61">
        <f>R41+2*15.999</f>
        <v>31.998000000000001</v>
      </c>
      <c r="BT39" s="61">
        <f>1*S41+2*15.999+1.0079</f>
        <v>33.005900000000004</v>
      </c>
      <c r="BU39" s="61">
        <f>1*T41+2*15.999+1.0079</f>
        <v>33.005900000000004</v>
      </c>
      <c r="BV39" s="61">
        <f>2*15.999+47.87</f>
        <v>79.867999999999995</v>
      </c>
    </row>
    <row r="40" spans="1:107" x14ac:dyDescent="0.2">
      <c r="A40" s="2" t="s">
        <v>35</v>
      </c>
      <c r="B40" s="50" t="s">
        <v>62</v>
      </c>
      <c r="C40" s="105">
        <f>AVERAGE('Morgan-Pompa solid data'!$K$42,'Morgan-Pompa solid data'!$K$50)</f>
        <v>2.2662964875199663</v>
      </c>
      <c r="D40" s="7">
        <f>AVERAGE('Morgan-Pompa solid data'!$K$35:$K$41,'Morgan-Pompa solid data'!$K$43:$K$49)</f>
        <v>1.2791301662083703</v>
      </c>
      <c r="E40" s="7">
        <f t="shared" si="65"/>
        <v>2.2662964875199663</v>
      </c>
      <c r="F40" s="7"/>
      <c r="G40" s="7">
        <f t="shared" si="66"/>
        <v>2.2593074938525337</v>
      </c>
      <c r="H40" s="4">
        <f t="shared" si="69"/>
        <v>4.8846032483412316E-3</v>
      </c>
      <c r="BB40" s="225" t="s">
        <v>476</v>
      </c>
      <c r="BC40" s="226">
        <f>$BD$37*B$48*BC39</f>
        <v>5.000000000000001E-3</v>
      </c>
      <c r="BD40" s="226">
        <f>$BD$37*C$48*BD39</f>
        <v>0.18921575913699815</v>
      </c>
      <c r="BE40" s="226">
        <f>$BD$37*D$48*BE39</f>
        <v>0</v>
      </c>
      <c r="BF40" s="226">
        <f>$BD$37*E$48*BF39</f>
        <v>0.27146868691664344</v>
      </c>
      <c r="BG40" s="235" t="s">
        <v>472</v>
      </c>
      <c r="BH40" s="235"/>
      <c r="BI40" s="235"/>
      <c r="BJ40" s="235"/>
      <c r="BK40" s="235"/>
      <c r="BL40" s="235"/>
      <c r="BM40" s="235"/>
      <c r="BN40" s="62" t="s">
        <v>19</v>
      </c>
      <c r="BO40" s="61">
        <v>1</v>
      </c>
      <c r="BP40" s="61">
        <v>1</v>
      </c>
      <c r="BQ40" s="61">
        <v>1</v>
      </c>
      <c r="BR40" s="61">
        <v>1</v>
      </c>
      <c r="BS40" s="61">
        <v>1</v>
      </c>
      <c r="BT40" s="61">
        <v>1</v>
      </c>
      <c r="BU40" s="61">
        <v>1</v>
      </c>
      <c r="BV40" s="61">
        <v>1</v>
      </c>
    </row>
    <row r="41" spans="1:107" x14ac:dyDescent="0.2">
      <c r="A41" s="2" t="s">
        <v>35</v>
      </c>
      <c r="B41" s="50" t="s">
        <v>64</v>
      </c>
      <c r="C41" s="105">
        <f>AVERAGE('Morgan-Pompa solid data'!$H$42,'Morgan-Pompa solid data'!$H$50)</f>
        <v>0.4482811189553586</v>
      </c>
      <c r="D41" s="7">
        <f>AVERAGE('Morgan-Pompa solid data'!$H$35:$H$41,'Morgan-Pompa solid data'!$H$43:$H$49)</f>
        <v>0.90189891789828092</v>
      </c>
      <c r="E41" s="7">
        <f t="shared" si="65"/>
        <v>0.4482811189553586</v>
      </c>
      <c r="F41" s="7"/>
      <c r="G41" s="7">
        <f t="shared" si="66"/>
        <v>0.3771745359744042</v>
      </c>
      <c r="H41" s="4">
        <f t="shared" si="69"/>
        <v>0.50561461432273536</v>
      </c>
      <c r="BC41" s="4" t="s">
        <v>11</v>
      </c>
      <c r="BD41" s="4" t="s">
        <v>11</v>
      </c>
      <c r="BE41" s="4" t="s">
        <v>11</v>
      </c>
      <c r="BF41" s="64"/>
      <c r="BG41" s="4" t="s">
        <v>11</v>
      </c>
      <c r="BH41" s="4" t="s">
        <v>11</v>
      </c>
      <c r="BI41" s="4" t="s">
        <v>11</v>
      </c>
      <c r="BJ41" s="4" t="s">
        <v>11</v>
      </c>
      <c r="BK41" s="4" t="s">
        <v>11</v>
      </c>
      <c r="BL41" s="4" t="s">
        <v>11</v>
      </c>
      <c r="BM41" s="4" t="s">
        <v>11</v>
      </c>
      <c r="BN41" s="62" t="s">
        <v>23</v>
      </c>
      <c r="BO41" s="61">
        <v>0.2</v>
      </c>
      <c r="BP41" s="61">
        <v>0.65</v>
      </c>
      <c r="BQ41" s="61">
        <v>0</v>
      </c>
      <c r="BR41" s="61">
        <v>0</v>
      </c>
      <c r="BS41" s="61">
        <v>2.8500419327000472E-3</v>
      </c>
      <c r="BT41" s="61">
        <v>0.05</v>
      </c>
      <c r="BU41" s="61">
        <v>0.69400790455959183</v>
      </c>
      <c r="BV41" s="61">
        <v>1</v>
      </c>
      <c r="BW41" s="5"/>
    </row>
    <row r="42" spans="1:107" x14ac:dyDescent="0.2">
      <c r="A42" s="9" t="s">
        <v>434</v>
      </c>
      <c r="B42" s="183">
        <v>0.1</v>
      </c>
      <c r="G42" s="201" t="s">
        <v>432</v>
      </c>
      <c r="H42" s="202">
        <f>SUM(H34:H41)</f>
        <v>919.28588775794242</v>
      </c>
      <c r="BB42" s="63">
        <v>0</v>
      </c>
      <c r="BC42" s="60" t="s">
        <v>471</v>
      </c>
      <c r="BD42" s="60" t="s">
        <v>473</v>
      </c>
      <c r="BE42" s="60" t="s">
        <v>474</v>
      </c>
      <c r="BF42" s="210" t="s">
        <v>475</v>
      </c>
      <c r="BG42" s="60" t="s">
        <v>63</v>
      </c>
      <c r="BH42" s="60" t="s">
        <v>64</v>
      </c>
      <c r="BI42" s="60" t="s">
        <v>65</v>
      </c>
      <c r="BJ42" s="60" t="s">
        <v>66</v>
      </c>
      <c r="BK42" s="60" t="s">
        <v>67</v>
      </c>
      <c r="BL42" s="60" t="s">
        <v>68</v>
      </c>
      <c r="BM42" s="60" t="s">
        <v>69</v>
      </c>
      <c r="BN42" s="60" t="s">
        <v>61</v>
      </c>
      <c r="BO42" s="3" t="s">
        <v>62</v>
      </c>
      <c r="BP42" s="3" t="s">
        <v>63</v>
      </c>
      <c r="BQ42" s="3" t="s">
        <v>64</v>
      </c>
      <c r="BR42" s="3" t="s">
        <v>65</v>
      </c>
      <c r="BS42" s="3" t="s">
        <v>66</v>
      </c>
      <c r="BT42" s="3" t="s">
        <v>67</v>
      </c>
      <c r="BU42" s="3" t="s">
        <v>68</v>
      </c>
      <c r="BV42" s="3" t="s">
        <v>69</v>
      </c>
    </row>
    <row r="43" spans="1:107" x14ac:dyDescent="0.2">
      <c r="BB43" s="106">
        <v>1</v>
      </c>
      <c r="BC43" s="7">
        <f>$BB43*BC$63+BC$64</f>
        <v>2.5000000000000006E-4</v>
      </c>
      <c r="BD43" s="7">
        <f t="shared" ref="BD43:BF43" si="70">$BB43*BD$63+BD$64</f>
        <v>9.4607879568499066E-3</v>
      </c>
      <c r="BE43" s="7">
        <f t="shared" si="70"/>
        <v>0</v>
      </c>
      <c r="BF43" s="7">
        <f t="shared" si="70"/>
        <v>1.3573434345832172E-2</v>
      </c>
      <c r="BG43" s="186">
        <f>$BC43*$B$50/100*BP$41/O$9/BP$40*BP$39 + $BD43*$C$50/100*BP$41/O$9/BP$40*BP$39 + $BE43*$D$50/100*BP$41/O$9/BP$40*BP$39 + $BF43*$E$50/100*BP$41/O$9/BP$40*BP$39</f>
        <v>7.0209717459473672E-4</v>
      </c>
      <c r="BH43" s="186"/>
      <c r="BI43" s="186">
        <f>$BC43*$B$51/100*BR$41/Q$9/BR$40*BR$39 + $BD43*$C$51/100*BR$41/Q$9/BR$40*BR$39 + $BE43*$D$51/100*BR$41/Q$9/BR$40*BR$39 + $BF43*$E$51/100*BR$41/Q$9/BR$40*BR$39</f>
        <v>0</v>
      </c>
      <c r="BJ43" s="186">
        <f>$BC43*$B$52/100*BS$41/R$9/BS$40*BS$39 + $BD43*$C$52/100*BS$41/R$9/BS$40*BS$39 + $BE43*$D$52/100*BS$41/R$9/BS$40*BS$39 + $BF43*$E$52/100*BS$41/R$9/BS$40*BS$39</f>
        <v>1.7624896668370877E-5</v>
      </c>
      <c r="BK43" s="186">
        <f>$BC43*$B$53/100*BT$41/S$9/BT$40*BT$39 + $BD43*$C$53/100*BT$41/S$9/BT$40*BT$39 + $BE43*$D$53/100*BT$41/S$9/BT$40*BT$39 + $BF43*$E$53/100*BT$41/S$9/BT$40*BT$39</f>
        <v>1.5081231291506355E-4</v>
      </c>
      <c r="BL43" s="186">
        <f>$BC43*$B$54/100*BU$41/T$9/BU$40*BU$39 + $BD43*$C$54/100*BU$41/T$9/BU$40*BU$39 + $BE43*$D$54/100*BU$41/T$9/BU$40*BU$39 + $BEC43*$E$54/100*BU$41/T$9/BU$40*BU$39</f>
        <v>3.0017353564317146E-4</v>
      </c>
      <c r="BM43" s="186">
        <f>$BC43*$B$55/100*BV$41/U$9/BV$40*BV$39 + $BD43*$C$55/100*BV$41/U$9/BV$40*BV$39 + $BE43*$D$55/100*BV$41/U$9/BV$40*BV$39 + $BF43*$E$55/100*BV$41/U$9/BV$40*BV$39</f>
        <v>2.2708391096439771E-4</v>
      </c>
      <c r="BN43" s="7">
        <f>$BD$38+SUM(BG43:BM43)+($BD$37-SUM(BC43:BF43))</f>
        <v>0.97811456952810361</v>
      </c>
      <c r="BO43" s="110">
        <f>(($BD$38*$G$19/100 + $BD$37*$H$56/100) - ($BC43*$B$56/100*(1-BO$41) + $BD43*$C$56/100*(1-BO$41) + $BE43*$D$56/100*(1-BO$41) + $BF43*$E$56/100*(1-BO$41)))/($BN43)*100</f>
        <v>2.3742127437152565</v>
      </c>
      <c r="BP43" s="110">
        <f>(($BD$38*$G$13/100 + $BD$37*$H$50/100) - ($BC43*$B$50/100*(1-BP$41) + $BD43*$C$50/100*(1-BP$41) + $BE43*$D$50/100*(1-BP$41) + $BF43*$E$50/100*(1-BP$41)))/($BN43)*100</f>
        <v>4.3803060498698665</v>
      </c>
      <c r="BQ43" s="110">
        <f>(($BD$38*$G$20/100 + $BD$37*$H$57/100) - ($BC43*$B$57/100*(1-BQ$41) + $BD43*$C$57/100*(1-BQ$41) + $BE43*$D$57/100*(1-BQ$41) + $BF43*$E$57/100*(1-BQ$41)))/($BN43)*100</f>
        <v>0.52433056778504694</v>
      </c>
      <c r="BR43" s="110">
        <f>(($BD$38*$G$14/100 + $BD$37*$H$51/100) - ($BC43*$B$51/100*(1-BR$41) + $BD43*$C$51/100*(1-BR$41) + $BE43*$D$51/100*(1-BR$41) + $BF43*$E$51/100*(1-BR$41)))/($BN43)*100</f>
        <v>8.5193032485431672</v>
      </c>
      <c r="BS43" s="110">
        <f>(($BD$38*$G$15/100 + $BD$37*$H$52/100) - ($BC43*$B$52/100*(1-BS$41) + $BD43*$C$52/100*(1-BS$41) + $BE43*$D$52/100*(1-BS$41) + $BF43*$E$52/100*(1-BS$41)))/($BN43)*100</f>
        <v>22.318724097259555</v>
      </c>
      <c r="BT43" s="110">
        <f>(($BD$38*$G$16/100 + $BD$37*$H$53/100) - ($BC43*$B$53/100*(1-BT$41) + $BD43*$C$53/100*(1-BT$41) + $BE43*$D$53/100*(1-BT$41) + $BF43*$E$53/100*(1-BT$41)))/($BN43)*100</f>
        <v>8.4206821118315762</v>
      </c>
      <c r="BU43" s="110">
        <f>(($BD$38*$G$17/100 + $BD$37*$H$54/100) - ($BC43*$B$54/100*(1-BU$41) + $BD43*$C$54/100*(1-BU$41) + $BE43*$D$54/100*(1-BU$41) + $BF43*$E$54/100*(1-BU$41)))/($BN43)*100</f>
        <v>6.3478350362119489</v>
      </c>
      <c r="BV43" s="110">
        <f>(($BD$38*$G$18/100 + $BD$37*$H$55/100) - ($BC43*$B$55/100*(1-BV$41) + $BD43*$C$55/100*(1-BV$41) + $BE43*$D$55/100*(1-BV$41) + $BF43*$E$55/100*(1-BV$41)))/($BN43)*100</f>
        <v>0.73020687807475149</v>
      </c>
    </row>
    <row r="44" spans="1:107" x14ac:dyDescent="0.2">
      <c r="D44" s="1" t="s">
        <v>485</v>
      </c>
      <c r="BB44" s="106">
        <v>2</v>
      </c>
      <c r="BC44" s="7">
        <f t="shared" ref="BC44:BF62" si="71">$BB44*BC$63+BC$64</f>
        <v>5.0000000000000012E-4</v>
      </c>
      <c r="BD44" s="7">
        <f t="shared" si="71"/>
        <v>1.8921575913699813E-2</v>
      </c>
      <c r="BE44" s="7">
        <f t="shared" si="71"/>
        <v>0</v>
      </c>
      <c r="BF44" s="7">
        <f t="shared" si="71"/>
        <v>2.7146868691664345E-2</v>
      </c>
      <c r="BG44" s="186">
        <f t="shared" ref="BG44:BG62" si="72">$BC44*$B$50/100*BP$41/O$9/BP$40*BP$39 + $BD44*$C$50/100*BP$41/O$9/BP$40*BP$39 + $BE44*$D$50/100*BP$41/O$9/BP$40*BP$39 + $BF44*$E$50/100*BP$41/O$9/BP$40*BP$39</f>
        <v>1.4041943491894734E-3</v>
      </c>
      <c r="BH44" s="186"/>
      <c r="BI44" s="186">
        <f t="shared" ref="BI44:BI62" si="73">$BC44*$B$51/100*BR$41/Q$9/BR$40*BR$39 + $BD44*$C$51/100*BR$41/Q$9/BR$40*BR$39 + $BE44*$D$51/100*BR$41/Q$9/BR$40*BR$39 + $BF44*$E$51/100*BR$41/Q$9/BR$40*BR$39</f>
        <v>0</v>
      </c>
      <c r="BJ44" s="186">
        <f t="shared" ref="BJ44:BJ62" si="74">$BC44*$B$52/100*BS$41/R$9/BS$40*BS$39 + $BD44*$C$52/100*BS$41/R$9/BS$40*BS$39 + $BE44*$D$52/100*BS$41/R$9/BS$40*BS$39 + $BF44*$E$52/100*BS$41/R$9/BS$40*BS$39</f>
        <v>3.5249793336741753E-5</v>
      </c>
      <c r="BK44" s="186">
        <f t="shared" ref="BK44:BK62" si="75">$BC44*$B$53/100*BT$41/S$9/BT$40*BT$39 + $BD44*$C$53/100*BT$41/S$9/BT$40*BT$39 + $BE44*$D$53/100*BT$41/S$9/BT$40*BT$39 + $BF44*$E$53/100*BT$41/S$9/BT$40*BT$39</f>
        <v>3.016246258301271E-4</v>
      </c>
      <c r="BL44" s="186">
        <f t="shared" ref="BL44:BL62" si="76">$BC44*$B$54/100*BU$41/T$9/BU$40*BU$39 + $BD44*$C$54/100*BU$41/T$9/BU$40*BU$39 + $BE44*$D$54/100*BU$41/T$9/BU$40*BU$39 + $BEC44*$E$54/100*BU$41/T$9/BU$40*BU$39</f>
        <v>6.0034707128634292E-4</v>
      </c>
      <c r="BM44" s="186">
        <f t="shared" ref="BM44:BM62" si="77">$BC44*$B$55/100*BV$41/U$9/BV$40*BV$39 + $BD44*$C$55/100*BV$41/U$9/BV$40*BV$39 + $BE44*$D$55/100*BV$41/U$9/BV$40*BV$39 + $BF44*$E$55/100*BV$41/U$9/BV$40*BV$39</f>
        <v>4.5416782192879543E-4</v>
      </c>
      <c r="BN44" s="7">
        <f t="shared" ref="BN44:BN62" si="78">$BD$38+SUM(BG44:BM44)+($BD$37-SUM(BC44:BF44))</f>
        <v>0.95622813905620729</v>
      </c>
      <c r="BO44" s="110">
        <f t="shared" ref="BO44:BO62" si="79">(($BD$38*$G$19/100 + $BD$37*$H$56/100) - ($BC44*$B$56/100*(1-BO$41) + $BD44*$C$56/100*(1-BO$41) + $BE44*$D$56/100*(1-BO$41) + $BF44*$E$56/100*(1-BO$41)))/($BN44)*100</f>
        <v>2.3706566638212387</v>
      </c>
      <c r="BP44" s="110">
        <f t="shared" ref="BP44:BP62" si="80">(($BD$38*$G$13/100 + $BD$37*$H$50/100) - ($BC44*$B$50/100*(1-BP$41) + $BD44*$C$50/100*(1-BP$41) + $BE44*$D$50/100*(1-BP$41) + $BF44*$E$50/100*(1-BP$41)))/($BN44)*100</f>
        <v>4.452312973697846</v>
      </c>
      <c r="BQ44" s="110">
        <f t="shared" ref="BQ44:BQ62" si="81">(($BD$38*$G$20/100 + $BD$37*$H$57/100) - ($BC44*$B$57/100*(1-BQ$41) + $BD44*$C$57/100*(1-BQ$41) + $BE44*$D$57/100*(1-BQ$41) + $BF44*$E$57/100*(1-BQ$41)))/($BN44)*100</f>
        <v>0.5197763928745841</v>
      </c>
      <c r="BR44" s="110">
        <f t="shared" ref="BR44:BR62" si="82">(($BD$38*$G$14/100 + $BD$37*$H$51/100) - ($BC44*$B$51/100*(1-BR$41) + $BD44*$C$51/100*(1-BR$41) + $BE44*$D$51/100*(1-BR$41) + $BF44*$E$51/100*(1-BR$41)))/($BN44)*100</f>
        <v>8.510774692920192</v>
      </c>
      <c r="BS44" s="110">
        <f t="shared" ref="BS44:BS62" si="83">(($BD$38*$G$15/100 + $BD$37*$H$52/100) - ($BC44*$B$52/100*(1-BS$41) + $BD44*$C$52/100*(1-BS$41) + $BE44*$D$52/100*(1-BS$41) + $BF44*$E$52/100*(1-BS$41)))/($BN44)*100</f>
        <v>22.263529141613606</v>
      </c>
      <c r="BT44" s="110">
        <f t="shared" ref="BT44:BT62" si="84">(($BD$38*$G$16/100 + $BD$37*$H$53/100) - ($BC44*$B$53/100*(1-BT$41) + $BD44*$C$53/100*(1-BT$41) + $BE44*$D$53/100*(1-BT$41) + $BF44*$E$53/100*(1-BT$41)))/($BN44)*100</f>
        <v>8.368447981598786</v>
      </c>
      <c r="BU44" s="110">
        <f t="shared" ref="BU44:BU62" si="85">(($BD$38*$G$17/100 + $BD$37*$H$54/100) - ($BC44*$B$54/100*(1-BU$41) + $BD44*$C$54/100*(1-BU$41) + $BE44*$D$54/100*(1-BU$41) + $BF44*$E$54/100*(1-BU$41)))/($BN44)*100</f>
        <v>6.4697081710846209</v>
      </c>
      <c r="BV44" s="110">
        <f t="shared" ref="BV44:BV62" si="86">(($BD$38*$G$18/100 + $BD$37*$H$55/100) - ($BC44*$B$55/100*(1-BV$41) + $BD44*$C$55/100*(1-BV$41) + $BE44*$D$55/100*(1-BV$41) + $BF44*$E$55/100*(1-BV$41)))/($BN44)*100</f>
        <v>0.74692006754735718</v>
      </c>
    </row>
    <row r="45" spans="1:107" x14ac:dyDescent="0.2">
      <c r="D45" t="s">
        <v>484</v>
      </c>
      <c r="E45" s="4"/>
      <c r="F45" s="4"/>
      <c r="G45" s="4" t="s">
        <v>35</v>
      </c>
      <c r="H45" s="4" t="s">
        <v>35</v>
      </c>
      <c r="BB45" s="106">
        <v>3</v>
      </c>
      <c r="BC45" s="7">
        <f t="shared" si="71"/>
        <v>7.5000000000000023E-4</v>
      </c>
      <c r="BD45" s="7">
        <f t="shared" si="71"/>
        <v>2.838236387054972E-2</v>
      </c>
      <c r="BE45" s="7">
        <f t="shared" si="71"/>
        <v>0</v>
      </c>
      <c r="BF45" s="7">
        <f t="shared" si="71"/>
        <v>4.0720303037496519E-2</v>
      </c>
      <c r="BG45" s="186">
        <f t="shared" si="72"/>
        <v>2.1062915237842097E-3</v>
      </c>
      <c r="BH45" s="186"/>
      <c r="BI45" s="186">
        <f t="shared" si="73"/>
        <v>0</v>
      </c>
      <c r="BJ45" s="186">
        <f t="shared" si="74"/>
        <v>5.2874690005112633E-5</v>
      </c>
      <c r="BK45" s="186">
        <f t="shared" si="75"/>
        <v>4.524369387451907E-4</v>
      </c>
      <c r="BL45" s="186">
        <f t="shared" si="76"/>
        <v>9.0052060692951406E-4</v>
      </c>
      <c r="BM45" s="186">
        <f t="shared" si="77"/>
        <v>6.812517328931932E-4</v>
      </c>
      <c r="BN45" s="7">
        <f t="shared" si="78"/>
        <v>0.93434170858431098</v>
      </c>
      <c r="BO45" s="110">
        <f t="shared" si="79"/>
        <v>2.3669339855732394</v>
      </c>
      <c r="BP45" s="110">
        <f t="shared" si="80"/>
        <v>4.5276933411329701</v>
      </c>
      <c r="BQ45" s="110">
        <f t="shared" si="81"/>
        <v>0.51500885997823898</v>
      </c>
      <c r="BR45" s="110">
        <f t="shared" si="82"/>
        <v>8.50184658403324</v>
      </c>
      <c r="BS45" s="110">
        <f t="shared" si="83"/>
        <v>22.205748364210915</v>
      </c>
      <c r="BT45" s="110">
        <f t="shared" si="84"/>
        <v>8.3137667409585383</v>
      </c>
      <c r="BU45" s="110">
        <f t="shared" si="85"/>
        <v>6.5972909256141588</v>
      </c>
      <c r="BV45" s="110">
        <f t="shared" si="86"/>
        <v>0.76441625119863443</v>
      </c>
    </row>
    <row r="46" spans="1:107" x14ac:dyDescent="0.2">
      <c r="B46" s="230" t="s">
        <v>436</v>
      </c>
      <c r="C46" s="230"/>
      <c r="D46" s="75"/>
      <c r="E46" s="75"/>
      <c r="F46" s="75"/>
      <c r="G46" s="75" t="s">
        <v>435</v>
      </c>
      <c r="H46" s="75" t="s">
        <v>437</v>
      </c>
      <c r="I46" s="80" t="s">
        <v>433</v>
      </c>
      <c r="BB46" s="106">
        <v>4</v>
      </c>
      <c r="BC46" s="7">
        <f t="shared" si="71"/>
        <v>1.0000000000000002E-3</v>
      </c>
      <c r="BD46" s="7">
        <f t="shared" si="71"/>
        <v>3.7843151827399626E-2</v>
      </c>
      <c r="BE46" s="7">
        <f t="shared" si="71"/>
        <v>0</v>
      </c>
      <c r="BF46" s="7">
        <f t="shared" si="71"/>
        <v>5.429373738332869E-2</v>
      </c>
      <c r="BG46" s="186">
        <f t="shared" si="72"/>
        <v>2.8083886983789469E-3</v>
      </c>
      <c r="BH46" s="186"/>
      <c r="BI46" s="186">
        <f t="shared" si="73"/>
        <v>0</v>
      </c>
      <c r="BJ46" s="186">
        <f t="shared" si="74"/>
        <v>7.0499586673483506E-5</v>
      </c>
      <c r="BK46" s="186">
        <f t="shared" si="75"/>
        <v>6.032492516602542E-4</v>
      </c>
      <c r="BL46" s="186">
        <f t="shared" si="76"/>
        <v>1.2006941425726858E-3</v>
      </c>
      <c r="BM46" s="186">
        <f t="shared" si="77"/>
        <v>9.0833564385759086E-4</v>
      </c>
      <c r="BN46" s="7">
        <f t="shared" si="78"/>
        <v>0.91245527811241467</v>
      </c>
      <c r="BO46" s="110">
        <f t="shared" si="79"/>
        <v>2.3630327207345365</v>
      </c>
      <c r="BP46" s="110">
        <f t="shared" si="80"/>
        <v>4.6066899015156055</v>
      </c>
      <c r="BQ46" s="110">
        <f t="shared" si="81"/>
        <v>0.51001261608693038</v>
      </c>
      <c r="BR46" s="110">
        <f t="shared" si="82"/>
        <v>8.4924901704631175</v>
      </c>
      <c r="BS46" s="110">
        <f t="shared" si="83"/>
        <v>22.145195692124577</v>
      </c>
      <c r="BT46" s="110">
        <f t="shared" si="84"/>
        <v>8.2564622985020542</v>
      </c>
      <c r="BU46" s="110">
        <f t="shared" si="85"/>
        <v>6.7309941578337389</v>
      </c>
      <c r="BV46" s="110">
        <f t="shared" si="86"/>
        <v>0.78275177243980298</v>
      </c>
    </row>
    <row r="47" spans="1:107" x14ac:dyDescent="0.2">
      <c r="B47" s="235" t="s">
        <v>438</v>
      </c>
      <c r="C47" s="235"/>
      <c r="D47" s="235"/>
      <c r="E47" s="235"/>
      <c r="F47" s="216"/>
      <c r="G47" s="199"/>
      <c r="BB47" s="106">
        <v>5</v>
      </c>
      <c r="BC47" s="7">
        <f t="shared" si="71"/>
        <v>1.2500000000000002E-3</v>
      </c>
      <c r="BD47" s="7">
        <f t="shared" si="71"/>
        <v>4.730393978424953E-2</v>
      </c>
      <c r="BE47" s="7">
        <f t="shared" si="71"/>
        <v>0</v>
      </c>
      <c r="BF47" s="7">
        <f t="shared" si="71"/>
        <v>6.7867171729160861E-2</v>
      </c>
      <c r="BG47" s="186">
        <f t="shared" si="72"/>
        <v>3.5104858729736832E-3</v>
      </c>
      <c r="BH47" s="186"/>
      <c r="BI47" s="186">
        <f t="shared" si="73"/>
        <v>0</v>
      </c>
      <c r="BJ47" s="186">
        <f t="shared" si="74"/>
        <v>8.8124483341854386E-5</v>
      </c>
      <c r="BK47" s="186">
        <f t="shared" si="75"/>
        <v>7.5406156457531758E-4</v>
      </c>
      <c r="BL47" s="186">
        <f t="shared" si="76"/>
        <v>1.5008676782158571E-3</v>
      </c>
      <c r="BM47" s="186">
        <f>$BC47*$B$55/100*BV$41/U$9/BV$40*BV$39 + $BD47*$C$55/100*BV$41/U$9/BV$40*BV$39 + $BE47*$D$55/100*BV$41/U$9/BV$40*BV$39 + $BF47*$E$55/100*BV$41/U$9/BV$40*BV$39</f>
        <v>1.1354195548219884E-3</v>
      </c>
      <c r="BN47" s="7">
        <f t="shared" si="78"/>
        <v>0.89056884764051836</v>
      </c>
      <c r="BO47" s="110">
        <f t="shared" si="79"/>
        <v>2.3589397025869889</v>
      </c>
      <c r="BP47" s="110">
        <f t="shared" si="80"/>
        <v>4.6895692672106302</v>
      </c>
      <c r="BQ47" s="110">
        <f t="shared" si="81"/>
        <v>0.50477079894244214</v>
      </c>
      <c r="BR47" s="110">
        <f t="shared" si="82"/>
        <v>8.4826738744355943</v>
      </c>
      <c r="BS47" s="110">
        <f t="shared" si="83"/>
        <v>22.081666760873063</v>
      </c>
      <c r="BT47" s="110">
        <f t="shared" si="84"/>
        <v>8.1963412524806056</v>
      </c>
      <c r="BU47" s="110">
        <f t="shared" si="85"/>
        <v>6.8712691144148765</v>
      </c>
      <c r="BV47" s="110">
        <f t="shared" si="86"/>
        <v>0.80198851341681565</v>
      </c>
    </row>
    <row r="48" spans="1:107" x14ac:dyDescent="0.2">
      <c r="A48" s="72" t="s">
        <v>461</v>
      </c>
      <c r="B48" s="204">
        <v>0.05</v>
      </c>
      <c r="C48" s="204">
        <v>0.47303939784249532</v>
      </c>
      <c r="D48" s="206">
        <v>2.4512790629765545E-2</v>
      </c>
      <c r="E48" s="205">
        <f>IF((1-C48-B48-D48)&gt;0,(1-C48-B48-D48),0)</f>
        <v>0.45244781152773911</v>
      </c>
      <c r="F48" s="205">
        <f>SUM(B48:D48)</f>
        <v>0.54755218847226084</v>
      </c>
      <c r="G48" s="199"/>
      <c r="H48" s="7"/>
      <c r="I48" s="7"/>
      <c r="BB48" s="106">
        <v>6</v>
      </c>
      <c r="BC48" s="7">
        <f t="shared" si="71"/>
        <v>1.5000000000000005E-3</v>
      </c>
      <c r="BD48" s="7">
        <f t="shared" si="71"/>
        <v>5.676472774109944E-2</v>
      </c>
      <c r="BE48" s="7">
        <f t="shared" si="71"/>
        <v>0</v>
      </c>
      <c r="BF48" s="7">
        <f t="shared" si="71"/>
        <v>8.1440606074993038E-2</v>
      </c>
      <c r="BG48" s="186">
        <f t="shared" si="72"/>
        <v>4.2125830475684195E-3</v>
      </c>
      <c r="BH48" s="186"/>
      <c r="BI48" s="186">
        <f t="shared" si="73"/>
        <v>0</v>
      </c>
      <c r="BJ48" s="186">
        <f t="shared" si="74"/>
        <v>1.0574938001022527E-4</v>
      </c>
      <c r="BK48" s="186">
        <f t="shared" si="75"/>
        <v>9.048738774903814E-4</v>
      </c>
      <c r="BL48" s="186">
        <f t="shared" si="76"/>
        <v>1.8010412138590281E-3</v>
      </c>
      <c r="BM48" s="186">
        <f t="shared" si="77"/>
        <v>1.3625034657863864E-3</v>
      </c>
      <c r="BN48" s="7">
        <f t="shared" si="78"/>
        <v>0.86868241716862193</v>
      </c>
      <c r="BO48" s="110">
        <f>(($BD$38*$G$19/100 + $BD$37*$H$56/100) - ($BC48*$B$56/100*(1-BO$41) + $BD48*$C$56/100*(1-BO$41) + $BE48*$D$56/100*(1-BO$41) + $BF48*$E$56/100*(1-BO$41)))/($BN48)*100</f>
        <v>2.3546404374719971</v>
      </c>
      <c r="BP48" s="110">
        <f t="shared" si="80"/>
        <v>4.7766249197487838</v>
      </c>
      <c r="BQ48" s="110">
        <f t="shared" si="81"/>
        <v>0.4992648469099632</v>
      </c>
      <c r="BR48" s="110">
        <f t="shared" si="82"/>
        <v>8.4723629357717023</v>
      </c>
      <c r="BS48" s="110">
        <f t="shared" si="83"/>
        <v>22.014936610144069</v>
      </c>
      <c r="BT48" s="110">
        <f t="shared" si="84"/>
        <v>8.1331907101377414</v>
      </c>
      <c r="BU48" s="110">
        <f t="shared" si="85"/>
        <v>7.0186125186207944</v>
      </c>
      <c r="BV48" s="110">
        <f t="shared" si="86"/>
        <v>0.82219459275173279</v>
      </c>
    </row>
    <row r="49" spans="1:74" x14ac:dyDescent="0.2">
      <c r="A49" s="198" t="s">
        <v>35</v>
      </c>
      <c r="B49" s="182" t="s">
        <v>446</v>
      </c>
      <c r="C49" s="182" t="s">
        <v>448</v>
      </c>
      <c r="D49" s="182" t="s">
        <v>465</v>
      </c>
      <c r="E49" s="182" t="s">
        <v>439</v>
      </c>
      <c r="F49" s="182"/>
      <c r="G49" s="200" t="s">
        <v>31</v>
      </c>
      <c r="J49" s="5" t="s">
        <v>480</v>
      </c>
      <c r="K49" s="5" t="s">
        <v>480</v>
      </c>
      <c r="BB49" s="106">
        <v>7</v>
      </c>
      <c r="BC49" s="7">
        <f t="shared" si="71"/>
        <v>1.7500000000000005E-3</v>
      </c>
      <c r="BD49" s="7">
        <f t="shared" si="71"/>
        <v>6.622551569794935E-2</v>
      </c>
      <c r="BE49" s="7">
        <f t="shared" si="71"/>
        <v>0</v>
      </c>
      <c r="BF49" s="7">
        <f t="shared" si="71"/>
        <v>9.5014040420825202E-2</v>
      </c>
      <c r="BG49" s="186">
        <f t="shared" si="72"/>
        <v>4.9146802221631571E-3</v>
      </c>
      <c r="BH49" s="186"/>
      <c r="BI49" s="186">
        <f t="shared" si="73"/>
        <v>0</v>
      </c>
      <c r="BJ49" s="186">
        <f t="shared" si="74"/>
        <v>1.2337427667859615E-4</v>
      </c>
      <c r="BK49" s="186">
        <f t="shared" si="75"/>
        <v>1.0556861904054448E-3</v>
      </c>
      <c r="BL49" s="186">
        <f t="shared" si="76"/>
        <v>2.1012147495022E-3</v>
      </c>
      <c r="BM49" s="186">
        <f t="shared" si="77"/>
        <v>1.5895873767507844E-3</v>
      </c>
      <c r="BN49" s="7">
        <f t="shared" si="78"/>
        <v>0.84679598669672562</v>
      </c>
      <c r="BO49" s="110">
        <f t="shared" si="79"/>
        <v>2.3501189333088801</v>
      </c>
      <c r="BP49" s="110">
        <f t="shared" si="80"/>
        <v>4.8681806821514026</v>
      </c>
      <c r="BQ49" s="110">
        <f t="shared" si="81"/>
        <v>0.49347427936623095</v>
      </c>
      <c r="BR49" s="110">
        <f t="shared" si="82"/>
        <v>8.4615190006229124</v>
      </c>
      <c r="BS49" s="110">
        <f t="shared" si="83"/>
        <v>21.94475702217812</v>
      </c>
      <c r="BT49" s="110">
        <f t="shared" si="84"/>
        <v>8.0667757688700732</v>
      </c>
      <c r="BU49" s="110">
        <f t="shared" si="85"/>
        <v>7.1735724472843305</v>
      </c>
      <c r="BV49" s="110">
        <f t="shared" si="86"/>
        <v>0.84344517148773557</v>
      </c>
    </row>
    <row r="50" spans="1:74" x14ac:dyDescent="0.2">
      <c r="A50" s="188" t="s">
        <v>63</v>
      </c>
      <c r="B50" s="7">
        <f>HLOOKUP($A50,'H9 basalt data'!$D$67:$M$69,3,FALSE)</f>
        <v>12.060837633981739</v>
      </c>
      <c r="C50" s="7">
        <f>HLOOKUP($A50,'H9 basalt data'!$D$67:$M$69,2,FALSE)</f>
        <v>7.8395444620881296</v>
      </c>
      <c r="D50" s="7">
        <v>0</v>
      </c>
      <c r="E50" s="7">
        <v>0</v>
      </c>
      <c r="F50" s="7"/>
      <c r="G50" s="8">
        <f>D13</f>
        <v>3.6604278940000001</v>
      </c>
      <c r="H50" s="8">
        <f t="shared" ref="H50:H57" si="87">(B$48*B50/100 + C$48*C50/100 + E$48*E50/100 + D$48*D50/100)*100</f>
        <v>4.3114552734047251</v>
      </c>
      <c r="I50" s="8">
        <f t="shared" ref="I50:I57" si="88">(G50-H50)^2/$B$42^2</f>
        <v>42.383664873458365</v>
      </c>
      <c r="J50" s="217">
        <f t="shared" ref="J50:J57" si="89">$B$48/100*B50+$C$48/100*C50+$D$48/100*D50+$E$48/100*E50</f>
        <v>4.3114552734047254E-2</v>
      </c>
      <c r="K50" s="217">
        <f t="shared" ref="K50:K57" si="90">H50/100*1</f>
        <v>4.3114552734047254E-2</v>
      </c>
      <c r="BB50" s="106">
        <v>8</v>
      </c>
      <c r="BC50" s="7">
        <f t="shared" si="71"/>
        <v>2.0000000000000005E-3</v>
      </c>
      <c r="BD50" s="7">
        <f t="shared" si="71"/>
        <v>7.5686303654799253E-2</v>
      </c>
      <c r="BE50" s="7">
        <f t="shared" si="71"/>
        <v>0</v>
      </c>
      <c r="BF50" s="7">
        <f t="shared" si="71"/>
        <v>0.10858747476665738</v>
      </c>
      <c r="BG50" s="186">
        <f t="shared" si="72"/>
        <v>5.6167773967578938E-3</v>
      </c>
      <c r="BH50" s="186"/>
      <c r="BI50" s="186">
        <f t="shared" si="73"/>
        <v>0</v>
      </c>
      <c r="BJ50" s="186">
        <f t="shared" si="74"/>
        <v>1.4099917334696701E-4</v>
      </c>
      <c r="BK50" s="186">
        <f t="shared" si="75"/>
        <v>1.2064985033205084E-3</v>
      </c>
      <c r="BL50" s="186">
        <f t="shared" si="76"/>
        <v>2.4013882851453717E-3</v>
      </c>
      <c r="BM50" s="186">
        <f t="shared" si="77"/>
        <v>1.8166712877151817E-3</v>
      </c>
      <c r="BN50" s="7">
        <f t="shared" si="78"/>
        <v>0.82490955622482931</v>
      </c>
      <c r="BO50" s="110">
        <f t="shared" si="79"/>
        <v>2.3453575008148384</v>
      </c>
      <c r="BP50" s="110">
        <f t="shared" si="80"/>
        <v>4.9645947440197142</v>
      </c>
      <c r="BQ50" s="110">
        <f t="shared" si="81"/>
        <v>0.4873764421273365</v>
      </c>
      <c r="BR50" s="110">
        <f t="shared" si="82"/>
        <v>8.4500996447364543</v>
      </c>
      <c r="BS50" s="110">
        <f t="shared" si="83"/>
        <v>21.870853436445451</v>
      </c>
      <c r="BT50" s="110">
        <f t="shared" si="84"/>
        <v>7.9968365964103167</v>
      </c>
      <c r="BU50" s="110">
        <f t="shared" si="85"/>
        <v>7.3367551433507465</v>
      </c>
      <c r="BV50" s="110">
        <f t="shared" si="86"/>
        <v>0.86582338733373032</v>
      </c>
    </row>
    <row r="51" spans="1:74" x14ac:dyDescent="0.2">
      <c r="A51" s="188" t="s">
        <v>65</v>
      </c>
      <c r="B51" s="7">
        <f>HLOOKUP($A51,'H9 basalt data'!$D$67:$M$69,3,FALSE)</f>
        <v>0.2858783458458905</v>
      </c>
      <c r="C51" s="7">
        <f>HLOOKUP($A51,'H9 basalt data'!$D$67:$M$69,2,FALSE)</f>
        <v>12.864525563065071</v>
      </c>
      <c r="D51" s="7">
        <v>0</v>
      </c>
      <c r="E51" s="7">
        <f>E62*$Q$9/$E$58*100</f>
        <v>5.3658022819186115</v>
      </c>
      <c r="F51" s="7"/>
      <c r="G51" s="8">
        <f t="shared" ref="G51:G57" si="91">D14</f>
        <v>10.07713981</v>
      </c>
      <c r="H51" s="8">
        <f t="shared" si="87"/>
        <v>8.5274668427186082</v>
      </c>
      <c r="I51" s="8">
        <f t="shared" si="88"/>
        <v>240.14863055227141</v>
      </c>
      <c r="J51" s="217">
        <f t="shared" si="89"/>
        <v>8.527466842718609E-2</v>
      </c>
      <c r="K51" s="217">
        <f t="shared" si="90"/>
        <v>8.5274668427186076E-2</v>
      </c>
      <c r="BB51" s="106">
        <v>9</v>
      </c>
      <c r="BC51" s="7">
        <f t="shared" si="71"/>
        <v>2.2500000000000007E-3</v>
      </c>
      <c r="BD51" s="7">
        <f t="shared" si="71"/>
        <v>8.5147091611649156E-2</v>
      </c>
      <c r="BE51" s="7">
        <f t="shared" si="71"/>
        <v>0</v>
      </c>
      <c r="BF51" s="7">
        <f t="shared" si="71"/>
        <v>0.12216090911248956</v>
      </c>
      <c r="BG51" s="186">
        <f t="shared" si="72"/>
        <v>6.3188745713526296E-3</v>
      </c>
      <c r="BH51" s="186"/>
      <c r="BI51" s="186">
        <f t="shared" si="73"/>
        <v>0</v>
      </c>
      <c r="BJ51" s="186">
        <f t="shared" si="74"/>
        <v>1.5862407001533788E-4</v>
      </c>
      <c r="BK51" s="186">
        <f t="shared" si="75"/>
        <v>1.3573108162355718E-3</v>
      </c>
      <c r="BL51" s="186">
        <f t="shared" si="76"/>
        <v>2.7015618207885425E-3</v>
      </c>
      <c r="BM51" s="186">
        <f t="shared" si="77"/>
        <v>2.0437551986795797E-3</v>
      </c>
      <c r="BN51" s="7">
        <f t="shared" si="78"/>
        <v>0.803023125752933</v>
      </c>
      <c r="BO51" s="110">
        <f t="shared" si="79"/>
        <v>2.3403365222183616</v>
      </c>
      <c r="BP51" s="110">
        <f t="shared" si="80"/>
        <v>5.066264344848042</v>
      </c>
      <c r="BQ51" s="110">
        <f t="shared" si="81"/>
        <v>0.4809462112462719</v>
      </c>
      <c r="BR51" s="110">
        <f t="shared" si="82"/>
        <v>8.4380578187600879</v>
      </c>
      <c r="BS51" s="110">
        <f t="shared" si="83"/>
        <v>21.792921359779236</v>
      </c>
      <c r="BT51" s="110">
        <f t="shared" si="84"/>
        <v>7.9230850335318754</v>
      </c>
      <c r="BU51" s="110">
        <f t="shared" si="85"/>
        <v>7.5088329424774276</v>
      </c>
      <c r="BV51" s="110">
        <f t="shared" si="86"/>
        <v>0.88942144168621695</v>
      </c>
    </row>
    <row r="52" spans="1:74" x14ac:dyDescent="0.2">
      <c r="A52" s="188" t="s">
        <v>66</v>
      </c>
      <c r="B52" s="7">
        <f>HLOOKUP($A52,'H9 basalt data'!$D$67:$M$69,3,FALSE)</f>
        <v>17.762931895346512</v>
      </c>
      <c r="C52" s="7">
        <f>HLOOKUP($A52,'H9 basalt data'!$D$67:$M$69,2,FALSE)</f>
        <v>22.437387657279803</v>
      </c>
      <c r="D52" s="7">
        <v>0</v>
      </c>
      <c r="E52" s="7">
        <f>E63*$R$9/$E$58*100</f>
        <v>24.023918819893016</v>
      </c>
      <c r="F52" s="7"/>
      <c r="G52" s="8">
        <f t="shared" si="91"/>
        <v>21.10389953</v>
      </c>
      <c r="H52" s="8">
        <f t="shared" si="87"/>
        <v>22.371484435706261</v>
      </c>
      <c r="I52" s="8">
        <f t="shared" si="88"/>
        <v>160.67714931743512</v>
      </c>
      <c r="J52" s="217">
        <f t="shared" si="89"/>
        <v>0.2237148443570626</v>
      </c>
      <c r="K52" s="217">
        <f t="shared" si="90"/>
        <v>0.2237148443570626</v>
      </c>
      <c r="BB52" s="106">
        <v>10</v>
      </c>
      <c r="BC52" s="7">
        <f t="shared" si="71"/>
        <v>2.5000000000000005E-3</v>
      </c>
      <c r="BD52" s="7">
        <f t="shared" si="71"/>
        <v>9.4607879568499059E-2</v>
      </c>
      <c r="BE52" s="7">
        <f t="shared" si="71"/>
        <v>0</v>
      </c>
      <c r="BF52" s="7">
        <f t="shared" si="71"/>
        <v>0.13573434345832172</v>
      </c>
      <c r="BG52" s="186">
        <f t="shared" si="72"/>
        <v>7.0209717459473664E-3</v>
      </c>
      <c r="BH52" s="186"/>
      <c r="BI52" s="186">
        <f t="shared" si="73"/>
        <v>0</v>
      </c>
      <c r="BJ52" s="186">
        <f t="shared" si="74"/>
        <v>1.7624896668370877E-4</v>
      </c>
      <c r="BK52" s="186">
        <f t="shared" si="75"/>
        <v>1.5081231291506352E-3</v>
      </c>
      <c r="BL52" s="186">
        <f t="shared" si="76"/>
        <v>3.0017353564317142E-3</v>
      </c>
      <c r="BM52" s="186">
        <f t="shared" si="77"/>
        <v>2.2708391096439768E-3</v>
      </c>
      <c r="BN52" s="7">
        <f t="shared" si="78"/>
        <v>0.78113669528103657</v>
      </c>
      <c r="BO52" s="110">
        <f t="shared" si="79"/>
        <v>2.3350341810905468</v>
      </c>
      <c r="BP52" s="110">
        <f t="shared" si="80"/>
        <v>5.1736312446589352</v>
      </c>
      <c r="BQ52" s="110">
        <f t="shared" si="81"/>
        <v>0.47415564701523971</v>
      </c>
      <c r="BR52" s="110">
        <f t="shared" si="82"/>
        <v>8.4253412002958576</v>
      </c>
      <c r="BS52" s="110">
        <f t="shared" si="83"/>
        <v>21.710622173008503</v>
      </c>
      <c r="BT52" s="110">
        <f t="shared" si="84"/>
        <v>7.8452006256267319</v>
      </c>
      <c r="BU52" s="110">
        <f t="shared" si="85"/>
        <v>7.6905535321914558</v>
      </c>
      <c r="BV52" s="110">
        <f t="shared" si="86"/>
        <v>0.9143418693927603</v>
      </c>
    </row>
    <row r="53" spans="1:74" x14ac:dyDescent="0.2">
      <c r="A53" s="188" t="s">
        <v>67</v>
      </c>
      <c r="B53" s="7">
        <f>HLOOKUP($A53,'H9 basalt data'!$D$67:$M$69,3,FALSE)</f>
        <v>2.6463059405066644E-2</v>
      </c>
      <c r="C53" s="7">
        <f>HLOOKUP($A53,'H9 basalt data'!$D$67:$M$69,2,FALSE)</f>
        <v>1.5877835643039986</v>
      </c>
      <c r="D53" s="7">
        <v>0</v>
      </c>
      <c r="E53" s="7">
        <f>E64*$S$9/$E$58*100</f>
        <v>17.058827729693597</v>
      </c>
      <c r="F53" s="7"/>
      <c r="G53" s="8">
        <f t="shared" si="91"/>
        <v>8.6798077679999999</v>
      </c>
      <c r="H53" s="8">
        <f t="shared" si="87"/>
        <v>8.4706366076614064</v>
      </c>
      <c r="I53" s="8">
        <f t="shared" si="88"/>
        <v>4.3752574317393584</v>
      </c>
      <c r="J53" s="217">
        <f t="shared" si="89"/>
        <v>8.4706366076614054E-2</v>
      </c>
      <c r="K53" s="217">
        <f t="shared" si="90"/>
        <v>8.4706366076614067E-2</v>
      </c>
      <c r="BB53" s="106">
        <v>11</v>
      </c>
      <c r="BC53" s="7">
        <f t="shared" si="71"/>
        <v>2.7500000000000007E-3</v>
      </c>
      <c r="BD53" s="7">
        <f t="shared" si="71"/>
        <v>0.10406866752534898</v>
      </c>
      <c r="BE53" s="7">
        <f t="shared" si="71"/>
        <v>0</v>
      </c>
      <c r="BF53" s="7">
        <f t="shared" si="71"/>
        <v>0.14930777780415389</v>
      </c>
      <c r="BG53" s="186">
        <f t="shared" si="72"/>
        <v>7.7230689205421039E-3</v>
      </c>
      <c r="BH53" s="186"/>
      <c r="BI53" s="186">
        <f t="shared" si="73"/>
        <v>0</v>
      </c>
      <c r="BJ53" s="186">
        <f t="shared" si="74"/>
        <v>1.9387386335207967E-4</v>
      </c>
      <c r="BK53" s="186">
        <f t="shared" si="75"/>
        <v>1.6589354420656988E-3</v>
      </c>
      <c r="BL53" s="186">
        <f t="shared" si="76"/>
        <v>3.3019088920748858E-3</v>
      </c>
      <c r="BM53" s="186">
        <f t="shared" si="77"/>
        <v>2.4979230206083748E-3</v>
      </c>
      <c r="BN53" s="7">
        <f t="shared" si="78"/>
        <v>0.75925026480914026</v>
      </c>
      <c r="BO53" s="110">
        <f t="shared" si="79"/>
        <v>2.3294261454485219</v>
      </c>
      <c r="BP53" s="110">
        <f t="shared" si="80"/>
        <v>5.2871881408296852</v>
      </c>
      <c r="BQ53" s="110">
        <f t="shared" si="81"/>
        <v>0.46697358812481521</v>
      </c>
      <c r="BR53" s="110">
        <f t="shared" si="82"/>
        <v>8.411891433886197</v>
      </c>
      <c r="BS53" s="110">
        <f t="shared" si="83"/>
        <v>21.623578212313706</v>
      </c>
      <c r="BT53" s="110">
        <f t="shared" si="84"/>
        <v>7.7628259679120877</v>
      </c>
      <c r="BU53" s="110">
        <f t="shared" si="85"/>
        <v>7.8827508124946863</v>
      </c>
      <c r="BV53" s="110">
        <f t="shared" si="86"/>
        <v>0.94069902813150497</v>
      </c>
    </row>
    <row r="54" spans="1:74" x14ac:dyDescent="0.2">
      <c r="A54" s="188" t="s">
        <v>68</v>
      </c>
      <c r="B54" s="7">
        <f>HLOOKUP($A54,'H9 basalt data'!$D$67:$M$69,3,FALSE)</f>
        <v>27.983130115249711</v>
      </c>
      <c r="C54" s="7">
        <f>HLOOKUP($A54,'H9 basalt data'!$D$67:$M$69,2,FALSE)</f>
        <v>6.9957825288124278</v>
      </c>
      <c r="D54" s="7">
        <f>1/$D$58*(2-$D$60)*$T$9*100</f>
        <v>62.125311453057762</v>
      </c>
      <c r="E54" s="7">
        <v>0</v>
      </c>
      <c r="F54" s="7"/>
      <c r="G54" s="8">
        <f t="shared" si="91"/>
        <v>5.9381225410000003</v>
      </c>
      <c r="H54" s="8">
        <f t="shared" si="87"/>
        <v>6.2313020130867462</v>
      </c>
      <c r="I54" s="8">
        <f t="shared" si="88"/>
        <v>8.5954202853063055</v>
      </c>
      <c r="J54" s="217">
        <f t="shared" si="89"/>
        <v>6.2313020130867459E-2</v>
      </c>
      <c r="K54" s="217">
        <f t="shared" si="90"/>
        <v>6.2313020130867459E-2</v>
      </c>
      <c r="BB54" s="106">
        <v>12</v>
      </c>
      <c r="BC54" s="7">
        <f t="shared" si="71"/>
        <v>3.0000000000000009E-3</v>
      </c>
      <c r="BD54" s="7">
        <f t="shared" si="71"/>
        <v>0.11352945548219888</v>
      </c>
      <c r="BE54" s="7">
        <f t="shared" si="71"/>
        <v>0</v>
      </c>
      <c r="BF54" s="7">
        <f t="shared" si="71"/>
        <v>0.16288121214998608</v>
      </c>
      <c r="BG54" s="186">
        <f t="shared" si="72"/>
        <v>8.4251660951368389E-3</v>
      </c>
      <c r="BH54" s="186"/>
      <c r="BI54" s="186">
        <f t="shared" si="73"/>
        <v>0</v>
      </c>
      <c r="BJ54" s="186">
        <f t="shared" si="74"/>
        <v>2.1149876002045053E-4</v>
      </c>
      <c r="BK54" s="186">
        <f t="shared" si="75"/>
        <v>1.8097477549807628E-3</v>
      </c>
      <c r="BL54" s="186">
        <f t="shared" si="76"/>
        <v>3.6020824277180562E-3</v>
      </c>
      <c r="BM54" s="186">
        <f t="shared" si="77"/>
        <v>2.7250069315727728E-3</v>
      </c>
      <c r="BN54" s="7">
        <f t="shared" si="78"/>
        <v>0.73736383433724384</v>
      </c>
      <c r="BO54" s="110">
        <f t="shared" si="79"/>
        <v>2.3234851944221315</v>
      </c>
      <c r="BP54" s="110">
        <f t="shared" si="80"/>
        <v>5.4074862277041511</v>
      </c>
      <c r="BQ54" s="110">
        <f t="shared" si="81"/>
        <v>0.45936517354611195</v>
      </c>
      <c r="BR54" s="110">
        <f t="shared" si="82"/>
        <v>8.3976432356476902</v>
      </c>
      <c r="BS54" s="110">
        <f t="shared" si="83"/>
        <v>21.531366974611206</v>
      </c>
      <c r="BT54" s="110">
        <f t="shared" si="84"/>
        <v>7.6755612216556388</v>
      </c>
      <c r="BU54" s="110">
        <f t="shared" si="85"/>
        <v>8.0863576906554666</v>
      </c>
      <c r="BV54" s="110">
        <f t="shared" si="86"/>
        <v>0.96862085303723289</v>
      </c>
    </row>
    <row r="55" spans="1:74" x14ac:dyDescent="0.2">
      <c r="A55" s="188" t="s">
        <v>69</v>
      </c>
      <c r="B55" s="7">
        <f>HLOOKUP($A55,'H9 basalt data'!$D$67:$M$69,3,FALSE)</f>
        <v>5.9936395051835532E-3</v>
      </c>
      <c r="C55" s="7">
        <f>HLOOKUP($A55,'H9 basalt data'!$D$67:$M$69,2,FALSE)</f>
        <v>1.4384734812440525</v>
      </c>
      <c r="D55" s="7">
        <f>1/$D$58*$D$60*$U$9*100</f>
        <v>1.3654729593852377</v>
      </c>
      <c r="E55" s="7">
        <v>0</v>
      </c>
      <c r="F55" s="7"/>
      <c r="G55" s="8">
        <f t="shared" si="91"/>
        <v>0.55738749899999995</v>
      </c>
      <c r="H55" s="8">
        <f t="shared" si="87"/>
        <v>0.71422586411936051</v>
      </c>
      <c r="I55" s="8">
        <f t="shared" si="88"/>
        <v>2.4598272773313852</v>
      </c>
      <c r="J55" s="217">
        <f t="shared" si="89"/>
        <v>7.1422586411936054E-3</v>
      </c>
      <c r="K55" s="217">
        <f t="shared" si="90"/>
        <v>7.1422586411936054E-3</v>
      </c>
      <c r="BB55" s="106">
        <v>13</v>
      </c>
      <c r="BC55" s="7">
        <f t="shared" si="71"/>
        <v>3.2500000000000007E-3</v>
      </c>
      <c r="BD55" s="7">
        <f t="shared" si="71"/>
        <v>0.12299024343904878</v>
      </c>
      <c r="BE55" s="7">
        <f t="shared" si="71"/>
        <v>0</v>
      </c>
      <c r="BF55" s="7">
        <f t="shared" si="71"/>
        <v>0.17645464649581824</v>
      </c>
      <c r="BG55" s="186">
        <f t="shared" si="72"/>
        <v>9.1272632697315774E-3</v>
      </c>
      <c r="BH55" s="186"/>
      <c r="BI55" s="186">
        <f t="shared" si="73"/>
        <v>0</v>
      </c>
      <c r="BJ55" s="186">
        <f t="shared" si="74"/>
        <v>2.291236566888214E-4</v>
      </c>
      <c r="BK55" s="186">
        <f t="shared" si="75"/>
        <v>1.9605600678958262E-3</v>
      </c>
      <c r="BL55" s="186">
        <f t="shared" si="76"/>
        <v>3.9022559633612288E-3</v>
      </c>
      <c r="BM55" s="186">
        <f t="shared" si="77"/>
        <v>2.9520908425371703E-3</v>
      </c>
      <c r="BN55" s="7">
        <f t="shared" si="78"/>
        <v>0.71547740386534753</v>
      </c>
      <c r="BO55" s="110">
        <f t="shared" si="79"/>
        <v>2.3171807763990926</v>
      </c>
      <c r="BP55" s="110">
        <f t="shared" si="80"/>
        <v>5.5351441436942697</v>
      </c>
      <c r="BQ55" s="110">
        <f t="shared" si="81"/>
        <v>0.45129127665929247</v>
      </c>
      <c r="BR55" s="110">
        <f t="shared" si="82"/>
        <v>8.3825233335694449</v>
      </c>
      <c r="BS55" s="110">
        <f t="shared" si="83"/>
        <v>21.433514259395082</v>
      </c>
      <c r="BT55" s="110">
        <f t="shared" si="84"/>
        <v>7.5829576239099001</v>
      </c>
      <c r="BU55" s="110">
        <f t="shared" si="85"/>
        <v>8.3024212243539086</v>
      </c>
      <c r="BV55" s="110">
        <f t="shared" si="86"/>
        <v>0.99825093337114379</v>
      </c>
    </row>
    <row r="56" spans="1:74" x14ac:dyDescent="0.2">
      <c r="A56" s="188" t="s">
        <v>62</v>
      </c>
      <c r="B56" s="7">
        <f>HLOOKUP($A56,'H9 basalt data'!$D$67:$M$69,3,FALSE)</f>
        <v>1.4837283596056728E-2</v>
      </c>
      <c r="C56" s="7">
        <f>HLOOKUP($A56,'H9 basalt data'!$D$67:$M$69,2,FALSE)</f>
        <v>0.44511850788170187</v>
      </c>
      <c r="D56" s="7">
        <v>0</v>
      </c>
      <c r="E56" s="7">
        <f>E65*$N$9/$E$58*100</f>
        <v>4.7879887620759636</v>
      </c>
      <c r="F56" s="7"/>
      <c r="G56" s="8">
        <f t="shared" si="91"/>
        <v>2.7077732910000001</v>
      </c>
      <c r="H56" s="8">
        <f t="shared" si="87"/>
        <v>2.3776154921373918</v>
      </c>
      <c r="I56" s="8">
        <f t="shared" si="88"/>
        <v>10.900417214980251</v>
      </c>
      <c r="J56" s="217">
        <f t="shared" si="89"/>
        <v>2.3776154921373915E-2</v>
      </c>
      <c r="K56" s="217">
        <f t="shared" si="90"/>
        <v>2.3776154921373919E-2</v>
      </c>
      <c r="BB56" s="106">
        <v>14</v>
      </c>
      <c r="BC56" s="7">
        <f t="shared" si="71"/>
        <v>3.5000000000000009E-3</v>
      </c>
      <c r="BD56" s="7">
        <f t="shared" si="71"/>
        <v>0.1324510313958987</v>
      </c>
      <c r="BE56" s="7">
        <f t="shared" si="71"/>
        <v>0</v>
      </c>
      <c r="BF56" s="7">
        <f t="shared" si="71"/>
        <v>0.1900280808416504</v>
      </c>
      <c r="BG56" s="186">
        <f t="shared" si="72"/>
        <v>9.8293604443263141E-3</v>
      </c>
      <c r="BH56" s="186"/>
      <c r="BI56" s="186">
        <f t="shared" si="73"/>
        <v>0</v>
      </c>
      <c r="BJ56" s="186">
        <f t="shared" si="74"/>
        <v>2.4674855335719229E-4</v>
      </c>
      <c r="BK56" s="186">
        <f t="shared" si="75"/>
        <v>2.1113723808108896E-3</v>
      </c>
      <c r="BL56" s="186">
        <f t="shared" si="76"/>
        <v>4.2024294990044E-3</v>
      </c>
      <c r="BM56" s="186">
        <f t="shared" si="77"/>
        <v>3.1791747535015688E-3</v>
      </c>
      <c r="BN56" s="7">
        <f t="shared" si="78"/>
        <v>0.69359097339345133</v>
      </c>
      <c r="BO56" s="110">
        <f t="shared" si="79"/>
        <v>2.3104784835131444</v>
      </c>
      <c r="BP56" s="110">
        <f t="shared" si="80"/>
        <v>5.6708586123492388</v>
      </c>
      <c r="BQ56" s="110">
        <f t="shared" si="81"/>
        <v>0.44270783224481092</v>
      </c>
      <c r="BR56" s="110">
        <f t="shared" si="82"/>
        <v>8.3664492071766645</v>
      </c>
      <c r="BS56" s="110">
        <f t="shared" si="83"/>
        <v>21.329486012114035</v>
      </c>
      <c r="BT56" s="110">
        <f t="shared" si="84"/>
        <v>7.4845097684351591</v>
      </c>
      <c r="BU56" s="110">
        <f t="shared" si="85"/>
        <v>8.5321206319007832</v>
      </c>
      <c r="BV56" s="110">
        <f t="shared" si="86"/>
        <v>1.0297509823695312</v>
      </c>
    </row>
    <row r="57" spans="1:74" x14ac:dyDescent="0.2">
      <c r="A57" s="188" t="s">
        <v>64</v>
      </c>
      <c r="B57" s="7">
        <f>HLOOKUP($A57,'H9 basalt data'!$D$67:$M$69,3,FALSE)</f>
        <v>8.3015022028770109E-3</v>
      </c>
      <c r="C57" s="7">
        <f>HLOOKUP($A57,'H9 basalt data'!$D$67:$M$69,2,FALSE)</f>
        <v>4.1507511014385054E-3</v>
      </c>
      <c r="D57" s="7">
        <v>0</v>
      </c>
      <c r="E57" s="7">
        <f>E66*$P$9/$E$58*100</f>
        <v>1.1632435507341454</v>
      </c>
      <c r="F57" s="7"/>
      <c r="G57" s="8">
        <f t="shared" si="91"/>
        <v>0.65578889600000001</v>
      </c>
      <c r="H57" s="8">
        <f t="shared" si="87"/>
        <v>0.52868554271518309</v>
      </c>
      <c r="I57" s="8">
        <f t="shared" si="88"/>
        <v>1.6155262416244975</v>
      </c>
      <c r="J57" s="217">
        <f t="shared" si="89"/>
        <v>5.2868554271518313E-3</v>
      </c>
      <c r="K57" s="217">
        <f t="shared" si="90"/>
        <v>5.2868554271518313E-3</v>
      </c>
      <c r="BB57" s="106">
        <v>15</v>
      </c>
      <c r="BC57" s="7">
        <f t="shared" si="71"/>
        <v>3.7500000000000007E-3</v>
      </c>
      <c r="BD57" s="7">
        <f t="shared" si="71"/>
        <v>0.1419118193527486</v>
      </c>
      <c r="BE57" s="7">
        <f t="shared" si="71"/>
        <v>0</v>
      </c>
      <c r="BF57" s="7">
        <f t="shared" si="71"/>
        <v>0.2036015151874826</v>
      </c>
      <c r="BG57" s="186">
        <f t="shared" si="72"/>
        <v>1.0531457618921047E-2</v>
      </c>
      <c r="BH57" s="186"/>
      <c r="BI57" s="186">
        <f t="shared" si="73"/>
        <v>0</v>
      </c>
      <c r="BJ57" s="186">
        <f t="shared" si="74"/>
        <v>2.6437345002556313E-4</v>
      </c>
      <c r="BK57" s="186">
        <f t="shared" si="75"/>
        <v>2.2621846937259534E-3</v>
      </c>
      <c r="BL57" s="186">
        <f t="shared" si="76"/>
        <v>4.5026030346475713E-3</v>
      </c>
      <c r="BM57" s="186">
        <f t="shared" si="77"/>
        <v>3.4062586644659659E-3</v>
      </c>
      <c r="BN57" s="7">
        <f t="shared" si="78"/>
        <v>0.6717045429215549</v>
      </c>
      <c r="BO57" s="110">
        <f t="shared" si="79"/>
        <v>2.3033394233943518</v>
      </c>
      <c r="BP57" s="110">
        <f t="shared" si="80"/>
        <v>5.8154171637591912</v>
      </c>
      <c r="BQ57" s="110">
        <f t="shared" si="81"/>
        <v>0.43356503190109957</v>
      </c>
      <c r="BR57" s="110">
        <f t="shared" si="82"/>
        <v>8.3493275807977696</v>
      </c>
      <c r="BS57" s="110">
        <f t="shared" si="83"/>
        <v>21.218678572924222</v>
      </c>
      <c r="BT57" s="110">
        <f t="shared" si="84"/>
        <v>7.3796463775388981</v>
      </c>
      <c r="BU57" s="110">
        <f t="shared" si="85"/>
        <v>8.7767888234634572</v>
      </c>
      <c r="BV57" s="110">
        <f t="shared" si="86"/>
        <v>1.0633037899491427</v>
      </c>
    </row>
    <row r="58" spans="1:74" x14ac:dyDescent="0.2">
      <c r="A58" s="2" t="s">
        <v>22</v>
      </c>
      <c r="B58" s="233" t="s">
        <v>458</v>
      </c>
      <c r="C58" s="233"/>
      <c r="D58" s="4">
        <f>($D$60)*$U$9+4*15.999+$T$9*(1+1-D60)</f>
        <v>175.28725</v>
      </c>
      <c r="E58" s="4">
        <f>E62*$Q$9+E63*$R$9+E64*$S$9+E65*$N$9+E66*$P$9+E67*15.999</f>
        <v>268.88952</v>
      </c>
      <c r="F58" s="4"/>
      <c r="H58" s="201" t="s">
        <v>432</v>
      </c>
      <c r="I58" s="203">
        <f>SUM(I50:I57)</f>
        <v>471.15589319414676</v>
      </c>
      <c r="BB58" s="106">
        <v>16</v>
      </c>
      <c r="BC58" s="7">
        <f t="shared" si="71"/>
        <v>4.000000000000001E-3</v>
      </c>
      <c r="BD58" s="7">
        <f t="shared" si="71"/>
        <v>0.15137260730959851</v>
      </c>
      <c r="BE58" s="7">
        <f t="shared" si="71"/>
        <v>0</v>
      </c>
      <c r="BF58" s="7">
        <f t="shared" si="71"/>
        <v>0.21717494953331476</v>
      </c>
      <c r="BG58" s="186">
        <f t="shared" si="72"/>
        <v>1.1233554793515788E-2</v>
      </c>
      <c r="BH58" s="186"/>
      <c r="BI58" s="186">
        <f t="shared" si="73"/>
        <v>0</v>
      </c>
      <c r="BJ58" s="186">
        <f t="shared" si="74"/>
        <v>2.8199834669393402E-4</v>
      </c>
      <c r="BK58" s="186">
        <f t="shared" si="75"/>
        <v>2.4129970066410168E-3</v>
      </c>
      <c r="BL58" s="186">
        <f t="shared" si="76"/>
        <v>4.8027765702907434E-3</v>
      </c>
      <c r="BM58" s="186">
        <f t="shared" si="77"/>
        <v>3.6333425754303634E-3</v>
      </c>
      <c r="BN58" s="7">
        <f t="shared" si="78"/>
        <v>0.64981811244965859</v>
      </c>
      <c r="BO58" s="110">
        <f t="shared" si="79"/>
        <v>2.2957194639594856</v>
      </c>
      <c r="BP58" s="110">
        <f t="shared" si="80"/>
        <v>5.9697134267654679</v>
      </c>
      <c r="BQ58" s="110">
        <f t="shared" si="81"/>
        <v>0.42380635686812551</v>
      </c>
      <c r="BR58" s="110">
        <f t="shared" si="82"/>
        <v>8.331052612343214</v>
      </c>
      <c r="BS58" s="110">
        <f t="shared" si="83"/>
        <v>21.100406954859945</v>
      </c>
      <c r="BT58" s="110">
        <f t="shared" si="84"/>
        <v>7.2677192090410996</v>
      </c>
      <c r="BU58" s="110">
        <f t="shared" si="85"/>
        <v>9.0379382834325579</v>
      </c>
      <c r="BV58" s="110">
        <f t="shared" si="86"/>
        <v>1.0991167721104067</v>
      </c>
    </row>
    <row r="59" spans="1:74" x14ac:dyDescent="0.2">
      <c r="D59" s="197" t="s">
        <v>483</v>
      </c>
      <c r="H59" s="201" t="s">
        <v>464</v>
      </c>
      <c r="I59" s="203">
        <f>I50+I54</f>
        <v>50.979085158764669</v>
      </c>
      <c r="BB59" s="106">
        <v>17</v>
      </c>
      <c r="BC59" s="7">
        <f t="shared" si="71"/>
        <v>4.2500000000000012E-3</v>
      </c>
      <c r="BD59" s="7">
        <f t="shared" si="71"/>
        <v>0.16083339526644841</v>
      </c>
      <c r="BE59" s="7">
        <f t="shared" si="71"/>
        <v>0</v>
      </c>
      <c r="BF59" s="7">
        <f t="shared" si="71"/>
        <v>0.23074838387914692</v>
      </c>
      <c r="BG59" s="186">
        <f t="shared" si="72"/>
        <v>1.1935651968110526E-2</v>
      </c>
      <c r="BH59" s="186"/>
      <c r="BI59" s="186">
        <f t="shared" si="73"/>
        <v>0</v>
      </c>
      <c r="BJ59" s="186">
        <f t="shared" si="74"/>
        <v>2.9962324336230492E-4</v>
      </c>
      <c r="BK59" s="186">
        <f t="shared" si="75"/>
        <v>2.5638093195560802E-3</v>
      </c>
      <c r="BL59" s="186">
        <f t="shared" si="76"/>
        <v>5.1029501059339137E-3</v>
      </c>
      <c r="BM59" s="186">
        <f t="shared" si="77"/>
        <v>3.8604264863947618E-3</v>
      </c>
      <c r="BN59" s="7">
        <f t="shared" si="78"/>
        <v>0.62793168197776228</v>
      </c>
      <c r="BO59" s="110">
        <f t="shared" si="79"/>
        <v>2.2875683202663426</v>
      </c>
      <c r="BP59" s="110">
        <f t="shared" si="80"/>
        <v>6.1347656192121072</v>
      </c>
      <c r="BQ59" s="110">
        <f t="shared" si="81"/>
        <v>0.41336740858652582</v>
      </c>
      <c r="BR59" s="110">
        <f t="shared" si="82"/>
        <v>8.3115037033058314</v>
      </c>
      <c r="BS59" s="110">
        <f t="shared" si="83"/>
        <v>20.973890670632592</v>
      </c>
      <c r="BT59" s="110">
        <f t="shared" si="84"/>
        <v>7.1479896433668175</v>
      </c>
      <c r="BU59" s="110">
        <f t="shared" si="85"/>
        <v>9.3172923655362982</v>
      </c>
      <c r="BV59" s="110">
        <f t="shared" si="86"/>
        <v>1.1374262626230089</v>
      </c>
    </row>
    <row r="60" spans="1:74" x14ac:dyDescent="0.2">
      <c r="D60" s="113">
        <v>0.05</v>
      </c>
      <c r="E60" s="1" t="s">
        <v>463</v>
      </c>
      <c r="F60" s="1"/>
      <c r="BB60" s="106">
        <v>18</v>
      </c>
      <c r="BC60" s="7">
        <f t="shared" si="71"/>
        <v>4.5000000000000014E-3</v>
      </c>
      <c r="BD60" s="7">
        <f t="shared" si="71"/>
        <v>0.17029418322329831</v>
      </c>
      <c r="BE60" s="7">
        <f t="shared" si="71"/>
        <v>0</v>
      </c>
      <c r="BF60" s="7">
        <f t="shared" si="71"/>
        <v>0.24432181822497911</v>
      </c>
      <c r="BG60" s="186">
        <f t="shared" si="72"/>
        <v>1.2637749142705259E-2</v>
      </c>
      <c r="BH60" s="186"/>
      <c r="BI60" s="186">
        <f t="shared" si="73"/>
        <v>0</v>
      </c>
      <c r="BJ60" s="186">
        <f t="shared" si="74"/>
        <v>3.1724814003067576E-4</v>
      </c>
      <c r="BK60" s="186">
        <f t="shared" si="75"/>
        <v>2.7146216324711436E-3</v>
      </c>
      <c r="BL60" s="186">
        <f t="shared" si="76"/>
        <v>5.403123641577085E-3</v>
      </c>
      <c r="BM60" s="186">
        <f t="shared" si="77"/>
        <v>4.0875103973591594E-3</v>
      </c>
      <c r="BN60" s="7">
        <f t="shared" si="78"/>
        <v>0.60604525150586586</v>
      </c>
      <c r="BO60" s="110">
        <f t="shared" si="79"/>
        <v>2.2788284435066077</v>
      </c>
      <c r="BP60" s="110">
        <f t="shared" si="80"/>
        <v>6.311739044686286</v>
      </c>
      <c r="BQ60" s="110">
        <f t="shared" si="81"/>
        <v>0.40217448586094762</v>
      </c>
      <c r="BR60" s="110">
        <f t="shared" si="82"/>
        <v>8.2905428342295409</v>
      </c>
      <c r="BS60" s="110">
        <f t="shared" si="83"/>
        <v>20.838236488364046</v>
      </c>
      <c r="BT60" s="110">
        <f t="shared" si="84"/>
        <v>7.0196123643145372</v>
      </c>
      <c r="BU60" s="110">
        <f t="shared" si="85"/>
        <v>9.6168233690161653</v>
      </c>
      <c r="BV60" s="110">
        <f t="shared" si="86"/>
        <v>1.1785027346388393</v>
      </c>
    </row>
    <row r="61" spans="1:74" x14ac:dyDescent="0.2">
      <c r="D61" s="81" t="s">
        <v>466</v>
      </c>
      <c r="E61" t="s">
        <v>462</v>
      </c>
      <c r="BB61" s="106">
        <v>19</v>
      </c>
      <c r="BC61" s="7">
        <f t="shared" si="71"/>
        <v>4.7500000000000007E-3</v>
      </c>
      <c r="BD61" s="7">
        <f t="shared" si="71"/>
        <v>0.17975497118014822</v>
      </c>
      <c r="BE61" s="7">
        <f t="shared" si="71"/>
        <v>0</v>
      </c>
      <c r="BF61" s="7">
        <f t="shared" si="71"/>
        <v>0.25789525257081125</v>
      </c>
      <c r="BG61" s="186">
        <f t="shared" si="72"/>
        <v>1.3339846317299998E-2</v>
      </c>
      <c r="BH61" s="186"/>
      <c r="BI61" s="186">
        <f t="shared" si="73"/>
        <v>0</v>
      </c>
      <c r="BJ61" s="186">
        <f t="shared" si="74"/>
        <v>3.3487303669904665E-4</v>
      </c>
      <c r="BK61" s="186">
        <f t="shared" si="75"/>
        <v>2.8654339453862069E-3</v>
      </c>
      <c r="BL61" s="186">
        <f t="shared" si="76"/>
        <v>5.7032971772202562E-3</v>
      </c>
      <c r="BM61" s="186">
        <f t="shared" si="77"/>
        <v>4.3145943083235565E-3</v>
      </c>
      <c r="BN61" s="7">
        <f t="shared" si="78"/>
        <v>0.58415882103396966</v>
      </c>
      <c r="BO61" s="110">
        <f t="shared" si="79"/>
        <v>2.2694336602449168</v>
      </c>
      <c r="BP61" s="110">
        <f t="shared" si="80"/>
        <v>6.5019736465136955</v>
      </c>
      <c r="BQ61" s="110">
        <f t="shared" si="81"/>
        <v>0.3901428421704885</v>
      </c>
      <c r="BR61" s="110">
        <f t="shared" si="82"/>
        <v>8.2680113011928658</v>
      </c>
      <c r="BS61" s="110">
        <f t="shared" si="83"/>
        <v>20.692417310818399</v>
      </c>
      <c r="BT61" s="110">
        <f t="shared" si="84"/>
        <v>6.881615371270172</v>
      </c>
      <c r="BU61" s="110">
        <f t="shared" si="85"/>
        <v>9.9387991743060429</v>
      </c>
      <c r="BV61" s="110">
        <f t="shared" si="86"/>
        <v>1.2226571961206638</v>
      </c>
    </row>
    <row r="62" spans="1:74" x14ac:dyDescent="0.2">
      <c r="D62" s="188" t="s">
        <v>65</v>
      </c>
      <c r="E62" s="7">
        <v>0.36</v>
      </c>
      <c r="F62" s="7"/>
      <c r="BB62" s="63">
        <v>20</v>
      </c>
      <c r="BC62" s="7">
        <f t="shared" si="71"/>
        <v>5.000000000000001E-3</v>
      </c>
      <c r="BD62" s="7">
        <f t="shared" si="71"/>
        <v>0.18921575913699812</v>
      </c>
      <c r="BE62" s="7">
        <f t="shared" si="71"/>
        <v>0</v>
      </c>
      <c r="BF62" s="7">
        <f t="shared" si="71"/>
        <v>0.27146868691664344</v>
      </c>
      <c r="BG62" s="186">
        <f t="shared" si="72"/>
        <v>1.4041943491894733E-2</v>
      </c>
      <c r="BH62" s="186"/>
      <c r="BI62" s="186">
        <f t="shared" si="73"/>
        <v>0</v>
      </c>
      <c r="BJ62" s="186">
        <f t="shared" si="74"/>
        <v>3.5249793336741754E-4</v>
      </c>
      <c r="BK62" s="186">
        <f t="shared" si="75"/>
        <v>3.0162462583012703E-3</v>
      </c>
      <c r="BL62" s="186">
        <f t="shared" si="76"/>
        <v>6.0034707128634283E-3</v>
      </c>
      <c r="BM62" s="186">
        <f t="shared" si="77"/>
        <v>4.5416782192879536E-3</v>
      </c>
      <c r="BN62" s="7">
        <f t="shared" si="78"/>
        <v>0.56227239056207323</v>
      </c>
      <c r="BO62" s="110">
        <f t="shared" si="79"/>
        <v>2.2593074938525337</v>
      </c>
      <c r="BP62" s="110">
        <f t="shared" si="80"/>
        <v>6.7070179969829811</v>
      </c>
      <c r="BQ62" s="110">
        <f t="shared" si="81"/>
        <v>0.3771745359744042</v>
      </c>
      <c r="BR62" s="110">
        <f t="shared" si="82"/>
        <v>8.2437256900989766</v>
      </c>
      <c r="BS62" s="110">
        <f t="shared" si="83"/>
        <v>20.53524612188329</v>
      </c>
      <c r="BT62" s="110">
        <f t="shared" si="84"/>
        <v>6.7328753232784475</v>
      </c>
      <c r="BU62" s="110">
        <f t="shared" si="85"/>
        <v>10.285840770463107</v>
      </c>
      <c r="BV62" s="110">
        <f t="shared" si="86"/>
        <v>1.270249078921647</v>
      </c>
    </row>
    <row r="63" spans="1:74" x14ac:dyDescent="0.2">
      <c r="D63" s="188" t="s">
        <v>66</v>
      </c>
      <c r="E63" s="8">
        <v>2.2999999999999998</v>
      </c>
      <c r="F63" s="8"/>
      <c r="BB63" s="213" t="s">
        <v>478</v>
      </c>
      <c r="BC63" s="215">
        <f>(BC40-0)/($BB62-$BB42)</f>
        <v>2.5000000000000006E-4</v>
      </c>
      <c r="BD63" s="215">
        <f>(BD40-0)/($BB62-$BB42)</f>
        <v>9.4607879568499066E-3</v>
      </c>
      <c r="BE63" s="215">
        <f>(BE40-0)/($BB62-$BB42)</f>
        <v>0</v>
      </c>
      <c r="BF63" s="215">
        <f>(BF40-0)/($BB62-$BB42)</f>
        <v>1.3573434345832172E-2</v>
      </c>
      <c r="BI63" s="186"/>
      <c r="BJ63" s="186"/>
      <c r="BK63" s="186"/>
      <c r="BL63" s="186"/>
      <c r="BM63" s="186"/>
    </row>
    <row r="64" spans="1:74" x14ac:dyDescent="0.2">
      <c r="D64" s="188" t="s">
        <v>67</v>
      </c>
      <c r="E64" s="207">
        <f>1-(E63-2)+1</f>
        <v>1.7000000000000002</v>
      </c>
      <c r="F64" s="207"/>
      <c r="G64" s="194" t="s">
        <v>467</v>
      </c>
      <c r="BB64" s="213" t="s">
        <v>479</v>
      </c>
      <c r="BC64" s="215">
        <v>0</v>
      </c>
      <c r="BD64" s="215">
        <v>0</v>
      </c>
      <c r="BE64" s="215">
        <v>0</v>
      </c>
      <c r="BF64" s="215">
        <v>0</v>
      </c>
      <c r="BI64" s="186"/>
      <c r="BJ64" s="186"/>
      <c r="BK64" s="186"/>
      <c r="BL64" s="186"/>
      <c r="BM64" s="186"/>
    </row>
    <row r="65" spans="4:65" x14ac:dyDescent="0.2">
      <c r="D65" s="188" t="s">
        <v>62</v>
      </c>
      <c r="E65" s="208">
        <f>1-E62-E66</f>
        <v>0.56000000000000005</v>
      </c>
      <c r="F65" s="208"/>
      <c r="G65" s="194" t="s">
        <v>467</v>
      </c>
      <c r="BB65" s="2" t="s">
        <v>480</v>
      </c>
      <c r="BC65" s="184">
        <f>BC62-BC40</f>
        <v>0</v>
      </c>
      <c r="BD65" s="184">
        <f>BD62-BD40</f>
        <v>0</v>
      </c>
      <c r="BE65" s="184">
        <f>BE62-BE40</f>
        <v>0</v>
      </c>
      <c r="BF65" s="184">
        <f>BF62-BF40</f>
        <v>0</v>
      </c>
      <c r="BI65" s="186"/>
      <c r="BJ65" s="186"/>
      <c r="BK65" s="186"/>
      <c r="BL65" s="186"/>
      <c r="BM65" s="186"/>
    </row>
    <row r="66" spans="4:65" x14ac:dyDescent="0.2">
      <c r="D66" s="188" t="s">
        <v>64</v>
      </c>
      <c r="E66" s="7">
        <v>0.08</v>
      </c>
      <c r="F66" s="7"/>
    </row>
    <row r="67" spans="4:65" x14ac:dyDescent="0.2">
      <c r="D67" s="188" t="s">
        <v>468</v>
      </c>
      <c r="E67" s="8">
        <v>8</v>
      </c>
      <c r="F67" s="8"/>
    </row>
  </sheetData>
  <mergeCells count="11">
    <mergeCell ref="B46:C46"/>
    <mergeCell ref="B58:C58"/>
    <mergeCell ref="BF10:BM10"/>
    <mergeCell ref="B47:E47"/>
    <mergeCell ref="BG40:BM40"/>
    <mergeCell ref="CW10:DC10"/>
    <mergeCell ref="X10:AK10"/>
    <mergeCell ref="L10:M10"/>
    <mergeCell ref="O10:U10"/>
    <mergeCell ref="BO10:BV10"/>
    <mergeCell ref="BY10:CE10"/>
  </mergeCells>
  <phoneticPr fontId="7" type="noConversion"/>
  <conditionalFormatting sqref="H34:H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0:I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CC65F-9841-EE42-924F-4E2B1569A758}">
  <sheetPr>
    <tabColor theme="7"/>
  </sheetPr>
  <dimension ref="A1:DC224"/>
  <sheetViews>
    <sheetView tabSelected="1" topLeftCell="AT36" zoomScale="80" zoomScaleNormal="80" workbookViewId="0">
      <pane ySplit="7380" topLeftCell="A162"/>
      <selection activeCell="BK44" sqref="BK44"/>
      <selection pane="bottomLeft" activeCell="AV189" sqref="AV189"/>
    </sheetView>
  </sheetViews>
  <sheetFormatPr baseColWidth="10" defaultColWidth="11" defaultRowHeight="16" x14ac:dyDescent="0.2"/>
  <cols>
    <col min="1" max="1" width="15.33203125" customWidth="1"/>
    <col min="2" max="2" width="11.6640625" customWidth="1"/>
    <col min="3" max="3" width="17.83203125" bestFit="1" customWidth="1"/>
    <col min="4" max="4" width="14.6640625" bestFit="1" customWidth="1"/>
    <col min="5" max="5" width="12.1640625" bestFit="1" customWidth="1"/>
    <col min="6" max="6" width="12.1640625" customWidth="1"/>
    <col min="7" max="7" width="13" bestFit="1" customWidth="1"/>
    <col min="8" max="8" width="11.6640625" style="4" bestFit="1" customWidth="1"/>
    <col min="9" max="10" width="12.83203125" style="4" bestFit="1" customWidth="1"/>
    <col min="11" max="11" width="11.5" style="4" bestFit="1" customWidth="1"/>
    <col min="12" max="13" width="9.6640625" style="4" bestFit="1" customWidth="1"/>
    <col min="14" max="14" width="9.6640625" style="4" customWidth="1"/>
    <col min="15" max="20" width="10.5" style="4" customWidth="1"/>
    <col min="21" max="21" width="11.1640625" style="4" customWidth="1"/>
    <col min="22" max="22" width="4.6640625" style="4" customWidth="1"/>
    <col min="23" max="23" width="14" bestFit="1" customWidth="1"/>
    <col min="24" max="24" width="14" customWidth="1"/>
    <col min="54" max="54" width="19.33203125" bestFit="1" customWidth="1"/>
    <col min="55" max="55" width="17.83203125" customWidth="1"/>
    <col min="56" max="56" width="17.5" bestFit="1" customWidth="1"/>
    <col min="57" max="57" width="20.83203125" bestFit="1" customWidth="1"/>
    <col min="58" max="58" width="18.1640625" bestFit="1" customWidth="1"/>
    <col min="59" max="61" width="9.33203125" customWidth="1"/>
    <col min="62" max="64" width="9.33203125" bestFit="1" customWidth="1"/>
    <col min="65" max="65" width="9" bestFit="1" customWidth="1"/>
    <col min="66" max="66" width="19.83203125" bestFit="1" customWidth="1"/>
    <col min="70" max="70" width="14" bestFit="1" customWidth="1"/>
    <col min="75" max="75" width="5.33203125" customWidth="1"/>
    <col min="76" max="76" width="15.6640625" bestFit="1" customWidth="1"/>
    <col min="77" max="77" width="16.33203125" bestFit="1" customWidth="1"/>
    <col min="78" max="79" width="8" bestFit="1" customWidth="1"/>
    <col min="80" max="83" width="10.83203125" customWidth="1"/>
    <col min="100" max="100" width="16.33203125" bestFit="1" customWidth="1"/>
  </cols>
  <sheetData>
    <row r="1" spans="2:107" ht="21" x14ac:dyDescent="0.25">
      <c r="B1" s="114"/>
      <c r="C1" s="114"/>
      <c r="D1" s="114"/>
      <c r="E1" s="114"/>
      <c r="F1" s="114"/>
      <c r="G1" s="114"/>
    </row>
    <row r="2" spans="2:107" ht="21" x14ac:dyDescent="0.25">
      <c r="B2" s="115" t="s">
        <v>0</v>
      </c>
      <c r="C2" s="114"/>
      <c r="D2" s="114"/>
      <c r="E2" s="114"/>
      <c r="F2" s="114"/>
      <c r="G2" s="114"/>
      <c r="BC2" s="57" t="s">
        <v>1</v>
      </c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</row>
    <row r="3" spans="2:107" ht="21" x14ac:dyDescent="0.25">
      <c r="B3" s="115"/>
      <c r="C3" s="114"/>
      <c r="D3" s="114"/>
      <c r="E3" s="114"/>
      <c r="F3" s="114"/>
      <c r="G3" s="114"/>
      <c r="BC3" t="s">
        <v>2</v>
      </c>
      <c r="BN3" s="79" t="s">
        <v>10</v>
      </c>
      <c r="BO3" s="105">
        <v>1</v>
      </c>
      <c r="BP3" t="s">
        <v>11</v>
      </c>
      <c r="BT3" s="59" t="s">
        <v>3</v>
      </c>
    </row>
    <row r="4" spans="2:107" x14ac:dyDescent="0.2">
      <c r="B4" s="1"/>
      <c r="BC4" s="1" t="s">
        <v>4</v>
      </c>
      <c r="BD4" s="4" t="s">
        <v>5</v>
      </c>
      <c r="BE4" t="s">
        <v>6</v>
      </c>
      <c r="BF4" s="4"/>
      <c r="BG4" s="4"/>
      <c r="BH4" s="4"/>
      <c r="BI4" s="4"/>
      <c r="BJ4" s="4"/>
      <c r="BK4" s="4"/>
      <c r="BL4" s="4"/>
      <c r="BM4" s="4"/>
      <c r="BN4" s="79" t="s">
        <v>18</v>
      </c>
      <c r="BO4" s="105">
        <v>1</v>
      </c>
      <c r="BP4" t="s">
        <v>11</v>
      </c>
      <c r="BR4" s="68"/>
      <c r="BS4" s="72" t="s">
        <v>7</v>
      </c>
      <c r="BT4" t="s">
        <v>8</v>
      </c>
      <c r="BY4" t="s">
        <v>350</v>
      </c>
    </row>
    <row r="5" spans="2:107" x14ac:dyDescent="0.2">
      <c r="B5" s="1"/>
      <c r="BC5" s="1"/>
      <c r="BD5" s="4"/>
      <c r="BF5" s="4"/>
      <c r="BG5" s="4"/>
      <c r="BH5" s="4"/>
      <c r="BI5" s="4"/>
      <c r="BJ5" s="4"/>
      <c r="BK5" s="4"/>
      <c r="BL5" s="4"/>
      <c r="BM5" s="4"/>
      <c r="BN5" s="4"/>
      <c r="BT5" t="s">
        <v>9</v>
      </c>
      <c r="BX5" s="63" t="s">
        <v>348</v>
      </c>
      <c r="BY5" t="s">
        <v>344</v>
      </c>
    </row>
    <row r="6" spans="2:107" x14ac:dyDescent="0.2">
      <c r="B6" s="1"/>
      <c r="BC6" s="79" t="s">
        <v>10</v>
      </c>
      <c r="BD6" s="185">
        <f>BO3</f>
        <v>1</v>
      </c>
      <c r="BE6" t="s">
        <v>11</v>
      </c>
      <c r="BF6" s="4"/>
      <c r="BG6" s="4"/>
      <c r="BH6" s="4"/>
      <c r="BI6" s="4"/>
      <c r="BJ6" s="4"/>
      <c r="BK6" s="4"/>
      <c r="BL6" s="4"/>
      <c r="BM6" s="4"/>
      <c r="BN6" s="4"/>
      <c r="BO6" s="4" t="s">
        <v>343</v>
      </c>
      <c r="BP6" s="4" t="s">
        <v>12</v>
      </c>
      <c r="BQ6" s="4" t="s">
        <v>343</v>
      </c>
      <c r="BR6" s="4" t="s">
        <v>13</v>
      </c>
      <c r="BS6" s="4" t="s">
        <v>14</v>
      </c>
      <c r="BT6" s="4" t="s">
        <v>15</v>
      </c>
      <c r="BU6" s="4" t="s">
        <v>16</v>
      </c>
      <c r="BV6" s="4" t="s">
        <v>17</v>
      </c>
      <c r="BY6" s="83" t="s">
        <v>345</v>
      </c>
    </row>
    <row r="7" spans="2:107" x14ac:dyDescent="0.2">
      <c r="B7" s="1"/>
      <c r="BC7" s="79" t="s">
        <v>18</v>
      </c>
      <c r="BD7" s="185">
        <f>BO4</f>
        <v>1</v>
      </c>
      <c r="BE7" t="s">
        <v>11</v>
      </c>
      <c r="BF7" s="59"/>
      <c r="BG7" s="59"/>
      <c r="BH7" s="59"/>
      <c r="BI7" s="59"/>
      <c r="BJ7" s="59"/>
      <c r="BK7" s="59"/>
      <c r="BL7" s="59"/>
      <c r="BM7" s="59"/>
      <c r="BN7" s="62" t="s">
        <v>481</v>
      </c>
      <c r="BO7" s="61" t="s">
        <v>5</v>
      </c>
      <c r="BP7" s="61">
        <f>O9+2*15.999+2*1.0079</f>
        <v>58.318799999999996</v>
      </c>
      <c r="BQ7" s="61" t="s">
        <v>5</v>
      </c>
      <c r="BR7" s="61">
        <f>Q9+12.011+3*15.999</f>
        <v>100.086</v>
      </c>
      <c r="BS7" s="61">
        <f>R9+2*15.999</f>
        <v>60.084000000000003</v>
      </c>
      <c r="BT7" s="61">
        <f>1*S9+2*15.999+1.0079</f>
        <v>59.987900000000003</v>
      </c>
      <c r="BU7" s="61">
        <f>1*T9+2*15.999+1.0079</f>
        <v>88.85090000000001</v>
      </c>
      <c r="BV7" s="61">
        <f>2*15.999+47.87</f>
        <v>79.867999999999995</v>
      </c>
      <c r="BY7" t="s">
        <v>346</v>
      </c>
    </row>
    <row r="8" spans="2:107" x14ac:dyDescent="0.2">
      <c r="B8" s="1"/>
      <c r="BE8" s="59"/>
      <c r="BF8" s="59"/>
      <c r="BG8" s="59"/>
      <c r="BH8" s="59"/>
      <c r="BI8" s="59"/>
      <c r="BJ8" s="59"/>
      <c r="BK8" s="59"/>
      <c r="BL8" s="59"/>
      <c r="BM8" s="59"/>
      <c r="BN8" s="62" t="s">
        <v>19</v>
      </c>
      <c r="BO8" s="61">
        <v>1</v>
      </c>
      <c r="BP8" s="61">
        <v>1</v>
      </c>
      <c r="BQ8" s="61">
        <v>1</v>
      </c>
      <c r="BR8" s="61">
        <v>1</v>
      </c>
      <c r="BS8" s="61">
        <v>1</v>
      </c>
      <c r="BT8" s="61">
        <v>1</v>
      </c>
      <c r="BU8" s="61">
        <v>1</v>
      </c>
      <c r="BV8" s="61">
        <v>1</v>
      </c>
      <c r="BY8" t="s">
        <v>347</v>
      </c>
    </row>
    <row r="9" spans="2:107" x14ac:dyDescent="0.2">
      <c r="B9" s="1"/>
      <c r="D9" s="5" t="s">
        <v>20</v>
      </c>
      <c r="E9" s="5"/>
      <c r="F9" s="5"/>
      <c r="G9" s="5" t="s">
        <v>21</v>
      </c>
      <c r="K9" s="47" t="s">
        <v>22</v>
      </c>
      <c r="N9" s="5">
        <v>22.99</v>
      </c>
      <c r="O9" s="5">
        <v>24.305</v>
      </c>
      <c r="P9" s="5">
        <v>39.097999999999999</v>
      </c>
      <c r="Q9" s="5">
        <v>40.078000000000003</v>
      </c>
      <c r="R9" s="5">
        <v>28.085999999999999</v>
      </c>
      <c r="S9" s="5">
        <v>26.981999999999999</v>
      </c>
      <c r="T9" s="5">
        <v>55.844999999999999</v>
      </c>
      <c r="U9" s="49">
        <v>47.87</v>
      </c>
      <c r="V9" s="5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E9" s="64"/>
      <c r="BF9" s="64"/>
      <c r="BG9" s="64"/>
      <c r="BH9" s="64"/>
      <c r="BI9" s="64"/>
      <c r="BJ9" s="64"/>
      <c r="BK9" s="64"/>
      <c r="BL9" s="64"/>
      <c r="BM9" s="64"/>
      <c r="BN9" s="62" t="s">
        <v>23</v>
      </c>
      <c r="BO9" s="61">
        <v>0</v>
      </c>
      <c r="BP9" s="61">
        <v>0</v>
      </c>
      <c r="BQ9" s="61">
        <v>0</v>
      </c>
      <c r="BR9" s="61">
        <v>0</v>
      </c>
      <c r="BS9" s="61">
        <v>0</v>
      </c>
      <c r="BT9" s="61">
        <v>0</v>
      </c>
      <c r="BU9" s="61">
        <v>0</v>
      </c>
      <c r="BV9" s="61">
        <v>0</v>
      </c>
      <c r="BW9" s="59"/>
      <c r="BY9" s="68" t="s">
        <v>349</v>
      </c>
      <c r="BZ9" s="68"/>
      <c r="CA9" s="68"/>
      <c r="CB9" s="68"/>
      <c r="CC9" s="68"/>
      <c r="CD9" s="68"/>
    </row>
    <row r="10" spans="2:107" x14ac:dyDescent="0.2">
      <c r="D10" s="6" t="s">
        <v>24</v>
      </c>
      <c r="E10" s="6"/>
      <c r="F10" s="6"/>
      <c r="G10" s="6" t="s">
        <v>24</v>
      </c>
      <c r="J10" s="4" t="s">
        <v>25</v>
      </c>
      <c r="L10" s="231" t="s">
        <v>26</v>
      </c>
      <c r="M10" s="231"/>
      <c r="N10" s="52"/>
      <c r="O10" s="230" t="s">
        <v>27</v>
      </c>
      <c r="P10" s="230"/>
      <c r="Q10" s="230"/>
      <c r="R10" s="230"/>
      <c r="S10" s="230"/>
      <c r="T10" s="230"/>
      <c r="U10" s="230"/>
      <c r="V10" s="106"/>
      <c r="W10" s="51" t="s">
        <v>28</v>
      </c>
      <c r="X10" s="230" t="s">
        <v>27</v>
      </c>
      <c r="Y10" s="230"/>
      <c r="Z10" s="230"/>
      <c r="AA10" s="230"/>
      <c r="AB10" s="230"/>
      <c r="AC10" s="230"/>
      <c r="AD10" s="230"/>
      <c r="AE10" s="230"/>
      <c r="AF10" s="230"/>
      <c r="AG10" s="230"/>
      <c r="AH10" s="230"/>
      <c r="AI10" s="230"/>
      <c r="AJ10" s="230"/>
      <c r="AK10" s="230"/>
      <c r="AL10" s="209"/>
      <c r="AM10" s="209"/>
      <c r="AN10" s="209"/>
      <c r="AO10" s="209"/>
      <c r="AP10" s="209"/>
      <c r="AQ10" s="209"/>
      <c r="AR10" s="209"/>
      <c r="AS10" s="209"/>
      <c r="AT10" s="209"/>
      <c r="AU10" s="209"/>
      <c r="AV10" s="209"/>
      <c r="AW10" s="209"/>
      <c r="AX10" s="209"/>
      <c r="AY10" s="209"/>
      <c r="AZ10" s="209"/>
      <c r="BA10" s="209"/>
      <c r="BB10" s="107"/>
      <c r="BC10" s="51" t="s">
        <v>29</v>
      </c>
      <c r="BD10" s="51"/>
      <c r="BE10" s="51"/>
      <c r="BF10" s="234" t="s">
        <v>472</v>
      </c>
      <c r="BG10" s="234"/>
      <c r="BH10" s="234"/>
      <c r="BI10" s="234"/>
      <c r="BJ10" s="234"/>
      <c r="BK10" s="234"/>
      <c r="BL10" s="234"/>
      <c r="BM10" s="234"/>
      <c r="BN10" s="51"/>
      <c r="BO10" s="232" t="s">
        <v>30</v>
      </c>
      <c r="BP10" s="232"/>
      <c r="BQ10" s="232"/>
      <c r="BR10" s="232"/>
      <c r="BS10" s="232"/>
      <c r="BT10" s="232"/>
      <c r="BU10" s="232"/>
      <c r="BV10" s="232"/>
      <c r="BW10" s="53"/>
      <c r="BX10" s="51" t="s">
        <v>28</v>
      </c>
      <c r="BY10" s="230" t="s">
        <v>30</v>
      </c>
      <c r="BZ10" s="230"/>
      <c r="CA10" s="230"/>
      <c r="CB10" s="230"/>
      <c r="CC10" s="230"/>
      <c r="CD10" s="230"/>
      <c r="CE10" s="230"/>
      <c r="CV10" s="51" t="s">
        <v>28</v>
      </c>
      <c r="CW10" s="230" t="s">
        <v>30</v>
      </c>
      <c r="CX10" s="230"/>
      <c r="CY10" s="230"/>
      <c r="CZ10" s="230"/>
      <c r="DA10" s="230"/>
      <c r="DB10" s="230"/>
      <c r="DC10" s="230"/>
    </row>
    <row r="11" spans="2:107" x14ac:dyDescent="0.2">
      <c r="D11" s="4" t="s">
        <v>31</v>
      </c>
      <c r="E11" s="4" t="s">
        <v>491</v>
      </c>
      <c r="F11" s="4" t="s">
        <v>495</v>
      </c>
      <c r="G11" s="4" t="s">
        <v>32</v>
      </c>
      <c r="I11" s="4" t="s">
        <v>33</v>
      </c>
      <c r="J11" s="4" t="s">
        <v>34</v>
      </c>
      <c r="N11" s="4" t="s">
        <v>35</v>
      </c>
      <c r="O11" s="4" t="s">
        <v>35</v>
      </c>
      <c r="P11" s="4" t="s">
        <v>35</v>
      </c>
      <c r="Q11" s="4" t="s">
        <v>35</v>
      </c>
      <c r="R11" s="4" t="s">
        <v>35</v>
      </c>
      <c r="S11" s="4" t="s">
        <v>35</v>
      </c>
      <c r="T11" s="4" t="s">
        <v>35</v>
      </c>
      <c r="U11" s="4" t="s">
        <v>35</v>
      </c>
      <c r="V11" s="106"/>
      <c r="W11" s="107"/>
      <c r="X11" s="106" t="s">
        <v>36</v>
      </c>
      <c r="Y11" s="106" t="s">
        <v>36</v>
      </c>
      <c r="Z11" s="106" t="s">
        <v>36</v>
      </c>
      <c r="AA11" s="106" t="s">
        <v>36</v>
      </c>
      <c r="AB11" s="106" t="s">
        <v>36</v>
      </c>
      <c r="AC11" s="106" t="s">
        <v>36</v>
      </c>
      <c r="AD11" s="106" t="s">
        <v>36</v>
      </c>
      <c r="AE11" s="106" t="s">
        <v>36</v>
      </c>
      <c r="AF11" s="106" t="s">
        <v>36</v>
      </c>
      <c r="AG11" s="106" t="s">
        <v>36</v>
      </c>
      <c r="AH11" s="106" t="s">
        <v>36</v>
      </c>
      <c r="AI11" s="106" t="s">
        <v>36</v>
      </c>
      <c r="AJ11" s="106" t="s">
        <v>36</v>
      </c>
      <c r="AK11" s="106" t="s">
        <v>36</v>
      </c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4" t="s">
        <v>11</v>
      </c>
      <c r="BD11" s="4" t="s">
        <v>11</v>
      </c>
      <c r="BE11" s="4" t="s">
        <v>11</v>
      </c>
      <c r="BF11" s="4" t="s">
        <v>11</v>
      </c>
      <c r="BG11" s="4" t="s">
        <v>11</v>
      </c>
      <c r="BH11" s="4"/>
      <c r="BI11" s="4"/>
      <c r="BJ11" s="4" t="s">
        <v>11</v>
      </c>
      <c r="BK11" s="4" t="s">
        <v>11</v>
      </c>
      <c r="BL11" s="4" t="s">
        <v>11</v>
      </c>
      <c r="BM11" s="4" t="s">
        <v>11</v>
      </c>
      <c r="BN11" s="4" t="s">
        <v>11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107"/>
      <c r="BX11" s="107"/>
      <c r="BY11" s="106" t="s">
        <v>36</v>
      </c>
      <c r="BZ11" s="106" t="s">
        <v>36</v>
      </c>
      <c r="CA11" s="106" t="s">
        <v>36</v>
      </c>
      <c r="CB11" s="106" t="s">
        <v>36</v>
      </c>
      <c r="CC11" s="106" t="s">
        <v>36</v>
      </c>
      <c r="CD11" s="106" t="s">
        <v>36</v>
      </c>
      <c r="CE11" s="106" t="s">
        <v>36</v>
      </c>
      <c r="CV11" s="107"/>
      <c r="CW11" s="106" t="s">
        <v>36</v>
      </c>
      <c r="CX11" s="106" t="s">
        <v>36</v>
      </c>
      <c r="CY11" s="106" t="s">
        <v>36</v>
      </c>
      <c r="CZ11" s="106" t="s">
        <v>36</v>
      </c>
      <c r="DA11" s="106" t="s">
        <v>36</v>
      </c>
      <c r="DB11" s="106" t="s">
        <v>36</v>
      </c>
      <c r="DC11" s="106" t="s">
        <v>36</v>
      </c>
    </row>
    <row r="12" spans="2:107" x14ac:dyDescent="0.2">
      <c r="C12" s="189" t="s">
        <v>441</v>
      </c>
      <c r="D12" s="6" t="s">
        <v>493</v>
      </c>
      <c r="E12" s="6" t="s">
        <v>492</v>
      </c>
      <c r="F12" s="6" t="s">
        <v>494</v>
      </c>
      <c r="G12" s="6" t="s">
        <v>37</v>
      </c>
      <c r="H12" s="3"/>
      <c r="I12" s="60" t="s">
        <v>38</v>
      </c>
      <c r="J12" s="60" t="s">
        <v>39</v>
      </c>
      <c r="K12" s="3" t="s">
        <v>40</v>
      </c>
      <c r="L12" s="3" t="s">
        <v>41</v>
      </c>
      <c r="M12" s="3" t="s">
        <v>42</v>
      </c>
      <c r="N12" s="3" t="s">
        <v>43</v>
      </c>
      <c r="O12" s="3" t="s">
        <v>44</v>
      </c>
      <c r="P12" s="3" t="s">
        <v>45</v>
      </c>
      <c r="Q12" s="3" t="s">
        <v>46</v>
      </c>
      <c r="R12" s="3" t="s">
        <v>47</v>
      </c>
      <c r="S12" s="3" t="s">
        <v>48</v>
      </c>
      <c r="T12" s="3" t="s">
        <v>49</v>
      </c>
      <c r="U12" s="3" t="s">
        <v>50</v>
      </c>
      <c r="V12" s="50"/>
      <c r="W12" s="107"/>
      <c r="X12" s="3" t="s">
        <v>51</v>
      </c>
      <c r="Y12" s="3" t="s">
        <v>52</v>
      </c>
      <c r="Z12" s="3" t="s">
        <v>53</v>
      </c>
      <c r="AA12" s="3" t="s">
        <v>54</v>
      </c>
      <c r="AB12" s="3" t="s">
        <v>55</v>
      </c>
      <c r="AC12" s="3" t="s">
        <v>56</v>
      </c>
      <c r="AD12" s="3" t="s">
        <v>57</v>
      </c>
      <c r="AE12" s="181" t="s">
        <v>418</v>
      </c>
      <c r="AF12" s="181" t="s">
        <v>419</v>
      </c>
      <c r="AG12" s="181" t="s">
        <v>420</v>
      </c>
      <c r="AH12" s="181" t="s">
        <v>424</v>
      </c>
      <c r="AI12" s="181" t="s">
        <v>421</v>
      </c>
      <c r="AJ12" s="181" t="s">
        <v>422</v>
      </c>
      <c r="AK12" s="181" t="s">
        <v>423</v>
      </c>
      <c r="AL12" s="209"/>
      <c r="AM12" s="209"/>
      <c r="AN12" s="209"/>
      <c r="AO12" s="209"/>
      <c r="AP12" s="209"/>
      <c r="AQ12" s="209"/>
      <c r="AR12" s="209"/>
      <c r="AS12" s="209"/>
      <c r="AT12" s="209"/>
      <c r="AU12" s="209"/>
      <c r="AV12" s="209"/>
      <c r="AW12" s="209"/>
      <c r="AX12" s="209"/>
      <c r="AY12" s="209"/>
      <c r="AZ12" s="209"/>
      <c r="BA12" s="209"/>
      <c r="BB12" s="50"/>
      <c r="BC12" s="60" t="s">
        <v>58</v>
      </c>
      <c r="BD12" s="60" t="s">
        <v>59</v>
      </c>
      <c r="BE12" s="60" t="s">
        <v>60</v>
      </c>
      <c r="BF12" s="60" t="s">
        <v>63</v>
      </c>
      <c r="BG12" s="60" t="s">
        <v>65</v>
      </c>
      <c r="BH12" s="60"/>
      <c r="BI12" s="60"/>
      <c r="BJ12" s="60" t="s">
        <v>66</v>
      </c>
      <c r="BK12" s="60" t="s">
        <v>67</v>
      </c>
      <c r="BL12" s="60" t="s">
        <v>68</v>
      </c>
      <c r="BM12" s="60" t="s">
        <v>69</v>
      </c>
      <c r="BN12" s="60" t="s">
        <v>61</v>
      </c>
      <c r="BO12" s="3" t="s">
        <v>62</v>
      </c>
      <c r="BP12" s="3" t="s">
        <v>63</v>
      </c>
      <c r="BQ12" s="3" t="s">
        <v>64</v>
      </c>
      <c r="BR12" s="3" t="s">
        <v>65</v>
      </c>
      <c r="BS12" s="3" t="s">
        <v>66</v>
      </c>
      <c r="BT12" s="3" t="s">
        <v>67</v>
      </c>
      <c r="BU12" s="3" t="s">
        <v>68</v>
      </c>
      <c r="BV12" s="3" t="s">
        <v>69</v>
      </c>
      <c r="BW12" s="107"/>
      <c r="BX12" s="107"/>
      <c r="BY12" s="3" t="s">
        <v>51</v>
      </c>
      <c r="BZ12" s="3" t="s">
        <v>52</v>
      </c>
      <c r="CA12" s="3" t="s">
        <v>53</v>
      </c>
      <c r="CB12" s="3" t="s">
        <v>54</v>
      </c>
      <c r="CC12" s="3" t="s">
        <v>55</v>
      </c>
      <c r="CD12" s="3" t="s">
        <v>56</v>
      </c>
      <c r="CE12" s="3" t="s">
        <v>57</v>
      </c>
      <c r="CV12" s="107"/>
      <c r="CW12" s="3" t="s">
        <v>418</v>
      </c>
      <c r="CX12" s="3" t="s">
        <v>419</v>
      </c>
      <c r="CY12" s="3" t="s">
        <v>420</v>
      </c>
      <c r="CZ12" s="3" t="s">
        <v>54</v>
      </c>
      <c r="DA12" s="3" t="s">
        <v>421</v>
      </c>
      <c r="DB12" s="3" t="s">
        <v>422</v>
      </c>
      <c r="DC12" s="3" t="s">
        <v>423</v>
      </c>
    </row>
    <row r="13" spans="2:107" x14ac:dyDescent="0.2">
      <c r="B13" s="2" t="s">
        <v>35</v>
      </c>
      <c r="C13" s="73" t="s">
        <v>63</v>
      </c>
      <c r="D13" s="7">
        <f>Table13[[#This Row],[EM 1 ALT2]]</f>
        <v>3.6604278940000001</v>
      </c>
      <c r="E13" s="7">
        <v>4.9811259428344581</v>
      </c>
      <c r="F13" s="7">
        <v>3.6604278940000001</v>
      </c>
      <c r="G13" s="7">
        <v>0.11</v>
      </c>
      <c r="I13" s="54">
        <v>1</v>
      </c>
      <c r="J13" s="55">
        <f>$I$13-I13</f>
        <v>0</v>
      </c>
      <c r="K13" s="8">
        <f>J13+I13</f>
        <v>1</v>
      </c>
      <c r="L13" s="8">
        <v>1</v>
      </c>
      <c r="M13" s="8">
        <f>1-L13</f>
        <v>0</v>
      </c>
      <c r="N13" s="7">
        <f>(($D$19/100)*$I13+($G$19/100*$J13))/$K13*100</f>
        <v>2.7077732910000001</v>
      </c>
      <c r="O13" s="7">
        <f>(($D$13/100)*$I13+($G$13/100*$J13))/$K13*100</f>
        <v>3.6604278939999997</v>
      </c>
      <c r="P13" s="7">
        <f>(($D$20/100)*$I13+($G$20/100*$J13))/$K13*100</f>
        <v>0.65578889600000001</v>
      </c>
      <c r="Q13" s="7">
        <f>(($D$14/100)*$I13+($G$14/100*$J13))/$K13*100</f>
        <v>10.07713981</v>
      </c>
      <c r="R13" s="7">
        <f>(($D$15/100)*$I13+($G$15/100*$J13))/$K13*100</f>
        <v>21.10389953</v>
      </c>
      <c r="S13" s="7">
        <f>(($D$16/100)*$I13+($G$16/100*$J13))/$K13*100</f>
        <v>8.6798077679999999</v>
      </c>
      <c r="T13" s="7">
        <f>(($D$17/100)*$I13+($G$17/100*$J13))/$K13*100</f>
        <v>5.9381225410000003</v>
      </c>
      <c r="U13" s="7">
        <f>(($D$18/100)*$I13+($G$18/100*$J13))/$K13*100</f>
        <v>0.55738749899999995</v>
      </c>
      <c r="V13" s="106"/>
      <c r="W13" s="108" t="s">
        <v>70</v>
      </c>
      <c r="X13" s="109">
        <f>(N13/100/$N$9)/($U13/100/$U$9)</f>
        <v>10.115317806557586</v>
      </c>
      <c r="Y13" s="109">
        <f>(O13/100/$O$9)/($U13/100/$U$9)</f>
        <v>12.934285235590384</v>
      </c>
      <c r="Z13" s="109">
        <f>(P13/100/$P$9)/($U13/100/$U$9)</f>
        <v>1.4405081502203125</v>
      </c>
      <c r="AA13" s="109">
        <f>(Q13/100/$Q$9)/($U13/100/$U$9)</f>
        <v>21.594216257336697</v>
      </c>
      <c r="AB13" s="109">
        <f>(R13/100/$R$9)/($U13/100/$U$9)</f>
        <v>64.532579102202547</v>
      </c>
      <c r="AC13" s="109">
        <f>(S13/100/$S$9)/($U13/100/$U$9)</f>
        <v>27.62753719540477</v>
      </c>
      <c r="AD13" s="109">
        <f>(T13/100/$T$9)/($U13/100/$U$9)</f>
        <v>9.1321085175349861</v>
      </c>
      <c r="AE13" s="109">
        <f>X13/$AB13</f>
        <v>0.15674745914831015</v>
      </c>
      <c r="AF13" s="109">
        <f t="shared" ref="AF13:AK28" si="0">Y13/$AB13</f>
        <v>0.20043031621447974</v>
      </c>
      <c r="AG13" s="110">
        <f t="shared" si="0"/>
        <v>2.2322184705169282E-2</v>
      </c>
      <c r="AH13" s="109">
        <f t="shared" si="0"/>
        <v>0.33462503060875914</v>
      </c>
      <c r="AI13" s="109">
        <f t="shared" si="0"/>
        <v>1</v>
      </c>
      <c r="AJ13" s="109">
        <f t="shared" si="0"/>
        <v>0.42811766676255186</v>
      </c>
      <c r="AK13" s="109">
        <f t="shared" si="0"/>
        <v>0.14151159994817719</v>
      </c>
      <c r="AL13" s="109"/>
      <c r="AM13" s="109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63" t="s">
        <v>71</v>
      </c>
      <c r="BC13" s="109">
        <v>0</v>
      </c>
      <c r="BD13" s="109">
        <f>$BD$6-BC13</f>
        <v>1</v>
      </c>
      <c r="BE13" s="76">
        <f t="shared" ref="BE13:BE33" si="1">$BD$7</f>
        <v>1</v>
      </c>
      <c r="BF13" s="186">
        <f>$BC13*$D$13/100*BP$9/O$9/BP$8*BP$7</f>
        <v>0</v>
      </c>
      <c r="BG13" s="186">
        <f t="shared" ref="BG13:BG33" si="2">$BC13*$D$14/100*BR$9/Q$9/BR$8*BR$7</f>
        <v>0</v>
      </c>
      <c r="BH13" s="186"/>
      <c r="BI13" s="186"/>
      <c r="BJ13" s="186">
        <f>$BC13*$D$15/100*BS$9/R$9/BS$8*BS$7</f>
        <v>0</v>
      </c>
      <c r="BK13" s="186">
        <f t="shared" ref="BK13:BK33" si="3">$BC13*$D$16/100*BT$9/S$9/BT$8*BT$7</f>
        <v>0</v>
      </c>
      <c r="BL13" s="186">
        <f>$BC13*$D$17/100*BU$9/T$9/BU$8*BU$7</f>
        <v>0</v>
      </c>
      <c r="BM13" s="186">
        <f t="shared" ref="BM13:BM33" si="4">$BC13*$D$18/100*BV$9/U$9/BV$8*BV$7</f>
        <v>0</v>
      </c>
      <c r="BN13" s="187">
        <f>BE13+BD13+SUM(BF13:BM13)</f>
        <v>2</v>
      </c>
      <c r="BO13" s="110">
        <f>((($BD$6*$D$19/100 + $BD$7*$G$19/100)-$BC13*$D$19/100*(1-BO$9))/$BN13)*100</f>
        <v>1.3786116454999999</v>
      </c>
      <c r="BP13" s="110">
        <f>((($BD$6*$D$13/100 + $BD$7*$G$13/100)-$BC13*$D$13/100*(1-BP$9))/$BN13)*100</f>
        <v>1.8852139469999998</v>
      </c>
      <c r="BQ13" s="110">
        <f>((($BD$6*$D$20 + $BD$7*$G$20)/100-$BC13*$D$20/100*(1-BQ$9))/$BN13)*100</f>
        <v>0.51769444799999997</v>
      </c>
      <c r="BR13" s="110">
        <f>((($BD$6*$D$14 + $BD$7*$G$14)/100-$BC13*$D$14/100*(1-BR$9))/$BN13)*100</f>
        <v>5.1235699050000001</v>
      </c>
      <c r="BS13" s="110">
        <f>((($BD$6*$D$15 + $BD$7*$G$15)/100-$BC13*$D$15/100*(1-BS$9))/$BN13)*100</f>
        <v>31.026949765000001</v>
      </c>
      <c r="BT13" s="110">
        <f>((($BD$6*$D$16 + $BD$7*$G$16)/100-$BC13*$D$16/100*(1-BT$9))/$BN13)*100</f>
        <v>5.1749038839999999</v>
      </c>
      <c r="BU13" s="110">
        <f>((($BD$6*$D$17 + $BD$7*$G$17)/100-$BC13*$D$17/100*(1-BU$9))/$BN13)*100</f>
        <v>3.3940612704999999</v>
      </c>
      <c r="BV13" s="110">
        <f>((($BD$6*$D$18 + $BD$7*$G$18)/100-$BC13*$D$18/100*(1-BV$9))/$BN13)*100</f>
        <v>0.33974134223846059</v>
      </c>
      <c r="BW13" s="107"/>
      <c r="BX13" s="63" t="s">
        <v>71</v>
      </c>
      <c r="BY13" s="54">
        <f t="shared" ref="BY13:CE28" si="5">(BO13/N$9/100)/($BV13/$U$9/100)</f>
        <v>8.4492468939286258</v>
      </c>
      <c r="BZ13" s="54">
        <f t="shared" si="5"/>
        <v>10.92899048547892</v>
      </c>
      <c r="CA13" s="54">
        <f t="shared" si="5"/>
        <v>1.8656664183525422</v>
      </c>
      <c r="CB13" s="54">
        <f t="shared" si="5"/>
        <v>18.012817723887522</v>
      </c>
      <c r="CC13" s="54">
        <f t="shared" si="5"/>
        <v>155.65541018730315</v>
      </c>
      <c r="CD13" s="54">
        <f t="shared" si="5"/>
        <v>27.023598458194083</v>
      </c>
      <c r="CE13" s="54">
        <f t="shared" si="5"/>
        <v>8.563482449815405</v>
      </c>
      <c r="CV13" s="63" t="s">
        <v>71</v>
      </c>
      <c r="CW13" s="54">
        <f t="shared" ref="CW13:DC28" si="6">BY13/$CC13</f>
        <v>5.428174249620675E-2</v>
      </c>
      <c r="CX13" s="54">
        <f t="shared" si="6"/>
        <v>7.0212724840902449E-2</v>
      </c>
      <c r="CY13" s="54">
        <f t="shared" si="6"/>
        <v>1.1985875827300509E-2</v>
      </c>
      <c r="CZ13" s="54">
        <f t="shared" si="6"/>
        <v>0.11572240053983573</v>
      </c>
      <c r="DA13" s="54">
        <f t="shared" si="6"/>
        <v>1</v>
      </c>
      <c r="DB13" s="54">
        <f t="shared" si="6"/>
        <v>0.17361168767392066</v>
      </c>
      <c r="DC13" s="54">
        <f t="shared" si="6"/>
        <v>5.5015642819679716E-2</v>
      </c>
    </row>
    <row r="14" spans="2:107" x14ac:dyDescent="0.2">
      <c r="B14" s="2" t="s">
        <v>35</v>
      </c>
      <c r="C14" s="73" t="s">
        <v>65</v>
      </c>
      <c r="D14" s="7">
        <f>Table13[[#This Row],[EM 1 ALT2]]</f>
        <v>10.07713981</v>
      </c>
      <c r="E14" s="7">
        <v>6.8896681348859596</v>
      </c>
      <c r="F14" s="7">
        <v>10.07713981</v>
      </c>
      <c r="G14" s="7">
        <v>0.17</v>
      </c>
      <c r="I14" s="54">
        <v>0.95238095238095244</v>
      </c>
      <c r="J14" s="56">
        <f t="shared" ref="J14:J34" si="7">$I$13-I14</f>
        <v>4.7619047619047561E-2</v>
      </c>
      <c r="K14" s="8">
        <f>J14+I14</f>
        <v>1</v>
      </c>
      <c r="L14" s="8">
        <f>I14/$K14</f>
        <v>0.95238095238095244</v>
      </c>
      <c r="M14" s="8">
        <f t="shared" ref="M14:M34" si="8">1-L14</f>
        <v>4.7619047619047561E-2</v>
      </c>
      <c r="N14" s="7">
        <f t="shared" ref="N14:N33" si="9">(($D$19/100)*$I14+($G$19/100*$J14))/$K14*100</f>
        <v>2.5811864676190477</v>
      </c>
      <c r="O14" s="7">
        <f>(($D$13/100)*$I14+($G$13/100*$J14))/$K14*100</f>
        <v>3.4913598990476191</v>
      </c>
      <c r="P14" s="7">
        <f t="shared" ref="P14:P34" si="10">(($D$20/100)*$I14+($G$20/100*$J14))/$K14*100</f>
        <v>0.64263704380952391</v>
      </c>
      <c r="Q14" s="7">
        <f t="shared" ref="Q14:Q34" si="11">(($D$14/100)*$I14+($G$14/100*$J14))/$K14*100</f>
        <v>9.6053712476190487</v>
      </c>
      <c r="R14" s="7">
        <f>(($D$15/100)*$I14+($G$15/100*$J14))/$K14*100</f>
        <v>22.048951933333331</v>
      </c>
      <c r="S14" s="7">
        <f>(($D$16/100)*$I14+($G$16/100*$J14))/$K14*100</f>
        <v>8.3460073980952405</v>
      </c>
      <c r="T14" s="7">
        <f>(($D$17/100)*$I14+($G$17/100*$J14))/$K14*100</f>
        <v>5.6958309914285712</v>
      </c>
      <c r="U14" s="7">
        <f>(($D$18/100)*$I14+($G$18/100*$J14))/$K14*100</f>
        <v>0.53665929359413911</v>
      </c>
      <c r="V14" s="106"/>
      <c r="W14" s="108" t="s">
        <v>72</v>
      </c>
      <c r="X14" s="109">
        <f t="shared" ref="X14:X34" si="12">(N14/100/$N$9)/($U14/100/$U$9)</f>
        <v>10.014866884684238</v>
      </c>
      <c r="Y14" s="109">
        <f t="shared" ref="Y14:Y34" si="13">(O14/100/$O$9)/($U14/100/$U$9)</f>
        <v>12.813381794596609</v>
      </c>
      <c r="Z14" s="109">
        <f t="shared" ref="Z14:Z34" si="14">(P14/100/$P$9)/($U14/100/$U$9)</f>
        <v>1.4661418370293382</v>
      </c>
      <c r="AA14" s="109">
        <f t="shared" ref="AA14:AA34" si="15">(Q14/100/$Q$9)/($U14/100/$U$9)</f>
        <v>21.378286202046827</v>
      </c>
      <c r="AB14" s="109">
        <f>(R14/100/$R$9)/($U14/100/$U$9)</f>
        <v>70.02656637298692</v>
      </c>
      <c r="AC14" s="109">
        <f>(S14/100/$S$9)/($U14/100/$U$9)</f>
        <v>27.591124457838813</v>
      </c>
      <c r="AD14" s="109">
        <f t="shared" ref="AD14:AD34" si="16">(T14/100/$T$9)/($U14/100/$U$9)</f>
        <v>9.0978248551346148</v>
      </c>
      <c r="AE14" s="109">
        <f t="shared" ref="AE14:AK34" si="17">X14/$AB14</f>
        <v>0.14301524983163419</v>
      </c>
      <c r="AF14" s="109">
        <f t="shared" si="0"/>
        <v>0.18297886728228091</v>
      </c>
      <c r="AG14" s="110">
        <f t="shared" si="0"/>
        <v>2.093693740772801E-2</v>
      </c>
      <c r="AH14" s="109">
        <f t="shared" si="0"/>
        <v>0.30528822573105058</v>
      </c>
      <c r="AI14" s="109">
        <f t="shared" si="0"/>
        <v>1</v>
      </c>
      <c r="AJ14" s="109">
        <f t="shared" si="0"/>
        <v>0.39400938653593931</v>
      </c>
      <c r="AK14" s="109">
        <f t="shared" si="0"/>
        <v>0.12991961945808247</v>
      </c>
      <c r="AL14" s="109"/>
      <c r="AM14" s="109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6">
        <v>1</v>
      </c>
      <c r="BC14" s="109">
        <f>($BC$33-$BC$13)/(COUNT($BB$14:$BB$33)+1)+BC13</f>
        <v>0.05</v>
      </c>
      <c r="BD14" s="109">
        <f t="shared" ref="BD14:BD33" si="18">$BD$6-BC14</f>
        <v>0.95</v>
      </c>
      <c r="BE14" s="76">
        <f t="shared" si="1"/>
        <v>1</v>
      </c>
      <c r="BF14" s="186">
        <f t="shared" ref="BF14:BF33" si="19">$BC14*$D$13/100*BP$9/O$9/BP$8*BP$7</f>
        <v>0</v>
      </c>
      <c r="BG14" s="186">
        <f t="shared" si="2"/>
        <v>0</v>
      </c>
      <c r="BH14" s="186"/>
      <c r="BI14" s="186"/>
      <c r="BJ14" s="186">
        <f t="shared" ref="BJ14:BJ33" si="20">$BC14*$D$15/100*BS$9/R$9/BS$8*BS$7</f>
        <v>0</v>
      </c>
      <c r="BK14" s="186">
        <f t="shared" si="3"/>
        <v>0</v>
      </c>
      <c r="BL14" s="186">
        <f t="shared" ref="BL14:BL33" si="21">$BC14*$D$17/100*BU$9/T$9/BU$8*BU$7</f>
        <v>0</v>
      </c>
      <c r="BM14" s="186">
        <f t="shared" si="4"/>
        <v>0</v>
      </c>
      <c r="BN14" s="187">
        <f t="shared" ref="BN14:BN33" si="22">BE14+BD14+SUM(BF14:BM14)</f>
        <v>1.95</v>
      </c>
      <c r="BO14" s="110">
        <f t="shared" ref="BO14:BO32" si="23">((($BD$6*$D$19/100 + $BD$7*$G$19/100)-$BC14*$D$19/100*(1-BO$9))/$BN14)*100</f>
        <v>1.3445305776666667</v>
      </c>
      <c r="BP14" s="110">
        <f t="shared" ref="BP14:BP33" si="24">((($BD$6*$D$13 + $BD$7*$G$13)/100-$BC14*$D$13/100*(1-BP$9))/$BN14)*100</f>
        <v>1.8396956406666669</v>
      </c>
      <c r="BQ14" s="110">
        <f t="shared" ref="BQ14:BQ33" si="25">((($BD$6*$D$20 + $BD$7*$G$20)/100-$BC14*$D$20/100*(1-BQ$9))/$BN14)*100</f>
        <v>0.51415356471794871</v>
      </c>
      <c r="BR14" s="110">
        <f t="shared" ref="BR14:BR33" si="26">((($BD$6*$D$14 + $BD$7*$G$14)/100-$BC14*$D$14/100*(1-BR$9))/$BN14)*100</f>
        <v>4.9965552920512826</v>
      </c>
      <c r="BS14" s="110">
        <f t="shared" ref="BS14:BS33" si="27">((($BD$6*$D$15 + $BD$7*$G$15)/100-$BC14*$D$15/100*(1-BS$9))/$BN14)*100</f>
        <v>31.281386950512825</v>
      </c>
      <c r="BT14" s="110">
        <f t="shared" ref="BT14:BT33" si="28">((($BD$6*$D$16 + $BD$7*$G$16)/100-$BC14*$D$16/100*(1-BT$9))/$BN14)*100</f>
        <v>5.0850345536410257</v>
      </c>
      <c r="BU14" s="110">
        <f t="shared" ref="BU14:BU33" si="29">((($BD$6*$D$17 + $BD$7*$G$17)/100-$BC14*$D$17/100*(1-BU$9))/$BN14)*100</f>
        <v>3.3288289302307685</v>
      </c>
      <c r="BV14" s="110">
        <f t="shared" ref="BV14:BV33" si="30">((($BD$6*$D$18 + $BD$7*$G$18)/100-$BC14*$D$18/100*(1-BV$9))/$BN14)*100</f>
        <v>0.33416067155226725</v>
      </c>
      <c r="BW14" s="107"/>
      <c r="BY14" s="54">
        <f t="shared" si="5"/>
        <v>8.3779893639204452</v>
      </c>
      <c r="BZ14" s="54">
        <f t="shared" si="5"/>
        <v>10.843224417691422</v>
      </c>
      <c r="CA14" s="54">
        <f t="shared" si="5"/>
        <v>1.883850355074572</v>
      </c>
      <c r="CB14" s="54">
        <f>(BR14/Q$9/100)/($BV14/$U$9/100)</f>
        <v>17.859642002773814</v>
      </c>
      <c r="CC14" s="54">
        <f t="shared" si="5"/>
        <v>159.55271601099778</v>
      </c>
      <c r="CD14" s="54">
        <f t="shared" si="5"/>
        <v>26.997768115461561</v>
      </c>
      <c r="CE14" s="54">
        <f t="shared" si="5"/>
        <v>8.5391624231125629</v>
      </c>
      <c r="CW14" s="54">
        <f t="shared" si="6"/>
        <v>5.250922437035143E-2</v>
      </c>
      <c r="CX14" s="54">
        <f t="shared" si="6"/>
        <v>6.7960136867516632E-2</v>
      </c>
      <c r="CY14" s="54">
        <f t="shared" si="6"/>
        <v>1.1807071682469639E-2</v>
      </c>
      <c r="CZ14" s="54">
        <f t="shared" si="6"/>
        <v>0.11193568150568349</v>
      </c>
      <c r="DA14" s="54">
        <f t="shared" si="6"/>
        <v>1</v>
      </c>
      <c r="DB14" s="54">
        <f t="shared" si="6"/>
        <v>0.16920907892035281</v>
      </c>
      <c r="DC14" s="54">
        <f t="shared" si="6"/>
        <v>5.351937990528452E-2</v>
      </c>
    </row>
    <row r="15" spans="2:107" x14ac:dyDescent="0.2">
      <c r="B15" s="2" t="s">
        <v>35</v>
      </c>
      <c r="C15" s="73" t="s">
        <v>66</v>
      </c>
      <c r="D15" s="7">
        <f>Table13[[#This Row],[EM 1 ALT2]]</f>
        <v>21.10389953</v>
      </c>
      <c r="E15" s="7">
        <v>22.577621330137802</v>
      </c>
      <c r="F15" s="7">
        <v>21.10389953</v>
      </c>
      <c r="G15" s="7">
        <v>40.950000000000003</v>
      </c>
      <c r="I15" s="54">
        <v>0.90476190476190477</v>
      </c>
      <c r="J15" s="56">
        <f t="shared" si="7"/>
        <v>9.5238095238095233E-2</v>
      </c>
      <c r="K15" s="8">
        <f t="shared" ref="K15:K34" si="31">J15+I15</f>
        <v>1</v>
      </c>
      <c r="L15" s="8">
        <f>I15/$K15</f>
        <v>0.90476190476190477</v>
      </c>
      <c r="M15" s="8">
        <f t="shared" si="8"/>
        <v>9.5238095238095233E-2</v>
      </c>
      <c r="N15" s="7">
        <f t="shared" si="9"/>
        <v>2.4545996442380953</v>
      </c>
      <c r="O15" s="7">
        <f t="shared" ref="O15:O34" si="32">(($D$13/100)*$I15+($G$13/100*$J15))/$K15*100</f>
        <v>3.3222919040952386</v>
      </c>
      <c r="P15" s="7">
        <f t="shared" si="10"/>
        <v>0.6294851916190477</v>
      </c>
      <c r="Q15" s="7">
        <f t="shared" si="11"/>
        <v>9.1336026852380954</v>
      </c>
      <c r="R15" s="7">
        <f t="shared" ref="R15:R33" si="33">(($D$15/100)*$I15+($G$15/100*$J15))/$K15*100</f>
        <v>22.994004336666666</v>
      </c>
      <c r="S15" s="7">
        <f t="shared" ref="S15:S33" si="34">(($D$16/100)*$I15+($G$16/100*$J15))/$K15*100</f>
        <v>8.0122070281904758</v>
      </c>
      <c r="T15" s="7">
        <f>(($D$17/100)*$I15+($G$17/100*$J15))/$K15*100</f>
        <v>5.453539441857143</v>
      </c>
      <c r="U15" s="7">
        <f>(($D$18/100)*$I15+($G$18/100*$J15))/$K15*100</f>
        <v>0.51593108818827826</v>
      </c>
      <c r="V15" s="106"/>
      <c r="W15" s="107"/>
      <c r="X15" s="109">
        <f t="shared" si="12"/>
        <v>9.9063444688092002</v>
      </c>
      <c r="Y15" s="109">
        <f t="shared" si="13"/>
        <v>12.682763446257379</v>
      </c>
      <c r="Z15" s="109">
        <f t="shared" si="14"/>
        <v>1.4938352575417655</v>
      </c>
      <c r="AA15" s="109">
        <f t="shared" si="15"/>
        <v>21.145005602694699</v>
      </c>
      <c r="AB15" s="109">
        <f t="shared" ref="AB15:AB34" si="35">(R15/100/$R$9)/($U15/100/$U$9)</f>
        <v>75.962009874082625</v>
      </c>
      <c r="AC15" s="109">
        <f t="shared" ref="AC15:AC34" si="36">(S15/100/$S$9)/($U15/100/$U$9)</f>
        <v>27.551785861680731</v>
      </c>
      <c r="AD15" s="109">
        <f t="shared" si="16"/>
        <v>9.06078641089392</v>
      </c>
      <c r="AE15" s="109">
        <f t="shared" si="17"/>
        <v>0.13041182671746462</v>
      </c>
      <c r="AF15" s="109">
        <f t="shared" si="0"/>
        <v>0.16696192566890722</v>
      </c>
      <c r="AG15" s="110">
        <f t="shared" si="0"/>
        <v>1.966555729657497E-2</v>
      </c>
      <c r="AH15" s="109">
        <f t="shared" si="0"/>
        <v>0.27836290321629753</v>
      </c>
      <c r="AI15" s="109">
        <f t="shared" si="0"/>
        <v>1</v>
      </c>
      <c r="AJ15" s="109">
        <f t="shared" si="0"/>
        <v>0.3627048034583546</v>
      </c>
      <c r="AK15" s="109">
        <f t="shared" si="0"/>
        <v>0.1192804985796638</v>
      </c>
      <c r="AL15" s="109"/>
      <c r="AM15" s="109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6">
        <v>2</v>
      </c>
      <c r="BC15" s="109">
        <f t="shared" ref="BC15:BC32" si="37">($BC$33-$BC$13)/(COUNT($BB$14:$BB$33)+1)+BC14</f>
        <v>0.1</v>
      </c>
      <c r="BD15" s="109">
        <f t="shared" si="18"/>
        <v>0.9</v>
      </c>
      <c r="BE15" s="76">
        <f t="shared" si="1"/>
        <v>1</v>
      </c>
      <c r="BF15" s="186">
        <f t="shared" si="19"/>
        <v>0</v>
      </c>
      <c r="BG15" s="186">
        <f t="shared" si="2"/>
        <v>0</v>
      </c>
      <c r="BH15" s="186"/>
      <c r="BI15" s="186"/>
      <c r="BJ15" s="186">
        <f t="shared" si="20"/>
        <v>0</v>
      </c>
      <c r="BK15" s="186">
        <f t="shared" si="3"/>
        <v>0</v>
      </c>
      <c r="BL15" s="186">
        <f t="shared" si="21"/>
        <v>0</v>
      </c>
      <c r="BM15" s="186">
        <f t="shared" si="4"/>
        <v>0</v>
      </c>
      <c r="BN15" s="187">
        <f t="shared" si="22"/>
        <v>1.9</v>
      </c>
      <c r="BO15" s="110">
        <f t="shared" si="23"/>
        <v>1.3086557694210526</v>
      </c>
      <c r="BP15" s="110">
        <f t="shared" si="24"/>
        <v>1.7917816340000003</v>
      </c>
      <c r="BQ15" s="110">
        <f t="shared" si="25"/>
        <v>0.51042631915789471</v>
      </c>
      <c r="BR15" s="110">
        <f t="shared" si="26"/>
        <v>4.8628556994736849</v>
      </c>
      <c r="BS15" s="110">
        <f t="shared" si="27"/>
        <v>31.549215566842104</v>
      </c>
      <c r="BT15" s="110">
        <f t="shared" si="28"/>
        <v>4.9904352585263148</v>
      </c>
      <c r="BU15" s="110">
        <f t="shared" si="29"/>
        <v>3.2601633088947368</v>
      </c>
      <c r="BV15" s="110">
        <f t="shared" si="30"/>
        <v>0.32828628135627436</v>
      </c>
      <c r="BW15" s="107"/>
      <c r="BY15" s="54">
        <f t="shared" si="5"/>
        <v>8.3003641477137382</v>
      </c>
      <c r="BZ15" s="54">
        <f t="shared" si="5"/>
        <v>10.749794157697297</v>
      </c>
      <c r="CA15" s="54">
        <f t="shared" si="5"/>
        <v>1.9036592372990115</v>
      </c>
      <c r="CB15" s="54">
        <f>(BR15/Q$9/100)/($BV15/$U$9/100)</f>
        <v>17.692778255634334</v>
      </c>
      <c r="CC15" s="54">
        <f t="shared" si="5"/>
        <v>163.79829128077213</v>
      </c>
      <c r="CD15" s="54">
        <f t="shared" si="5"/>
        <v>26.969629532225852</v>
      </c>
      <c r="CE15" s="54">
        <f t="shared" si="5"/>
        <v>8.5126691201487343</v>
      </c>
      <c r="CW15" s="54">
        <f t="shared" si="6"/>
        <v>5.0674302416780441E-2</v>
      </c>
      <c r="CX15" s="54">
        <f t="shared" si="6"/>
        <v>6.5628243577161099E-2</v>
      </c>
      <c r="CY15" s="54">
        <f t="shared" si="6"/>
        <v>1.1621972502972486E-2</v>
      </c>
      <c r="CZ15" s="54">
        <f t="shared" si="6"/>
        <v>0.10801564605644481</v>
      </c>
      <c r="DA15" s="54">
        <f t="shared" si="6"/>
        <v>1</v>
      </c>
      <c r="DB15" s="54">
        <f t="shared" si="6"/>
        <v>0.16465147054554011</v>
      </c>
      <c r="DC15" s="54">
        <f t="shared" si="6"/>
        <v>5.1970439090581744E-2</v>
      </c>
    </row>
    <row r="16" spans="2:107" x14ac:dyDescent="0.2">
      <c r="B16" s="2" t="s">
        <v>35</v>
      </c>
      <c r="C16" s="73" t="s">
        <v>67</v>
      </c>
      <c r="D16" s="7">
        <f>Table13[[#This Row],[EM 1 ALT2]]</f>
        <v>8.6798077679999999</v>
      </c>
      <c r="E16" s="7">
        <v>8.6216647541707125</v>
      </c>
      <c r="F16" s="7">
        <v>8.6798077679999999</v>
      </c>
      <c r="G16" s="7">
        <v>1.67</v>
      </c>
      <c r="I16" s="54">
        <v>0.85714285714285721</v>
      </c>
      <c r="J16" s="56">
        <f t="shared" si="7"/>
        <v>0.14285714285714279</v>
      </c>
      <c r="K16" s="8">
        <f t="shared" si="31"/>
        <v>1</v>
      </c>
      <c r="L16" s="8">
        <f t="shared" ref="L16:L34" si="38">I16/$K16</f>
        <v>0.85714285714285721</v>
      </c>
      <c r="M16" s="8">
        <f t="shared" si="8"/>
        <v>0.14285714285714279</v>
      </c>
      <c r="N16" s="7">
        <f t="shared" si="9"/>
        <v>2.3280128208571429</v>
      </c>
      <c r="O16" s="7">
        <f t="shared" si="32"/>
        <v>3.1532239091428571</v>
      </c>
      <c r="P16" s="7">
        <f t="shared" si="10"/>
        <v>0.61633333942857138</v>
      </c>
      <c r="Q16" s="7">
        <f t="shared" si="11"/>
        <v>8.6618341228571438</v>
      </c>
      <c r="R16" s="7">
        <f t="shared" si="33"/>
        <v>23.939056739999998</v>
      </c>
      <c r="S16" s="7">
        <f t="shared" si="34"/>
        <v>7.6784066582857147</v>
      </c>
      <c r="T16" s="7">
        <f t="shared" ref="T16:T34" si="39">(($D$17/100)*$I16+($G$17/100*$J16))/$K16*100</f>
        <v>5.2112478922857148</v>
      </c>
      <c r="U16" s="7">
        <f t="shared" ref="U16:U33" si="40">(($D$18/100)*$I16+($G$18/100*$J16))/$K16*100</f>
        <v>0.49520288278241725</v>
      </c>
      <c r="V16" s="106"/>
      <c r="W16" s="107"/>
      <c r="X16" s="109">
        <f t="shared" si="12"/>
        <v>9.7887369889912446</v>
      </c>
      <c r="Y16" s="109">
        <f t="shared" si="13"/>
        <v>12.541210250612993</v>
      </c>
      <c r="Z16" s="109">
        <f t="shared" si="14"/>
        <v>1.5238470607968251</v>
      </c>
      <c r="AA16" s="109">
        <f t="shared" si="15"/>
        <v>20.892195681730382</v>
      </c>
      <c r="AB16" s="109">
        <f t="shared" si="35"/>
        <v>82.394345038547939</v>
      </c>
      <c r="AC16" s="109">
        <f t="shared" si="36"/>
        <v>27.509153995108079</v>
      </c>
      <c r="AD16" s="109">
        <f t="shared" si="16"/>
        <v>9.0206472557857094</v>
      </c>
      <c r="AE16" s="109">
        <f t="shared" si="17"/>
        <v>0.11880350507564098</v>
      </c>
      <c r="AF16" s="109">
        <f t="shared" si="0"/>
        <v>0.15220959939357034</v>
      </c>
      <c r="AG16" s="110">
        <f t="shared" si="0"/>
        <v>1.8494558820558595E-2</v>
      </c>
      <c r="AH16" s="109">
        <f t="shared" si="0"/>
        <v>0.25356346569605026</v>
      </c>
      <c r="AI16" s="109">
        <f t="shared" si="0"/>
        <v>1</v>
      </c>
      <c r="AJ16" s="109">
        <f t="shared" si="0"/>
        <v>0.33387186926770285</v>
      </c>
      <c r="AK16" s="109">
        <f t="shared" si="0"/>
        <v>0.10948138797104859</v>
      </c>
      <c r="AL16" s="109"/>
      <c r="AM16" s="109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6">
        <v>3</v>
      </c>
      <c r="BC16" s="109">
        <f t="shared" si="37"/>
        <v>0.15000000000000002</v>
      </c>
      <c r="BD16" s="109">
        <f t="shared" si="18"/>
        <v>0.85</v>
      </c>
      <c r="BE16" s="76">
        <f t="shared" si="1"/>
        <v>1</v>
      </c>
      <c r="BF16" s="186">
        <f t="shared" si="19"/>
        <v>0</v>
      </c>
      <c r="BG16" s="186">
        <f t="shared" si="2"/>
        <v>0</v>
      </c>
      <c r="BH16" s="186"/>
      <c r="BI16" s="186"/>
      <c r="BJ16" s="186">
        <f t="shared" si="20"/>
        <v>0</v>
      </c>
      <c r="BK16" s="186">
        <f t="shared" si="3"/>
        <v>0</v>
      </c>
      <c r="BL16" s="186">
        <f t="shared" si="21"/>
        <v>0</v>
      </c>
      <c r="BM16" s="186">
        <f t="shared" si="4"/>
        <v>0</v>
      </c>
      <c r="BN16" s="187">
        <f t="shared" si="22"/>
        <v>1.85</v>
      </c>
      <c r="BO16" s="110">
        <f t="shared" si="23"/>
        <v>1.2708417823513511</v>
      </c>
      <c r="BP16" s="110">
        <f t="shared" si="24"/>
        <v>1.741277681027027</v>
      </c>
      <c r="BQ16" s="110">
        <f t="shared" si="25"/>
        <v>0.50649760086486484</v>
      </c>
      <c r="BR16" s="110">
        <f t="shared" si="26"/>
        <v>4.7219291018918907</v>
      </c>
      <c r="BS16" s="110">
        <f t="shared" si="27"/>
        <v>31.831521405675677</v>
      </c>
      <c r="BT16" s="110">
        <f t="shared" si="28"/>
        <v>4.8907224879999998</v>
      </c>
      <c r="BU16" s="110">
        <f t="shared" si="29"/>
        <v>3.1877860323513509</v>
      </c>
      <c r="BV16" s="110">
        <f t="shared" si="30"/>
        <v>0.3220943565550925</v>
      </c>
      <c r="BW16" s="107"/>
      <c r="BY16" s="54">
        <f t="shared" si="5"/>
        <v>8.2154777849415765</v>
      </c>
      <c r="BZ16" s="54">
        <f t="shared" si="5"/>
        <v>10.647624330271119</v>
      </c>
      <c r="CA16" s="54">
        <f t="shared" si="5"/>
        <v>1.9253210637619136</v>
      </c>
      <c r="CB16" s="54">
        <f t="shared" si="5"/>
        <v>17.510305893361139</v>
      </c>
      <c r="CC16" s="54">
        <f t="shared" si="5"/>
        <v>168.44100224684431</v>
      </c>
      <c r="CD16" s="54">
        <f t="shared" si="5"/>
        <v>26.938858835522364</v>
      </c>
      <c r="CE16" s="54">
        <f t="shared" si="5"/>
        <v>8.4836976050107715</v>
      </c>
      <c r="CW16" s="54">
        <f t="shared" si="6"/>
        <v>4.8773622071555271E-2</v>
      </c>
      <c r="CX16" s="54">
        <f t="shared" si="6"/>
        <v>6.3212781853835109E-2</v>
      </c>
      <c r="CY16" s="54">
        <f t="shared" si="6"/>
        <v>1.1430239894562157E-2</v>
      </c>
      <c r="CZ16" s="54">
        <f t="shared" si="6"/>
        <v>0.10395512766957066</v>
      </c>
      <c r="DA16" s="54">
        <f t="shared" si="6"/>
        <v>1</v>
      </c>
      <c r="DB16" s="54">
        <f t="shared" si="6"/>
        <v>0.15993053043014088</v>
      </c>
      <c r="DC16" s="54">
        <f t="shared" si="6"/>
        <v>5.036598863605795E-2</v>
      </c>
    </row>
    <row r="17" spans="2:107" x14ac:dyDescent="0.2">
      <c r="B17" s="2" t="s">
        <v>35</v>
      </c>
      <c r="C17" s="73" t="s">
        <v>68</v>
      </c>
      <c r="D17" s="7">
        <f>Table13[[#This Row],[EM 1 ALT2]]</f>
        <v>5.9381225410000003</v>
      </c>
      <c r="E17" s="7">
        <v>8.7058627025221309</v>
      </c>
      <c r="F17" s="7">
        <v>5.9381225410000003</v>
      </c>
      <c r="G17" s="7">
        <v>0.85</v>
      </c>
      <c r="I17" s="54">
        <v>0.80952380952380953</v>
      </c>
      <c r="J17" s="56">
        <f t="shared" si="7"/>
        <v>0.19047619047619047</v>
      </c>
      <c r="K17" s="8">
        <f t="shared" si="31"/>
        <v>1</v>
      </c>
      <c r="L17" s="8">
        <f t="shared" si="38"/>
        <v>0.80952380952380953</v>
      </c>
      <c r="M17" s="8">
        <f t="shared" si="8"/>
        <v>0.19047619047619047</v>
      </c>
      <c r="N17" s="7">
        <f t="shared" si="9"/>
        <v>2.2014259974761905</v>
      </c>
      <c r="O17" s="7">
        <f t="shared" si="32"/>
        <v>2.9841559141904761</v>
      </c>
      <c r="P17" s="7">
        <f t="shared" si="10"/>
        <v>0.60318148723809517</v>
      </c>
      <c r="Q17" s="7">
        <f t="shared" si="11"/>
        <v>8.1900655604761905</v>
      </c>
      <c r="R17" s="7">
        <f t="shared" si="33"/>
        <v>24.884109143333333</v>
      </c>
      <c r="S17" s="7">
        <f t="shared" si="34"/>
        <v>7.3446062883809535</v>
      </c>
      <c r="T17" s="7">
        <f t="shared" si="39"/>
        <v>4.9689563427142858</v>
      </c>
      <c r="U17" s="7">
        <f t="shared" si="40"/>
        <v>0.47447467737655641</v>
      </c>
      <c r="V17" s="106"/>
      <c r="W17" s="107"/>
      <c r="X17" s="109">
        <f t="shared" si="12"/>
        <v>9.6608537574201634</v>
      </c>
      <c r="Y17" s="109">
        <f t="shared" si="13"/>
        <v>12.387289087382237</v>
      </c>
      <c r="Z17" s="109">
        <f t="shared" si="14"/>
        <v>1.5564810938657536</v>
      </c>
      <c r="AA17" s="109">
        <f t="shared" si="15"/>
        <v>20.617296927703929</v>
      </c>
      <c r="AB17" s="109">
        <f t="shared" si="35"/>
        <v>89.388694451131144</v>
      </c>
      <c r="AC17" s="109">
        <f t="shared" si="36"/>
        <v>27.462797242343221</v>
      </c>
      <c r="AD17" s="109">
        <f t="shared" si="16"/>
        <v>8.977001010872403</v>
      </c>
      <c r="AE17" s="109">
        <f t="shared" si="17"/>
        <v>0.10807690857037584</v>
      </c>
      <c r="AF17" s="109">
        <f t="shared" si="0"/>
        <v>0.13857780520728352</v>
      </c>
      <c r="AG17" s="110">
        <f t="shared" si="0"/>
        <v>1.7412505053608127E-2</v>
      </c>
      <c r="AH17" s="109">
        <f t="shared" si="0"/>
        <v>0.23064770163944412</v>
      </c>
      <c r="AI17" s="109">
        <f t="shared" si="0"/>
        <v>1</v>
      </c>
      <c r="AJ17" s="109">
        <f t="shared" si="0"/>
        <v>0.30722897801530313</v>
      </c>
      <c r="AK17" s="109">
        <f t="shared" si="0"/>
        <v>0.10042658152681865</v>
      </c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6">
        <v>4</v>
      </c>
      <c r="BC17" s="109">
        <f t="shared" si="37"/>
        <v>0.2</v>
      </c>
      <c r="BD17" s="109">
        <f t="shared" si="18"/>
        <v>0.8</v>
      </c>
      <c r="BE17" s="76">
        <f t="shared" si="1"/>
        <v>1</v>
      </c>
      <c r="BF17" s="186">
        <f t="shared" si="19"/>
        <v>0</v>
      </c>
      <c r="BG17" s="186">
        <f t="shared" si="2"/>
        <v>0</v>
      </c>
      <c r="BH17" s="186"/>
      <c r="BI17" s="186"/>
      <c r="BJ17" s="186">
        <f t="shared" si="20"/>
        <v>0</v>
      </c>
      <c r="BK17" s="186">
        <f t="shared" si="3"/>
        <v>0</v>
      </c>
      <c r="BL17" s="186">
        <f t="shared" si="21"/>
        <v>0</v>
      </c>
      <c r="BM17" s="186">
        <f t="shared" si="4"/>
        <v>0</v>
      </c>
      <c r="BN17" s="187">
        <f t="shared" si="22"/>
        <v>1.8</v>
      </c>
      <c r="BO17" s="110">
        <f t="shared" si="23"/>
        <v>1.2309270182222221</v>
      </c>
      <c r="BP17" s="110">
        <f t="shared" si="24"/>
        <v>1.6879679528888889</v>
      </c>
      <c r="BQ17" s="110">
        <f t="shared" si="25"/>
        <v>0.50235062044444445</v>
      </c>
      <c r="BR17" s="110">
        <f t="shared" si="26"/>
        <v>4.5731732488888888</v>
      </c>
      <c r="BS17" s="110">
        <f t="shared" si="27"/>
        <v>32.129510902222222</v>
      </c>
      <c r="BT17" s="110">
        <f t="shared" si="28"/>
        <v>4.7854701191111104</v>
      </c>
      <c r="BU17" s="110">
        <f t="shared" si="29"/>
        <v>3.1113877959999998</v>
      </c>
      <c r="BV17" s="110">
        <f t="shared" si="30"/>
        <v>0.31555843593162286</v>
      </c>
      <c r="BW17" s="107"/>
      <c r="BY17" s="54">
        <f t="shared" si="5"/>
        <v>8.1222614634434738</v>
      </c>
      <c r="BZ17" s="54">
        <f t="shared" si="5"/>
        <v>10.535428505526847</v>
      </c>
      <c r="CA17" s="54">
        <f t="shared" si="5"/>
        <v>1.9491085805532931</v>
      </c>
      <c r="CB17" s="54">
        <f t="shared" si="5"/>
        <v>17.30992738931533</v>
      </c>
      <c r="CC17" s="54">
        <f t="shared" si="5"/>
        <v>173.53930571871919</v>
      </c>
      <c r="CD17" s="54">
        <f t="shared" si="5"/>
        <v>26.905068588620946</v>
      </c>
      <c r="CE17" s="54">
        <f t="shared" si="5"/>
        <v>8.4518830946325121</v>
      </c>
      <c r="CW17" s="54">
        <f t="shared" si="6"/>
        <v>4.6803583947768145E-2</v>
      </c>
      <c r="CX17" s="54">
        <f t="shared" si="6"/>
        <v>6.0709177450572339E-2</v>
      </c>
      <c r="CY17" s="54">
        <f t="shared" si="6"/>
        <v>1.1231510766284276E-2</v>
      </c>
      <c r="CZ17" s="54">
        <f t="shared" si="6"/>
        <v>9.974643679497075E-2</v>
      </c>
      <c r="DA17" s="54">
        <f t="shared" si="6"/>
        <v>1</v>
      </c>
      <c r="DB17" s="54">
        <f t="shared" si="6"/>
        <v>0.15503731835962262</v>
      </c>
      <c r="DC17" s="54">
        <f t="shared" si="6"/>
        <v>4.8702990136031361E-2</v>
      </c>
    </row>
    <row r="18" spans="2:107" x14ac:dyDescent="0.2">
      <c r="B18" s="2" t="s">
        <v>35</v>
      </c>
      <c r="C18" s="73" t="s">
        <v>69</v>
      </c>
      <c r="D18" s="7">
        <f>Table13[[#This Row],[EM 1 ALT2]]</f>
        <v>0.55738749899999995</v>
      </c>
      <c r="E18" s="7">
        <v>1.1387915059848752</v>
      </c>
      <c r="F18" s="7">
        <v>0.55738749899999995</v>
      </c>
      <c r="G18" s="7">
        <f>0.203707922992913/100/(47.87+2*15.999)*1*47.87*100</f>
        <v>0.12209518547692121</v>
      </c>
      <c r="I18" s="54">
        <v>0.76190476190476197</v>
      </c>
      <c r="J18" s="56">
        <f t="shared" si="7"/>
        <v>0.23809523809523803</v>
      </c>
      <c r="K18" s="8">
        <f t="shared" si="31"/>
        <v>1</v>
      </c>
      <c r="L18" s="8">
        <f t="shared" si="38"/>
        <v>0.76190476190476197</v>
      </c>
      <c r="M18" s="8">
        <f t="shared" si="8"/>
        <v>0.23809523809523803</v>
      </c>
      <c r="N18" s="7">
        <f t="shared" si="9"/>
        <v>2.0748391740952381</v>
      </c>
      <c r="O18" s="7">
        <f t="shared" si="32"/>
        <v>2.8150879192380955</v>
      </c>
      <c r="P18" s="7">
        <f t="shared" si="10"/>
        <v>0.59002963504761907</v>
      </c>
      <c r="Q18" s="7">
        <f t="shared" si="11"/>
        <v>7.7182969980952389</v>
      </c>
      <c r="R18" s="7">
        <f t="shared" si="33"/>
        <v>25.829161546666668</v>
      </c>
      <c r="S18" s="7">
        <f t="shared" si="34"/>
        <v>7.0108059184761915</v>
      </c>
      <c r="T18" s="7">
        <f t="shared" si="39"/>
        <v>4.7266647931428576</v>
      </c>
      <c r="U18" s="7">
        <f t="shared" si="40"/>
        <v>0.45374647197069551</v>
      </c>
      <c r="V18" s="106"/>
      <c r="W18" s="107"/>
      <c r="X18" s="109">
        <f t="shared" si="12"/>
        <v>9.5212865126138624</v>
      </c>
      <c r="Y18" s="109">
        <f t="shared" si="13"/>
        <v>12.219304963071481</v>
      </c>
      <c r="Z18" s="109">
        <f t="shared" si="14"/>
        <v>1.5920967256135061</v>
      </c>
      <c r="AA18" s="109">
        <f t="shared" si="15"/>
        <v>20.317282131167985</v>
      </c>
      <c r="AB18" s="109">
        <f t="shared" si="35"/>
        <v>97.022080507568404</v>
      </c>
      <c r="AC18" s="109">
        <f t="shared" si="36"/>
        <v>27.412205118715491</v>
      </c>
      <c r="AD18" s="109">
        <f t="shared" si="16"/>
        <v>8.929367039836059</v>
      </c>
      <c r="AE18" s="109">
        <f t="shared" si="17"/>
        <v>9.813525398345932E-2</v>
      </c>
      <c r="AF18" s="109">
        <f t="shared" si="0"/>
        <v>0.12594354706832214</v>
      </c>
      <c r="AG18" s="110">
        <f t="shared" si="0"/>
        <v>1.6409632913296592E-2</v>
      </c>
      <c r="AH18" s="109">
        <f t="shared" si="0"/>
        <v>0.2094088482217519</v>
      </c>
      <c r="AI18" s="109">
        <f t="shared" si="0"/>
        <v>1</v>
      </c>
      <c r="AJ18" s="109">
        <f t="shared" si="0"/>
        <v>0.2825357380022081</v>
      </c>
      <c r="AK18" s="109">
        <f t="shared" si="0"/>
        <v>9.2034380144419864E-2</v>
      </c>
      <c r="AL18" s="109"/>
      <c r="AM18" s="109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6">
        <v>5</v>
      </c>
      <c r="BC18" s="109">
        <f t="shared" si="37"/>
        <v>0.25</v>
      </c>
      <c r="BD18" s="109">
        <f t="shared" si="18"/>
        <v>0.75</v>
      </c>
      <c r="BE18" s="76">
        <f t="shared" si="1"/>
        <v>1</v>
      </c>
      <c r="BF18" s="186">
        <f t="shared" si="19"/>
        <v>0</v>
      </c>
      <c r="BG18" s="186">
        <f t="shared" si="2"/>
        <v>0</v>
      </c>
      <c r="BH18" s="186"/>
      <c r="BI18" s="186"/>
      <c r="BJ18" s="186">
        <f t="shared" si="20"/>
        <v>0</v>
      </c>
      <c r="BK18" s="186">
        <f t="shared" si="3"/>
        <v>0</v>
      </c>
      <c r="BL18" s="186">
        <f t="shared" si="21"/>
        <v>0</v>
      </c>
      <c r="BM18" s="186">
        <f t="shared" si="4"/>
        <v>0</v>
      </c>
      <c r="BN18" s="187">
        <f t="shared" si="22"/>
        <v>1.75</v>
      </c>
      <c r="BO18" s="110">
        <f t="shared" si="23"/>
        <v>1.1887314104285713</v>
      </c>
      <c r="BP18" s="110">
        <f t="shared" si="24"/>
        <v>1.6316119545714287</v>
      </c>
      <c r="BQ18" s="110">
        <f t="shared" si="25"/>
        <v>0.49796666971428571</v>
      </c>
      <c r="BR18" s="110">
        <f t="shared" si="26"/>
        <v>4.415917061428571</v>
      </c>
      <c r="BS18" s="110">
        <f t="shared" si="27"/>
        <v>32.44452837</v>
      </c>
      <c r="BT18" s="110">
        <f t="shared" si="28"/>
        <v>4.6742033291428564</v>
      </c>
      <c r="BU18" s="110">
        <f t="shared" si="29"/>
        <v>3.0306239461428568</v>
      </c>
      <c r="BV18" s="110">
        <f t="shared" si="30"/>
        <v>0.30864903412966926</v>
      </c>
      <c r="BW18" s="107"/>
      <c r="BY18" s="54">
        <f t="shared" si="5"/>
        <v>8.0194257811531173</v>
      </c>
      <c r="BZ18" s="54">
        <f t="shared" si="5"/>
        <v>10.411654750005491</v>
      </c>
      <c r="CA18" s="54">
        <f t="shared" si="5"/>
        <v>1.9753508252580969</v>
      </c>
      <c r="CB18" s="54">
        <f t="shared" si="5"/>
        <v>17.088871035141434</v>
      </c>
      <c r="CC18" s="54">
        <f t="shared" si="5"/>
        <v>179.16372328452317</v>
      </c>
      <c r="CD18" s="54">
        <f t="shared" si="5"/>
        <v>26.86779139253532</v>
      </c>
      <c r="CE18" s="54">
        <f t="shared" si="5"/>
        <v>8.4167855191339065</v>
      </c>
      <c r="CW18" s="54">
        <f t="shared" si="6"/>
        <v>4.4760321085858264E-2</v>
      </c>
      <c r="CX18" s="54">
        <f t="shared" si="6"/>
        <v>5.8112516078219323E-2</v>
      </c>
      <c r="CY18" s="54">
        <f t="shared" si="6"/>
        <v>1.1025395035584947E-2</v>
      </c>
      <c r="CZ18" s="54">
        <f t="shared" si="6"/>
        <v>9.5381312253726952E-2</v>
      </c>
      <c r="DA18" s="54">
        <f t="shared" si="6"/>
        <v>1</v>
      </c>
      <c r="DB18" s="54">
        <f t="shared" si="6"/>
        <v>0.14996222951823562</v>
      </c>
      <c r="DC18" s="54">
        <f t="shared" si="6"/>
        <v>4.6978179314612289E-2</v>
      </c>
    </row>
    <row r="19" spans="2:107" x14ac:dyDescent="0.2">
      <c r="B19" s="2" t="s">
        <v>35</v>
      </c>
      <c r="C19" s="73" t="s">
        <v>62</v>
      </c>
      <c r="D19" s="7">
        <f>Table13[[#This Row],[EM 1 ALT2]]</f>
        <v>2.7077732910000001</v>
      </c>
      <c r="E19" s="7">
        <v>2.4926636441375303</v>
      </c>
      <c r="F19" s="7">
        <v>2.7077732910000001</v>
      </c>
      <c r="G19" s="7">
        <v>4.9450000000000001E-2</v>
      </c>
      <c r="I19" s="54">
        <v>0.71428571428571441</v>
      </c>
      <c r="J19" s="56">
        <f t="shared" si="7"/>
        <v>0.28571428571428559</v>
      </c>
      <c r="K19" s="8">
        <f t="shared" si="31"/>
        <v>1</v>
      </c>
      <c r="L19" s="8">
        <f t="shared" si="38"/>
        <v>0.71428571428571441</v>
      </c>
      <c r="M19" s="8">
        <f t="shared" si="8"/>
        <v>0.28571428571428559</v>
      </c>
      <c r="N19" s="7">
        <f t="shared" si="9"/>
        <v>1.9482523507142862</v>
      </c>
      <c r="O19" s="7">
        <f t="shared" si="32"/>
        <v>2.646019924285715</v>
      </c>
      <c r="P19" s="7">
        <f t="shared" si="10"/>
        <v>0.57687778285714286</v>
      </c>
      <c r="Q19" s="7">
        <f t="shared" si="11"/>
        <v>7.2465284357142874</v>
      </c>
      <c r="R19" s="7">
        <f t="shared" si="33"/>
        <v>26.774213949999996</v>
      </c>
      <c r="S19" s="7">
        <f t="shared" si="34"/>
        <v>6.6770055485714295</v>
      </c>
      <c r="T19" s="7">
        <f t="shared" si="39"/>
        <v>4.4843732435714294</v>
      </c>
      <c r="U19" s="7">
        <f t="shared" si="40"/>
        <v>0.43301826656483472</v>
      </c>
      <c r="V19" s="106"/>
      <c r="W19" s="107"/>
      <c r="X19" s="109">
        <f t="shared" si="12"/>
        <v>9.3683573441121677</v>
      </c>
      <c r="Y19" s="109">
        <f t="shared" si="13"/>
        <v>12.03523833276734</v>
      </c>
      <c r="Z19" s="109">
        <f t="shared" si="14"/>
        <v>1.6311221355970977</v>
      </c>
      <c r="AA19" s="109">
        <f t="shared" si="15"/>
        <v>19.988544443208873</v>
      </c>
      <c r="AB19" s="109">
        <f t="shared" si="35"/>
        <v>105.3862735822651</v>
      </c>
      <c r="AC19" s="109">
        <f t="shared" si="36"/>
        <v>27.356769393736737</v>
      </c>
      <c r="AD19" s="109">
        <f t="shared" si="16"/>
        <v>8.8771726757993399</v>
      </c>
      <c r="AE19" s="109">
        <f t="shared" si="17"/>
        <v>8.8895422768688906E-2</v>
      </c>
      <c r="AF19" s="109">
        <f t="shared" si="0"/>
        <v>0.11420119455474026</v>
      </c>
      <c r="AG19" s="110">
        <f t="shared" si="0"/>
        <v>1.5477557751615866E-2</v>
      </c>
      <c r="AH19" s="109">
        <f t="shared" si="0"/>
        <v>0.18966933513979603</v>
      </c>
      <c r="AI19" s="109">
        <f t="shared" si="0"/>
        <v>1</v>
      </c>
      <c r="AJ19" s="109">
        <f t="shared" si="0"/>
        <v>0.25958569805945264</v>
      </c>
      <c r="AK19" s="109">
        <f t="shared" si="0"/>
        <v>8.4234619690483417E-2</v>
      </c>
      <c r="AL19" s="109"/>
      <c r="AM19" s="109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6">
        <v>6</v>
      </c>
      <c r="BC19" s="109">
        <f t="shared" si="37"/>
        <v>0.3</v>
      </c>
      <c r="BD19" s="109">
        <f t="shared" si="18"/>
        <v>0.7</v>
      </c>
      <c r="BE19" s="76">
        <f t="shared" si="1"/>
        <v>1</v>
      </c>
      <c r="BF19" s="186">
        <f t="shared" si="19"/>
        <v>0</v>
      </c>
      <c r="BG19" s="186">
        <f t="shared" si="2"/>
        <v>0</v>
      </c>
      <c r="BH19" s="186"/>
      <c r="BI19" s="186"/>
      <c r="BJ19" s="186">
        <f t="shared" si="20"/>
        <v>0</v>
      </c>
      <c r="BK19" s="186">
        <f t="shared" si="3"/>
        <v>0</v>
      </c>
      <c r="BL19" s="186">
        <f t="shared" si="21"/>
        <v>0</v>
      </c>
      <c r="BM19" s="186">
        <f t="shared" si="4"/>
        <v>0</v>
      </c>
      <c r="BN19" s="187">
        <f t="shared" si="22"/>
        <v>1.7</v>
      </c>
      <c r="BO19" s="110">
        <f t="shared" si="23"/>
        <v>1.1440537080588236</v>
      </c>
      <c r="BP19" s="110">
        <f t="shared" si="24"/>
        <v>1.571940897529412</v>
      </c>
      <c r="BQ19" s="110">
        <f t="shared" si="25"/>
        <v>0.4933248395294117</v>
      </c>
      <c r="BR19" s="110">
        <f t="shared" si="26"/>
        <v>4.2494105099999997</v>
      </c>
      <c r="BS19" s="110">
        <f t="shared" si="27"/>
        <v>32.77807627705883</v>
      </c>
      <c r="BT19" s="110">
        <f t="shared" si="28"/>
        <v>4.5563914338823528</v>
      </c>
      <c r="BU19" s="110">
        <f t="shared" si="29"/>
        <v>2.9451092815882354</v>
      </c>
      <c r="BV19" s="110">
        <f t="shared" si="30"/>
        <v>0.30133319692760069</v>
      </c>
      <c r="BW19" s="107"/>
      <c r="BY19" s="54">
        <f t="shared" si="5"/>
        <v>7.9054007411636267</v>
      </c>
      <c r="BZ19" s="54">
        <f t="shared" si="5"/>
        <v>10.274413404310684</v>
      </c>
      <c r="CA19" s="54">
        <f t="shared" si="5"/>
        <v>2.004448439386143</v>
      </c>
      <c r="CB19" s="54">
        <f t="shared" si="5"/>
        <v>16.843761953709564</v>
      </c>
      <c r="CC19" s="54">
        <f t="shared" si="5"/>
        <v>185.40012317583333</v>
      </c>
      <c r="CD19" s="54">
        <f t="shared" si="5"/>
        <v>26.82645813466517</v>
      </c>
      <c r="CE19" s="54">
        <f t="shared" si="5"/>
        <v>8.3778690422785012</v>
      </c>
      <c r="CW19" s="54">
        <f t="shared" si="6"/>
        <v>4.2639673619127808E-2</v>
      </c>
      <c r="CX19" s="54">
        <f t="shared" si="6"/>
        <v>5.5417511209344981E-2</v>
      </c>
      <c r="CY19" s="54">
        <f t="shared" si="6"/>
        <v>1.0811473072674962E-2</v>
      </c>
      <c r="CZ19" s="54">
        <f t="shared" si="6"/>
        <v>9.0850867114769682E-2</v>
      </c>
      <c r="DA19" s="54">
        <f t="shared" si="6"/>
        <v>1</v>
      </c>
      <c r="DB19" s="54">
        <f t="shared" si="6"/>
        <v>0.14469493156281768</v>
      </c>
      <c r="DC19" s="54">
        <f t="shared" si="6"/>
        <v>4.518804463971654E-2</v>
      </c>
    </row>
    <row r="20" spans="2:107" x14ac:dyDescent="0.2">
      <c r="B20" s="2" t="s">
        <v>35</v>
      </c>
      <c r="C20" s="73" t="s">
        <v>64</v>
      </c>
      <c r="D20" s="7">
        <f>Table13[[#This Row],[EM 1 ALT2]]</f>
        <v>0.65578889600000001</v>
      </c>
      <c r="E20" s="7">
        <v>0.45658262115823561</v>
      </c>
      <c r="F20" s="7">
        <v>0.65578889600000001</v>
      </c>
      <c r="G20" s="7">
        <v>0.37959999999999999</v>
      </c>
      <c r="I20" s="54">
        <v>0.66666666666666674</v>
      </c>
      <c r="J20" s="56">
        <f t="shared" si="7"/>
        <v>0.33333333333333326</v>
      </c>
      <c r="K20" s="8">
        <f t="shared" si="31"/>
        <v>1</v>
      </c>
      <c r="L20" s="8">
        <f t="shared" si="38"/>
        <v>0.66666666666666674</v>
      </c>
      <c r="M20" s="8">
        <f t="shared" si="8"/>
        <v>0.33333333333333326</v>
      </c>
      <c r="N20" s="7">
        <f t="shared" si="9"/>
        <v>1.8216655273333333</v>
      </c>
      <c r="O20" s="7">
        <f t="shared" si="32"/>
        <v>2.4769519293333335</v>
      </c>
      <c r="P20" s="7">
        <f t="shared" si="10"/>
        <v>0.56372593066666665</v>
      </c>
      <c r="Q20" s="7">
        <f t="shared" si="11"/>
        <v>6.7747598733333341</v>
      </c>
      <c r="R20" s="7">
        <f t="shared" si="33"/>
        <v>27.719266353333332</v>
      </c>
      <c r="S20" s="7">
        <f t="shared" si="34"/>
        <v>6.3432051786666683</v>
      </c>
      <c r="T20" s="7">
        <f t="shared" si="39"/>
        <v>4.2420816940000012</v>
      </c>
      <c r="U20" s="7">
        <f t="shared" si="40"/>
        <v>0.41229006115897376</v>
      </c>
      <c r="V20" s="106"/>
      <c r="W20" s="107"/>
      <c r="X20" s="109">
        <f t="shared" si="12"/>
        <v>9.2000509084100948</v>
      </c>
      <c r="Y20" s="109">
        <f t="shared" si="13"/>
        <v>11.832663514753873</v>
      </c>
      <c r="Z20" s="109">
        <f t="shared" si="14"/>
        <v>1.6740716116225143</v>
      </c>
      <c r="AA20" s="109">
        <f t="shared" si="15"/>
        <v>19.626751666308209</v>
      </c>
      <c r="AB20" s="109">
        <f t="shared" si="35"/>
        <v>114.591499359129</v>
      </c>
      <c r="AC20" s="109">
        <f t="shared" si="36"/>
        <v>27.295759519864117</v>
      </c>
      <c r="AD20" s="109">
        <f t="shared" si="16"/>
        <v>8.8197300867836379</v>
      </c>
      <c r="AE20" s="109">
        <f t="shared" si="17"/>
        <v>8.0285631655601222E-2</v>
      </c>
      <c r="AF20" s="109">
        <f t="shared" si="0"/>
        <v>0.10325952257305215</v>
      </c>
      <c r="AG20" s="110">
        <f t="shared" si="0"/>
        <v>1.4609038375315998E-2</v>
      </c>
      <c r="AH20" s="109">
        <f t="shared" si="0"/>
        <v>0.17127580820631466</v>
      </c>
      <c r="AI20" s="109">
        <f t="shared" si="0"/>
        <v>1</v>
      </c>
      <c r="AJ20" s="109">
        <f t="shared" si="0"/>
        <v>0.23820056175649981</v>
      </c>
      <c r="AK20" s="109">
        <f t="shared" si="0"/>
        <v>7.6966704651822926E-2</v>
      </c>
      <c r="AL20" s="109"/>
      <c r="AM20" s="109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6">
        <v>7</v>
      </c>
      <c r="BC20" s="109">
        <f t="shared" si="37"/>
        <v>0.35</v>
      </c>
      <c r="BD20" s="109">
        <f t="shared" si="18"/>
        <v>0.65</v>
      </c>
      <c r="BE20" s="76">
        <f t="shared" si="1"/>
        <v>1</v>
      </c>
      <c r="BF20" s="186">
        <f t="shared" si="19"/>
        <v>0</v>
      </c>
      <c r="BG20" s="186">
        <f t="shared" si="2"/>
        <v>0</v>
      </c>
      <c r="BH20" s="186"/>
      <c r="BI20" s="186"/>
      <c r="BJ20" s="186">
        <f t="shared" si="20"/>
        <v>0</v>
      </c>
      <c r="BK20" s="186">
        <f t="shared" si="3"/>
        <v>0</v>
      </c>
      <c r="BL20" s="186">
        <f t="shared" si="21"/>
        <v>0</v>
      </c>
      <c r="BM20" s="186">
        <f t="shared" si="4"/>
        <v>0</v>
      </c>
      <c r="BN20" s="187">
        <f t="shared" si="22"/>
        <v>1.65</v>
      </c>
      <c r="BO20" s="110">
        <f t="shared" si="23"/>
        <v>1.0966682661515152</v>
      </c>
      <c r="BP20" s="110">
        <f t="shared" si="24"/>
        <v>1.508653412787879</v>
      </c>
      <c r="BQ20" s="110">
        <f t="shared" si="25"/>
        <v>0.48840168630303021</v>
      </c>
      <c r="BR20" s="110">
        <f t="shared" si="26"/>
        <v>4.0728126524242425</v>
      </c>
      <c r="BS20" s="110">
        <f t="shared" si="27"/>
        <v>33.131839208787881</v>
      </c>
      <c r="BT20" s="110">
        <f t="shared" si="28"/>
        <v>4.4314394237575767</v>
      </c>
      <c r="BU20" s="110">
        <f t="shared" si="29"/>
        <v>2.8544119100909091</v>
      </c>
      <c r="BV20" s="110">
        <f t="shared" si="30"/>
        <v>0.29357397565267951</v>
      </c>
      <c r="BW20" s="107"/>
      <c r="BY20" s="54">
        <f t="shared" si="5"/>
        <v>7.7782550327939814</v>
      </c>
      <c r="BZ20" s="54">
        <f t="shared" si="5"/>
        <v>10.121379929228558</v>
      </c>
      <c r="CA20" s="54">
        <f t="shared" si="5"/>
        <v>2.0368942667282615</v>
      </c>
      <c r="CB20" s="54">
        <f t="shared" si="5"/>
        <v>16.570448585090173</v>
      </c>
      <c r="CC20" s="54">
        <f t="shared" si="5"/>
        <v>192.35413504840176</v>
      </c>
      <c r="CD20" s="54">
        <f t="shared" si="5"/>
        <v>26.780368728762664</v>
      </c>
      <c r="CE20" s="54">
        <f t="shared" si="5"/>
        <v>8.3344745122920365</v>
      </c>
      <c r="CW20" s="54">
        <f t="shared" si="6"/>
        <v>4.043716050521478E-2</v>
      </c>
      <c r="CX20" s="54">
        <f t="shared" si="6"/>
        <v>5.2618468153449012E-2</v>
      </c>
      <c r="CY20" s="54">
        <f t="shared" si="6"/>
        <v>1.058929284892015E-2</v>
      </c>
      <c r="CZ20" s="54">
        <f t="shared" si="6"/>
        <v>8.6145528303410671E-2</v>
      </c>
      <c r="DA20" s="54">
        <f t="shared" si="6"/>
        <v>1</v>
      </c>
      <c r="DB20" s="54">
        <f t="shared" si="6"/>
        <v>0.13922429440897624</v>
      </c>
      <c r="DC20" s="54">
        <f t="shared" si="6"/>
        <v>4.3328803460319927E-2</v>
      </c>
    </row>
    <row r="21" spans="2:107" x14ac:dyDescent="0.2">
      <c r="C21" s="2"/>
      <c r="D21" s="7"/>
      <c r="E21" s="7"/>
      <c r="F21" s="7"/>
      <c r="G21" s="4"/>
      <c r="I21" s="54">
        <v>0.61904761904761918</v>
      </c>
      <c r="J21" s="56">
        <f t="shared" si="7"/>
        <v>0.38095238095238082</v>
      </c>
      <c r="K21" s="8">
        <f t="shared" si="31"/>
        <v>1</v>
      </c>
      <c r="L21" s="8">
        <f t="shared" si="38"/>
        <v>0.61904761904761918</v>
      </c>
      <c r="M21" s="8">
        <f t="shared" si="8"/>
        <v>0.38095238095238082</v>
      </c>
      <c r="N21" s="7">
        <f t="shared" si="9"/>
        <v>1.6950787039523814</v>
      </c>
      <c r="O21" s="7">
        <f t="shared" si="32"/>
        <v>2.3078839343809525</v>
      </c>
      <c r="P21" s="7">
        <f t="shared" si="10"/>
        <v>0.55057407847619055</v>
      </c>
      <c r="Q21" s="7">
        <f t="shared" si="11"/>
        <v>6.3029913109523825</v>
      </c>
      <c r="R21" s="7">
        <f t="shared" si="33"/>
        <v>28.664318756666663</v>
      </c>
      <c r="S21" s="7">
        <f t="shared" si="34"/>
        <v>6.0094048087619063</v>
      </c>
      <c r="T21" s="7">
        <f t="shared" si="39"/>
        <v>3.9997901444285722</v>
      </c>
      <c r="U21" s="7">
        <f t="shared" si="40"/>
        <v>0.39156185575311292</v>
      </c>
      <c r="V21" s="106"/>
      <c r="W21" s="107"/>
      <c r="X21" s="109">
        <f t="shared" si="12"/>
        <v>9.013925115081113</v>
      </c>
      <c r="Y21" s="109">
        <f t="shared" si="13"/>
        <v>11.608641191698013</v>
      </c>
      <c r="Z21" s="109">
        <f t="shared" si="14"/>
        <v>1.7215683414115368</v>
      </c>
      <c r="AA21" s="109">
        <f t="shared" si="15"/>
        <v>19.226654264563379</v>
      </c>
      <c r="AB21" s="109">
        <f t="shared" si="35"/>
        <v>124.77132369765901</v>
      </c>
      <c r="AC21" s="109">
        <f t="shared" si="36"/>
        <v>27.228290256861335</v>
      </c>
      <c r="AD21" s="109">
        <f t="shared" si="16"/>
        <v>8.7562057930938515</v>
      </c>
      <c r="AE21" s="109">
        <f t="shared" si="17"/>
        <v>7.2243564049406919E-2</v>
      </c>
      <c r="AF21" s="109">
        <f t="shared" si="0"/>
        <v>9.3039336665431377E-2</v>
      </c>
      <c r="AG21" s="110">
        <f t="shared" si="0"/>
        <v>1.3797788549420008E-2</v>
      </c>
      <c r="AH21" s="109">
        <f t="shared" si="0"/>
        <v>0.15409513736628022</v>
      </c>
      <c r="AI21" s="109">
        <f t="shared" si="0"/>
        <v>1</v>
      </c>
      <c r="AJ21" s="109">
        <f t="shared" si="0"/>
        <v>0.21822554614263662</v>
      </c>
      <c r="AK21" s="109">
        <f t="shared" si="0"/>
        <v>7.0178030765398844E-2</v>
      </c>
      <c r="AL21" s="109"/>
      <c r="AM21" s="109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6">
        <v>8</v>
      </c>
      <c r="BC21" s="109">
        <f t="shared" si="37"/>
        <v>0.39999999999999997</v>
      </c>
      <c r="BD21" s="109">
        <f t="shared" si="18"/>
        <v>0.60000000000000009</v>
      </c>
      <c r="BE21" s="76">
        <f t="shared" si="1"/>
        <v>1</v>
      </c>
      <c r="BF21" s="186">
        <f t="shared" si="19"/>
        <v>0</v>
      </c>
      <c r="BG21" s="186">
        <f t="shared" si="2"/>
        <v>0</v>
      </c>
      <c r="BH21" s="186"/>
      <c r="BI21" s="186"/>
      <c r="BJ21" s="186">
        <f t="shared" si="20"/>
        <v>0</v>
      </c>
      <c r="BK21" s="186">
        <f t="shared" si="3"/>
        <v>0</v>
      </c>
      <c r="BL21" s="186">
        <f t="shared" si="21"/>
        <v>0</v>
      </c>
      <c r="BM21" s="186">
        <f t="shared" si="4"/>
        <v>0</v>
      </c>
      <c r="BN21" s="187">
        <f t="shared" si="22"/>
        <v>1.6</v>
      </c>
      <c r="BO21" s="110">
        <f t="shared" si="23"/>
        <v>1.0463212341250001</v>
      </c>
      <c r="BP21" s="110">
        <f t="shared" si="24"/>
        <v>1.4414104602500002</v>
      </c>
      <c r="BQ21" s="110">
        <f t="shared" si="25"/>
        <v>0.48317083599999999</v>
      </c>
      <c r="BR21" s="110">
        <f t="shared" si="26"/>
        <v>3.8851774287499996</v>
      </c>
      <c r="BS21" s="110">
        <f t="shared" si="27"/>
        <v>33.507712323749999</v>
      </c>
      <c r="BT21" s="110">
        <f t="shared" si="28"/>
        <v>4.2986779129999997</v>
      </c>
      <c r="BU21" s="110">
        <f t="shared" si="29"/>
        <v>2.7580459528749999</v>
      </c>
      <c r="BV21" s="110">
        <f t="shared" si="30"/>
        <v>0.28532980304807576</v>
      </c>
      <c r="BW21" s="107"/>
      <c r="BY21" s="54">
        <f t="shared" si="5"/>
        <v>7.6355857470500847</v>
      </c>
      <c r="BZ21" s="54">
        <f t="shared" si="5"/>
        <v>9.9496621664756209</v>
      </c>
      <c r="CA21" s="54">
        <f t="shared" si="5"/>
        <v>2.0733014964462475</v>
      </c>
      <c r="CB21" s="54">
        <f t="shared" si="5"/>
        <v>16.263765618081774</v>
      </c>
      <c r="CC21" s="54">
        <f t="shared" si="5"/>
        <v>200.15718180189143</v>
      </c>
      <c r="CD21" s="54">
        <f t="shared" si="5"/>
        <v>26.728652137579296</v>
      </c>
      <c r="CE21" s="54">
        <f t="shared" si="5"/>
        <v>8.2857818220097812</v>
      </c>
      <c r="CW21" s="54">
        <f t="shared" si="6"/>
        <v>3.8147947919288355E-2</v>
      </c>
      <c r="CX21" s="54">
        <f t="shared" si="6"/>
        <v>4.9709243889751849E-2</v>
      </c>
      <c r="CY21" s="54">
        <f t="shared" si="6"/>
        <v>1.0358366748480346E-2</v>
      </c>
      <c r="CZ21" s="54">
        <f t="shared" si="6"/>
        <v>8.1254969078147193E-2</v>
      </c>
      <c r="DA21" s="54">
        <f t="shared" si="6"/>
        <v>1</v>
      </c>
      <c r="DB21" s="54">
        <f t="shared" si="6"/>
        <v>0.13353831172560363</v>
      </c>
      <c r="DC21" s="54">
        <f t="shared" si="6"/>
        <v>4.1396375325721553E-2</v>
      </c>
    </row>
    <row r="22" spans="2:107" x14ac:dyDescent="0.2">
      <c r="B22" s="111" t="s">
        <v>342</v>
      </c>
      <c r="C22" s="112" t="s">
        <v>62</v>
      </c>
      <c r="D22" s="111">
        <f>VLOOKUP(C22,Table13[],2,FALSE)</f>
        <v>2.7077732910000001</v>
      </c>
      <c r="E22" s="111"/>
      <c r="F22" s="111"/>
      <c r="G22" s="113"/>
      <c r="I22" s="54">
        <v>0.57142857142857162</v>
      </c>
      <c r="J22" s="56">
        <f t="shared" si="7"/>
        <v>0.42857142857142838</v>
      </c>
      <c r="K22" s="8">
        <f t="shared" si="31"/>
        <v>1</v>
      </c>
      <c r="L22" s="8">
        <f t="shared" si="38"/>
        <v>0.57142857142857162</v>
      </c>
      <c r="M22" s="8">
        <f t="shared" si="8"/>
        <v>0.42857142857142838</v>
      </c>
      <c r="N22" s="7">
        <f t="shared" si="9"/>
        <v>1.568491880571429</v>
      </c>
      <c r="O22" s="7">
        <f t="shared" si="32"/>
        <v>2.138815939428572</v>
      </c>
      <c r="P22" s="7">
        <f t="shared" si="10"/>
        <v>0.53742222628571434</v>
      </c>
      <c r="Q22" s="7">
        <f t="shared" si="11"/>
        <v>5.8312227485714301</v>
      </c>
      <c r="R22" s="7">
        <f t="shared" si="33"/>
        <v>29.609371159999998</v>
      </c>
      <c r="S22" s="7">
        <f t="shared" si="34"/>
        <v>5.6756044388571443</v>
      </c>
      <c r="T22" s="7">
        <f t="shared" si="39"/>
        <v>3.757498594857144</v>
      </c>
      <c r="U22" s="7">
        <f t="shared" si="40"/>
        <v>0.37083365034725202</v>
      </c>
      <c r="V22" s="106"/>
      <c r="W22" s="107"/>
      <c r="X22" s="109">
        <f t="shared" si="12"/>
        <v>8.8069918590429648</v>
      </c>
      <c r="Y22" s="109">
        <f t="shared" si="13"/>
        <v>11.359574859159991</v>
      </c>
      <c r="Z22" s="109">
        <f t="shared" si="14"/>
        <v>1.7743748480789605</v>
      </c>
      <c r="AA22" s="109">
        <f t="shared" si="15"/>
        <v>18.781828984871378</v>
      </c>
      <c r="AB22" s="109">
        <f t="shared" si="35"/>
        <v>136.08917577281457</v>
      </c>
      <c r="AC22" s="109">
        <f t="shared" si="36"/>
        <v>27.15327843810185</v>
      </c>
      <c r="AD22" s="109">
        <f t="shared" si="16"/>
        <v>8.6855799615224303</v>
      </c>
      <c r="AE22" s="109">
        <f t="shared" si="17"/>
        <v>6.4714859275400702E-2</v>
      </c>
      <c r="AF22" s="109">
        <f t="shared" si="0"/>
        <v>8.3471553080191413E-2</v>
      </c>
      <c r="AG22" s="110">
        <f t="shared" si="0"/>
        <v>1.3038324598578493E-2</v>
      </c>
      <c r="AH22" s="109">
        <f t="shared" si="0"/>
        <v>0.13801118919424943</v>
      </c>
      <c r="AI22" s="109">
        <f t="shared" si="0"/>
        <v>1</v>
      </c>
      <c r="AJ22" s="109">
        <f t="shared" si="0"/>
        <v>0.19952562930817633</v>
      </c>
      <c r="AK22" s="109">
        <f t="shared" si="0"/>
        <v>6.382270972102895E-2</v>
      </c>
      <c r="AL22" s="109"/>
      <c r="AM22" s="109"/>
      <c r="AN22" s="109"/>
      <c r="AO22" s="109"/>
      <c r="AP22" s="109"/>
      <c r="AQ22" s="109"/>
      <c r="AR22" s="109"/>
      <c r="AS22" s="109"/>
      <c r="AT22" s="109"/>
      <c r="AU22" s="109"/>
      <c r="AV22" s="109"/>
      <c r="AW22" s="109"/>
      <c r="AX22" s="109"/>
      <c r="AY22" s="109"/>
      <c r="AZ22" s="109"/>
      <c r="BA22" s="109"/>
      <c r="BB22" s="106">
        <v>9</v>
      </c>
      <c r="BC22" s="109">
        <f t="shared" si="37"/>
        <v>0.44999999999999996</v>
      </c>
      <c r="BD22" s="109">
        <f t="shared" si="18"/>
        <v>0.55000000000000004</v>
      </c>
      <c r="BE22" s="76">
        <f t="shared" si="1"/>
        <v>1</v>
      </c>
      <c r="BF22" s="186">
        <f t="shared" si="19"/>
        <v>0</v>
      </c>
      <c r="BG22" s="186">
        <f t="shared" si="2"/>
        <v>0</v>
      </c>
      <c r="BH22" s="186"/>
      <c r="BI22" s="186"/>
      <c r="BJ22" s="186">
        <f t="shared" si="20"/>
        <v>0</v>
      </c>
      <c r="BK22" s="186">
        <f t="shared" si="3"/>
        <v>0</v>
      </c>
      <c r="BL22" s="186">
        <f t="shared" si="21"/>
        <v>0</v>
      </c>
      <c r="BM22" s="186">
        <f t="shared" si="4"/>
        <v>0</v>
      </c>
      <c r="BN22" s="187">
        <f t="shared" si="22"/>
        <v>1.55</v>
      </c>
      <c r="BO22" s="110">
        <f t="shared" si="23"/>
        <v>0.99272600648387088</v>
      </c>
      <c r="BP22" s="110">
        <f t="shared" si="24"/>
        <v>1.3698292527096776</v>
      </c>
      <c r="BQ22" s="110">
        <f t="shared" si="25"/>
        <v>0.47760251148387095</v>
      </c>
      <c r="BR22" s="110">
        <f t="shared" si="26"/>
        <v>3.6854367067741935</v>
      </c>
      <c r="BS22" s="110">
        <f t="shared" si="27"/>
        <v>33.907835317096783</v>
      </c>
      <c r="BT22" s="110">
        <f t="shared" si="28"/>
        <v>4.1573511434838704</v>
      </c>
      <c r="BU22" s="110">
        <f t="shared" si="29"/>
        <v>2.6554628371290319</v>
      </c>
      <c r="BV22" s="110">
        <f t="shared" si="30"/>
        <v>0.27655374833994911</v>
      </c>
      <c r="BW22" s="107"/>
      <c r="BY22" s="54">
        <f t="shared" si="5"/>
        <v>7.4743650709509026</v>
      </c>
      <c r="BZ22" s="54">
        <f t="shared" si="5"/>
        <v>9.7556158189039159</v>
      </c>
      <c r="CA22" s="54">
        <f t="shared" si="5"/>
        <v>2.1144427845618154</v>
      </c>
      <c r="CB22" s="54">
        <f t="shared" si="5"/>
        <v>15.917204443184248</v>
      </c>
      <c r="CC22" s="54">
        <f t="shared" si="5"/>
        <v>208.97486436525253</v>
      </c>
      <c r="CD22" s="54">
        <f t="shared" si="5"/>
        <v>26.670210800660481</v>
      </c>
      <c r="CE22" s="54">
        <f t="shared" si="5"/>
        <v>8.2307575860120998</v>
      </c>
      <c r="CW22" s="54">
        <f t="shared" si="6"/>
        <v>3.5766813839806989E-2</v>
      </c>
      <c r="CX22" s="54">
        <f t="shared" si="6"/>
        <v>4.6683202061338622E-2</v>
      </c>
      <c r="CY22" s="54">
        <f t="shared" si="6"/>
        <v>1.0118167995870207E-2</v>
      </c>
      <c r="CZ22" s="54">
        <f t="shared" si="6"/>
        <v>7.6168033373447644E-2</v>
      </c>
      <c r="DA22" s="54">
        <f t="shared" si="6"/>
        <v>1</v>
      </c>
      <c r="DB22" s="54">
        <f t="shared" si="6"/>
        <v>0.12762401297241896</v>
      </c>
      <c r="DC22" s="54">
        <f t="shared" si="6"/>
        <v>3.9386352090776504E-2</v>
      </c>
    </row>
    <row r="23" spans="2:107" x14ac:dyDescent="0.2">
      <c r="C23" s="2"/>
      <c r="I23" s="54">
        <v>0.52380952380952395</v>
      </c>
      <c r="J23" s="56">
        <f t="shared" si="7"/>
        <v>0.47619047619047605</v>
      </c>
      <c r="K23" s="8">
        <f t="shared" si="31"/>
        <v>1</v>
      </c>
      <c r="L23" s="8">
        <f t="shared" si="38"/>
        <v>0.52380952380952395</v>
      </c>
      <c r="M23" s="8">
        <f t="shared" si="8"/>
        <v>0.47619047619047605</v>
      </c>
      <c r="N23" s="7">
        <f t="shared" si="9"/>
        <v>1.4419050571904766</v>
      </c>
      <c r="O23" s="7">
        <f t="shared" si="32"/>
        <v>1.9697479444761907</v>
      </c>
      <c r="P23" s="7">
        <f t="shared" si="10"/>
        <v>0.52427037409523813</v>
      </c>
      <c r="Q23" s="7">
        <f t="shared" si="11"/>
        <v>5.3594541861904776</v>
      </c>
      <c r="R23" s="7">
        <f t="shared" si="33"/>
        <v>30.554423563333334</v>
      </c>
      <c r="S23" s="7">
        <f t="shared" si="34"/>
        <v>5.3418040689523831</v>
      </c>
      <c r="T23" s="7">
        <f t="shared" si="39"/>
        <v>3.5152070452857149</v>
      </c>
      <c r="U23" s="7">
        <f t="shared" si="40"/>
        <v>0.35010544494139112</v>
      </c>
      <c r="V23" s="106"/>
      <c r="W23" s="107"/>
      <c r="X23" s="109">
        <f t="shared" si="12"/>
        <v>8.575555384911878</v>
      </c>
      <c r="Y23" s="109">
        <f t="shared" si="13"/>
        <v>11.081016279785324</v>
      </c>
      <c r="Z23" s="109">
        <f t="shared" si="14"/>
        <v>1.8334342373152432</v>
      </c>
      <c r="AA23" s="109">
        <f t="shared" si="15"/>
        <v>18.284331403731915</v>
      </c>
      <c r="AB23" s="109">
        <f t="shared" si="35"/>
        <v>148.74718845361994</v>
      </c>
      <c r="AC23" s="109">
        <f t="shared" si="36"/>
        <v>27.06938437880838</v>
      </c>
      <c r="AD23" s="109">
        <f t="shared" si="16"/>
        <v>8.6065912394851498</v>
      </c>
      <c r="AE23" s="109">
        <f t="shared" si="17"/>
        <v>5.7651882190605408E-2</v>
      </c>
      <c r="AF23" s="109">
        <f t="shared" si="0"/>
        <v>7.4495635144327013E-2</v>
      </c>
      <c r="AG23" s="110">
        <f t="shared" si="0"/>
        <v>1.2325841290687095E-2</v>
      </c>
      <c r="AH23" s="109">
        <f t="shared" si="0"/>
        <v>0.12292219835424355</v>
      </c>
      <c r="AI23" s="109">
        <f t="shared" si="0"/>
        <v>1</v>
      </c>
      <c r="AJ23" s="109">
        <f t="shared" si="0"/>
        <v>0.18198249432626243</v>
      </c>
      <c r="AK23" s="109">
        <f t="shared" si="0"/>
        <v>5.7860530534792086E-2</v>
      </c>
      <c r="AL23" s="109"/>
      <c r="AM23" s="109"/>
      <c r="AN23" s="109"/>
      <c r="AO23" s="109"/>
      <c r="AP23" s="109"/>
      <c r="AQ23" s="109"/>
      <c r="AR23" s="109"/>
      <c r="AS23" s="109"/>
      <c r="AT23" s="109"/>
      <c r="AU23" s="109"/>
      <c r="AV23" s="109"/>
      <c r="AW23" s="109"/>
      <c r="AX23" s="109"/>
      <c r="AY23" s="109"/>
      <c r="AZ23" s="109"/>
      <c r="BA23" s="109"/>
      <c r="BB23" s="106">
        <v>10</v>
      </c>
      <c r="BC23" s="109">
        <f t="shared" si="37"/>
        <v>0.49999999999999994</v>
      </c>
      <c r="BD23" s="109">
        <f t="shared" si="18"/>
        <v>0.5</v>
      </c>
      <c r="BE23" s="76">
        <f t="shared" si="1"/>
        <v>1</v>
      </c>
      <c r="BF23" s="186">
        <f t="shared" si="19"/>
        <v>0</v>
      </c>
      <c r="BG23" s="186">
        <f t="shared" si="2"/>
        <v>0</v>
      </c>
      <c r="BH23" s="186"/>
      <c r="BI23" s="186"/>
      <c r="BJ23" s="186">
        <f t="shared" si="20"/>
        <v>0</v>
      </c>
      <c r="BK23" s="186">
        <f t="shared" si="3"/>
        <v>0</v>
      </c>
      <c r="BL23" s="186">
        <f t="shared" si="21"/>
        <v>0</v>
      </c>
      <c r="BM23" s="186">
        <f t="shared" si="4"/>
        <v>0</v>
      </c>
      <c r="BN23" s="187">
        <f t="shared" si="22"/>
        <v>1.5</v>
      </c>
      <c r="BO23" s="110">
        <f t="shared" si="23"/>
        <v>0.93555776366666654</v>
      </c>
      <c r="BP23" s="110">
        <f t="shared" si="24"/>
        <v>1.2934759646666669</v>
      </c>
      <c r="BQ23" s="110">
        <f t="shared" si="25"/>
        <v>0.47166296533333335</v>
      </c>
      <c r="BR23" s="110">
        <f t="shared" si="26"/>
        <v>3.4723799366666674</v>
      </c>
      <c r="BS23" s="110">
        <f t="shared" si="27"/>
        <v>34.334633176666671</v>
      </c>
      <c r="BT23" s="110">
        <f t="shared" si="28"/>
        <v>4.0066025893333332</v>
      </c>
      <c r="BU23" s="110">
        <f t="shared" si="29"/>
        <v>2.546040847</v>
      </c>
      <c r="BV23" s="110">
        <f t="shared" si="30"/>
        <v>0.26719262331794752</v>
      </c>
      <c r="BW23" s="107"/>
      <c r="BY23" s="54">
        <f t="shared" si="5"/>
        <v>7.2907230200093274</v>
      </c>
      <c r="BZ23" s="54">
        <f t="shared" si="5"/>
        <v>9.5345829457762346</v>
      </c>
      <c r="CA23" s="54">
        <f t="shared" si="5"/>
        <v>2.1613056976243623</v>
      </c>
      <c r="CB23" s="54">
        <f t="shared" si="5"/>
        <v>15.522446112709618</v>
      </c>
      <c r="CC23" s="54">
        <f t="shared" si="5"/>
        <v>219.01884476322076</v>
      </c>
      <c r="CD23" s="54">
        <f t="shared" si="5"/>
        <v>26.603641876430576</v>
      </c>
      <c r="CE23" s="54">
        <f t="shared" si="5"/>
        <v>8.1680809877332816</v>
      </c>
      <c r="CW23" s="54">
        <f t="shared" si="6"/>
        <v>3.3288108280779494E-2</v>
      </c>
      <c r="CX23" s="54">
        <f t="shared" si="6"/>
        <v>4.3533162436702577E-2</v>
      </c>
      <c r="CY23" s="54">
        <f t="shared" si="6"/>
        <v>9.868126644357612E-3</v>
      </c>
      <c r="CZ23" s="54">
        <f t="shared" si="6"/>
        <v>7.0872650841943718E-2</v>
      </c>
      <c r="DA23" s="54">
        <f t="shared" si="6"/>
        <v>1</v>
      </c>
      <c r="DB23" s="54">
        <f t="shared" si="6"/>
        <v>0.12146736462422458</v>
      </c>
      <c r="DC23" s="54">
        <f t="shared" si="6"/>
        <v>3.7293964346144362E-2</v>
      </c>
    </row>
    <row r="24" spans="2:107" x14ac:dyDescent="0.2">
      <c r="B24" t="s">
        <v>36</v>
      </c>
      <c r="C24" s="50" t="s">
        <v>52</v>
      </c>
      <c r="D24" s="8">
        <f>(D13/100/$O$9)/(D$18/100/$U$9)</f>
        <v>12.934285235590384</v>
      </c>
      <c r="E24" s="8"/>
      <c r="F24" s="8"/>
      <c r="G24" s="8">
        <f>(G13/100/$O$9)/(G$18/100/$U$9)</f>
        <v>1.7744425714357854</v>
      </c>
      <c r="I24" s="54">
        <v>0.47619047619047639</v>
      </c>
      <c r="J24" s="56">
        <f t="shared" si="7"/>
        <v>0.52380952380952361</v>
      </c>
      <c r="K24" s="8">
        <f t="shared" si="31"/>
        <v>1</v>
      </c>
      <c r="L24" s="8">
        <f t="shared" si="38"/>
        <v>0.47619047619047639</v>
      </c>
      <c r="M24" s="8">
        <f t="shared" si="8"/>
        <v>0.52380952380952361</v>
      </c>
      <c r="N24" s="7">
        <f t="shared" si="9"/>
        <v>1.3153182338095244</v>
      </c>
      <c r="O24" s="7">
        <f t="shared" si="32"/>
        <v>1.8006799495238102</v>
      </c>
      <c r="P24" s="7">
        <f t="shared" si="10"/>
        <v>0.51111852190476192</v>
      </c>
      <c r="Q24" s="7">
        <f t="shared" si="11"/>
        <v>4.8876856238095261</v>
      </c>
      <c r="R24" s="7">
        <f t="shared" si="33"/>
        <v>31.499475966666669</v>
      </c>
      <c r="S24" s="7">
        <f t="shared" si="34"/>
        <v>5.0080036990476211</v>
      </c>
      <c r="T24" s="7">
        <f t="shared" si="39"/>
        <v>3.2729154957142867</v>
      </c>
      <c r="U24" s="7">
        <f t="shared" si="40"/>
        <v>0.32937723953553028</v>
      </c>
      <c r="V24" s="106"/>
      <c r="W24" s="107"/>
      <c r="X24" s="109">
        <f t="shared" si="12"/>
        <v>8.3149896195100119</v>
      </c>
      <c r="Y24" s="109">
        <f t="shared" si="13"/>
        <v>10.767397479133772</v>
      </c>
      <c r="Z24" s="109">
        <f t="shared" si="14"/>
        <v>1.899927019052845</v>
      </c>
      <c r="AA24" s="109">
        <f t="shared" si="15"/>
        <v>17.724217279534898</v>
      </c>
      <c r="AB24" s="109">
        <f t="shared" si="35"/>
        <v>162.99837671175243</v>
      </c>
      <c r="AC24" s="109">
        <f t="shared" si="36"/>
        <v>26.974931160686445</v>
      </c>
      <c r="AD24" s="109">
        <f t="shared" si="16"/>
        <v>8.5176607591318181</v>
      </c>
      <c r="AE24" s="109">
        <f t="shared" si="17"/>
        <v>5.1012714281285773E-2</v>
      </c>
      <c r="AF24" s="109">
        <f t="shared" si="0"/>
        <v>6.6058311109287421E-2</v>
      </c>
      <c r="AG24" s="110">
        <f t="shared" si="0"/>
        <v>1.165611006306333E-2</v>
      </c>
      <c r="AH24" s="109">
        <f t="shared" si="0"/>
        <v>0.10873861223095822</v>
      </c>
      <c r="AI24" s="109">
        <f t="shared" si="0"/>
        <v>1</v>
      </c>
      <c r="AJ24" s="109">
        <f t="shared" si="0"/>
        <v>0.16549202332480353</v>
      </c>
      <c r="AK24" s="109">
        <f t="shared" si="0"/>
        <v>5.2256107888697043E-2</v>
      </c>
      <c r="AL24" s="109"/>
      <c r="AM24" s="109"/>
      <c r="AN24" s="109"/>
      <c r="AO24" s="109"/>
      <c r="AP24" s="109"/>
      <c r="AQ24" s="109"/>
      <c r="AR24" s="109"/>
      <c r="AS24" s="109"/>
      <c r="AT24" s="109"/>
      <c r="AU24" s="109"/>
      <c r="AV24" s="109"/>
      <c r="AW24" s="109"/>
      <c r="AX24" s="109"/>
      <c r="AY24" s="109"/>
      <c r="AZ24" s="109"/>
      <c r="BA24" s="109"/>
      <c r="BB24" s="106">
        <v>11</v>
      </c>
      <c r="BC24" s="109">
        <f t="shared" si="37"/>
        <v>0.54999999999999993</v>
      </c>
      <c r="BD24" s="109">
        <f t="shared" si="18"/>
        <v>0.45000000000000007</v>
      </c>
      <c r="BE24" s="76">
        <f t="shared" si="1"/>
        <v>1</v>
      </c>
      <c r="BF24" s="186">
        <f t="shared" si="19"/>
        <v>0</v>
      </c>
      <c r="BG24" s="186">
        <f t="shared" si="2"/>
        <v>0</v>
      </c>
      <c r="BH24" s="186"/>
      <c r="BI24" s="186"/>
      <c r="BJ24" s="186">
        <f t="shared" si="20"/>
        <v>0</v>
      </c>
      <c r="BK24" s="186">
        <f t="shared" si="3"/>
        <v>0</v>
      </c>
      <c r="BL24" s="186">
        <f t="shared" si="21"/>
        <v>0</v>
      </c>
      <c r="BM24" s="186">
        <f t="shared" si="4"/>
        <v>0</v>
      </c>
      <c r="BN24" s="187">
        <f t="shared" si="22"/>
        <v>1.4500000000000002</v>
      </c>
      <c r="BO24" s="110">
        <f t="shared" si="23"/>
        <v>0.87444688341379284</v>
      </c>
      <c r="BP24" s="110">
        <f t="shared" si="24"/>
        <v>1.2118569326206898</v>
      </c>
      <c r="BQ24" s="110">
        <f t="shared" si="25"/>
        <v>0.46531379531034484</v>
      </c>
      <c r="BR24" s="110">
        <f t="shared" si="26"/>
        <v>3.2446295962068965</v>
      </c>
      <c r="BS24" s="110">
        <f t="shared" si="27"/>
        <v>34.790865371379311</v>
      </c>
      <c r="BT24" s="110">
        <f t="shared" si="28"/>
        <v>3.8454575831724132</v>
      </c>
      <c r="BU24" s="110">
        <f t="shared" si="29"/>
        <v>2.4290725127241375</v>
      </c>
      <c r="BV24" s="110">
        <f t="shared" si="30"/>
        <v>0.25718590346684217</v>
      </c>
      <c r="BW24" s="107"/>
      <c r="BY24" s="54">
        <f t="shared" si="5"/>
        <v>7.0796327484707522</v>
      </c>
      <c r="BZ24" s="54">
        <f t="shared" si="5"/>
        <v>9.2805131999405255</v>
      </c>
      <c r="CA24" s="54">
        <f t="shared" si="5"/>
        <v>2.2151730171883828</v>
      </c>
      <c r="CB24" s="54">
        <f t="shared" si="5"/>
        <v>15.068684881309979</v>
      </c>
      <c r="CC24" s="54">
        <f t="shared" si="5"/>
        <v>230.56405752176158</v>
      </c>
      <c r="CD24" s="54">
        <f t="shared" si="5"/>
        <v>26.527123169415098</v>
      </c>
      <c r="CE24" s="54">
        <f t="shared" si="5"/>
        <v>8.0960363765891898</v>
      </c>
      <c r="CW24" s="54">
        <f t="shared" si="6"/>
        <v>3.0705708533094095E-2</v>
      </c>
      <c r="CX24" s="54">
        <f t="shared" si="6"/>
        <v>4.0251344028609456E-2</v>
      </c>
      <c r="CY24" s="54">
        <f t="shared" si="6"/>
        <v>9.6076250608979046E-3</v>
      </c>
      <c r="CZ24" s="54">
        <f t="shared" si="6"/>
        <v>6.5355741234245646E-2</v>
      </c>
      <c r="DA24" s="54">
        <f t="shared" si="6"/>
        <v>1</v>
      </c>
      <c r="DB24" s="54">
        <f t="shared" si="6"/>
        <v>0.11505315899860653</v>
      </c>
      <c r="DC24" s="54">
        <f t="shared" si="6"/>
        <v>3.511404363546583E-2</v>
      </c>
    </row>
    <row r="25" spans="2:107" x14ac:dyDescent="0.2">
      <c r="B25" t="s">
        <v>36</v>
      </c>
      <c r="C25" s="50" t="s">
        <v>54</v>
      </c>
      <c r="D25" s="8">
        <f>(D14/100/$Q$9)/(D$18/100/$U$9)</f>
        <v>21.594216257336697</v>
      </c>
      <c r="E25" s="8"/>
      <c r="F25" s="8"/>
      <c r="G25" s="8">
        <f>(G14/100/$Q$9)/(G$18/100/$U$9)</f>
        <v>1.6630594292917331</v>
      </c>
      <c r="I25" s="54">
        <v>0.42857142857142883</v>
      </c>
      <c r="J25" s="56">
        <f t="shared" si="7"/>
        <v>0.57142857142857117</v>
      </c>
      <c r="K25" s="8">
        <f t="shared" si="31"/>
        <v>1</v>
      </c>
      <c r="L25" s="8">
        <f t="shared" si="38"/>
        <v>0.42857142857142883</v>
      </c>
      <c r="M25" s="8">
        <f t="shared" si="8"/>
        <v>0.57142857142857117</v>
      </c>
      <c r="N25" s="7">
        <f t="shared" si="9"/>
        <v>1.1887314104285722</v>
      </c>
      <c r="O25" s="7">
        <f t="shared" si="32"/>
        <v>1.6316119545714298</v>
      </c>
      <c r="P25" s="7">
        <f t="shared" si="10"/>
        <v>0.49796666971428583</v>
      </c>
      <c r="Q25" s="7">
        <f t="shared" si="11"/>
        <v>4.4159170614285745</v>
      </c>
      <c r="R25" s="7">
        <f t="shared" si="33"/>
        <v>32.44452837</v>
      </c>
      <c r="S25" s="7">
        <f t="shared" si="34"/>
        <v>4.6742033291428591</v>
      </c>
      <c r="T25" s="7">
        <f t="shared" si="39"/>
        <v>3.0306239461428586</v>
      </c>
      <c r="U25" s="7">
        <f t="shared" si="40"/>
        <v>0.30864903412966938</v>
      </c>
      <c r="V25" s="106"/>
      <c r="W25" s="107"/>
      <c r="X25" s="109">
        <f t="shared" si="12"/>
        <v>8.0194257811531173</v>
      </c>
      <c r="Y25" s="109">
        <f t="shared" si="13"/>
        <v>10.411654750005489</v>
      </c>
      <c r="Z25" s="109">
        <f t="shared" si="14"/>
        <v>1.975350825258096</v>
      </c>
      <c r="AA25" s="109">
        <f t="shared" si="15"/>
        <v>17.088871035141434</v>
      </c>
      <c r="AB25" s="109">
        <f t="shared" si="35"/>
        <v>179.16372328452309</v>
      </c>
      <c r="AC25" s="109">
        <f t="shared" si="36"/>
        <v>26.867791392535317</v>
      </c>
      <c r="AD25" s="109">
        <f t="shared" si="16"/>
        <v>8.4167855191339047</v>
      </c>
      <c r="AE25" s="109">
        <f t="shared" si="17"/>
        <v>4.4760321085858285E-2</v>
      </c>
      <c r="AF25" s="109">
        <f t="shared" si="0"/>
        <v>5.8112516078219344E-2</v>
      </c>
      <c r="AG25" s="110">
        <f t="shared" si="0"/>
        <v>1.1025395035584947E-2</v>
      </c>
      <c r="AH25" s="109">
        <f t="shared" si="0"/>
        <v>9.5381312253726994E-2</v>
      </c>
      <c r="AI25" s="109">
        <f t="shared" si="0"/>
        <v>1</v>
      </c>
      <c r="AJ25" s="109">
        <f t="shared" si="0"/>
        <v>0.14996222951823568</v>
      </c>
      <c r="AK25" s="109">
        <f t="shared" si="0"/>
        <v>4.6978179314612303E-2</v>
      </c>
      <c r="AL25" s="109"/>
      <c r="AM25" s="109"/>
      <c r="AN25" s="109"/>
      <c r="AO25" s="109"/>
      <c r="AP25" s="109"/>
      <c r="AQ25" s="109"/>
      <c r="AR25" s="109"/>
      <c r="AS25" s="109"/>
      <c r="AT25" s="109"/>
      <c r="AU25" s="109"/>
      <c r="AV25" s="109"/>
      <c r="AW25" s="109"/>
      <c r="AX25" s="109"/>
      <c r="AY25" s="109"/>
      <c r="AZ25" s="109"/>
      <c r="BA25" s="109"/>
      <c r="BB25" s="106">
        <v>12</v>
      </c>
      <c r="BC25" s="109">
        <f t="shared" si="37"/>
        <v>0.6</v>
      </c>
      <c r="BD25" s="109">
        <f t="shared" si="18"/>
        <v>0.4</v>
      </c>
      <c r="BE25" s="76">
        <f t="shared" si="1"/>
        <v>1</v>
      </c>
      <c r="BF25" s="186">
        <f t="shared" si="19"/>
        <v>0</v>
      </c>
      <c r="BG25" s="186">
        <f t="shared" si="2"/>
        <v>0</v>
      </c>
      <c r="BH25" s="186"/>
      <c r="BI25" s="186"/>
      <c r="BJ25" s="186">
        <f t="shared" si="20"/>
        <v>0</v>
      </c>
      <c r="BK25" s="186">
        <f t="shared" si="3"/>
        <v>0</v>
      </c>
      <c r="BL25" s="186">
        <f t="shared" si="21"/>
        <v>0</v>
      </c>
      <c r="BM25" s="186">
        <f t="shared" si="4"/>
        <v>0</v>
      </c>
      <c r="BN25" s="187">
        <f t="shared" si="22"/>
        <v>1.4</v>
      </c>
      <c r="BO25" s="110">
        <f t="shared" si="23"/>
        <v>0.80897094028571404</v>
      </c>
      <c r="BP25" s="110">
        <f t="shared" si="24"/>
        <v>1.1244079697142859</v>
      </c>
      <c r="BQ25" s="110">
        <f t="shared" si="25"/>
        <v>0.4585111131428572</v>
      </c>
      <c r="BR25" s="110">
        <f t="shared" si="26"/>
        <v>3.0006113742857141</v>
      </c>
      <c r="BS25" s="110">
        <f t="shared" si="27"/>
        <v>35.279685579999999</v>
      </c>
      <c r="BT25" s="110">
        <f t="shared" si="28"/>
        <v>3.6728022194285717</v>
      </c>
      <c r="BU25" s="110">
        <f t="shared" si="29"/>
        <v>2.3037492974285714</v>
      </c>
      <c r="BV25" s="110">
        <f t="shared" si="30"/>
        <v>0.24646441791208659</v>
      </c>
      <c r="BW25" s="107"/>
      <c r="BY25" s="54">
        <f t="shared" si="5"/>
        <v>6.8344433563970339</v>
      </c>
      <c r="BZ25" s="54">
        <f t="shared" si="5"/>
        <v>8.9854015111273444</v>
      </c>
      <c r="CA25" s="54">
        <f t="shared" si="5"/>
        <v>2.2777419609879987</v>
      </c>
      <c r="CB25" s="54">
        <f t="shared" si="5"/>
        <v>14.541623924580055</v>
      </c>
      <c r="CC25" s="54">
        <f t="shared" si="5"/>
        <v>243.97426196650338</v>
      </c>
      <c r="CD25" s="54">
        <f t="shared" si="5"/>
        <v>26.438243776164786</v>
      </c>
      <c r="CE25" s="54">
        <f t="shared" si="5"/>
        <v>8.0123538161383649</v>
      </c>
      <c r="CW25" s="54">
        <f t="shared" si="6"/>
        <v>2.8012968668536739E-2</v>
      </c>
      <c r="CX25" s="54">
        <f t="shared" si="6"/>
        <v>3.6829300921754612E-2</v>
      </c>
      <c r="CY25" s="54">
        <f t="shared" si="6"/>
        <v>9.3359928323124633E-3</v>
      </c>
      <c r="CZ25" s="54">
        <f t="shared" si="6"/>
        <v>5.9603106521853348E-2</v>
      </c>
      <c r="DA25" s="54">
        <f t="shared" si="6"/>
        <v>1</v>
      </c>
      <c r="DB25" s="54">
        <f t="shared" si="6"/>
        <v>0.10836488883321078</v>
      </c>
      <c r="DC25" s="54">
        <f t="shared" si="6"/>
        <v>3.2840979829415064E-2</v>
      </c>
    </row>
    <row r="26" spans="2:107" x14ac:dyDescent="0.2">
      <c r="B26" t="s">
        <v>36</v>
      </c>
      <c r="C26" s="50" t="s">
        <v>55</v>
      </c>
      <c r="D26" s="8">
        <f>(D15/100/$R$9)/(D$18/100/$U$9)</f>
        <v>64.532579102202547</v>
      </c>
      <c r="E26" s="8"/>
      <c r="F26" s="8"/>
      <c r="G26" s="8">
        <f>(G15/100/$R$9)/(G$18/100/$U$9)</f>
        <v>571.64828264929145</v>
      </c>
      <c r="I26" s="54">
        <v>0.38095238095238115</v>
      </c>
      <c r="J26" s="56">
        <f t="shared" si="7"/>
        <v>0.61904761904761885</v>
      </c>
      <c r="K26" s="8">
        <f t="shared" si="31"/>
        <v>1</v>
      </c>
      <c r="L26" s="8">
        <f t="shared" si="38"/>
        <v>0.38095238095238115</v>
      </c>
      <c r="M26" s="8">
        <f t="shared" si="8"/>
        <v>0.61904761904761885</v>
      </c>
      <c r="N26" s="7">
        <f t="shared" si="9"/>
        <v>1.0621445870476196</v>
      </c>
      <c r="O26" s="7">
        <f t="shared" si="32"/>
        <v>1.4625439596190484</v>
      </c>
      <c r="P26" s="7">
        <f t="shared" si="10"/>
        <v>0.48481481752380956</v>
      </c>
      <c r="Q26" s="7">
        <f t="shared" si="11"/>
        <v>3.9441484990476212</v>
      </c>
      <c r="R26" s="7">
        <f t="shared" si="33"/>
        <v>33.389580773333336</v>
      </c>
      <c r="S26" s="7">
        <f t="shared" si="34"/>
        <v>4.340402959238097</v>
      </c>
      <c r="T26" s="7">
        <f t="shared" si="39"/>
        <v>2.7883323965714295</v>
      </c>
      <c r="U26" s="7">
        <f t="shared" si="40"/>
        <v>0.28792082872380842</v>
      </c>
      <c r="V26" s="106"/>
      <c r="W26" s="107"/>
      <c r="X26" s="109">
        <f t="shared" si="12"/>
        <v>7.6813050497839193</v>
      </c>
      <c r="Y26" s="109">
        <f t="shared" si="13"/>
        <v>10.004690243045452</v>
      </c>
      <c r="Z26" s="109">
        <f t="shared" si="14"/>
        <v>2.0616345623300649</v>
      </c>
      <c r="AA26" s="109">
        <f t="shared" si="15"/>
        <v>16.362044174246535</v>
      </c>
      <c r="AB26" s="109">
        <f t="shared" si="35"/>
        <v>197.656644598604</v>
      </c>
      <c r="AC26" s="109">
        <f t="shared" si="36"/>
        <v>26.745225056384811</v>
      </c>
      <c r="AD26" s="109">
        <f t="shared" si="16"/>
        <v>8.3013857120575345</v>
      </c>
      <c r="AE26" s="109">
        <f t="shared" si="17"/>
        <v>3.8861861008431642E-2</v>
      </c>
      <c r="AF26" s="109">
        <f t="shared" si="0"/>
        <v>5.061651361816203E-2</v>
      </c>
      <c r="AG26" s="110">
        <f t="shared" si="0"/>
        <v>1.0430383286718132E-2</v>
      </c>
      <c r="AH26" s="109">
        <f t="shared" si="0"/>
        <v>8.2780137280353772E-2</v>
      </c>
      <c r="AI26" s="109">
        <f t="shared" si="0"/>
        <v>1</v>
      </c>
      <c r="AJ26" s="109">
        <f t="shared" si="0"/>
        <v>0.13531154042758503</v>
      </c>
      <c r="AK26" s="109">
        <f t="shared" si="0"/>
        <v>4.1999021732437955E-2</v>
      </c>
      <c r="AL26" s="109"/>
      <c r="AM26" s="109"/>
      <c r="AN26" s="109"/>
      <c r="AO26" s="109"/>
      <c r="AP26" s="109"/>
      <c r="AQ26" s="109"/>
      <c r="AR26" s="109"/>
      <c r="AS26" s="109"/>
      <c r="AT26" s="109"/>
      <c r="AU26" s="109"/>
      <c r="AV26" s="109"/>
      <c r="AW26" s="109"/>
      <c r="AX26" s="109"/>
      <c r="AY26" s="109"/>
      <c r="AZ26" s="109"/>
      <c r="BA26" s="109"/>
      <c r="BB26" s="106">
        <v>13</v>
      </c>
      <c r="BC26" s="109">
        <f t="shared" si="37"/>
        <v>0.65</v>
      </c>
      <c r="BD26" s="109">
        <f t="shared" si="18"/>
        <v>0.35</v>
      </c>
      <c r="BE26" s="76">
        <f t="shared" si="1"/>
        <v>1</v>
      </c>
      <c r="BF26" s="186">
        <f t="shared" si="19"/>
        <v>0</v>
      </c>
      <c r="BG26" s="186">
        <f t="shared" si="2"/>
        <v>0</v>
      </c>
      <c r="BH26" s="186"/>
      <c r="BI26" s="186"/>
      <c r="BJ26" s="186">
        <f t="shared" si="20"/>
        <v>0</v>
      </c>
      <c r="BK26" s="186">
        <f t="shared" si="3"/>
        <v>0</v>
      </c>
      <c r="BL26" s="186">
        <f t="shared" si="21"/>
        <v>0</v>
      </c>
      <c r="BM26" s="186">
        <f t="shared" si="4"/>
        <v>0</v>
      </c>
      <c r="BN26" s="187">
        <f t="shared" si="22"/>
        <v>1.35</v>
      </c>
      <c r="BO26" s="110">
        <f t="shared" si="23"/>
        <v>0.73864492729629605</v>
      </c>
      <c r="BP26" s="110">
        <f t="shared" si="24"/>
        <v>1.0304813058518518</v>
      </c>
      <c r="BQ26" s="110">
        <f t="shared" si="25"/>
        <v>0.45120452859259252</v>
      </c>
      <c r="BR26" s="110">
        <f t="shared" si="26"/>
        <v>2.7385177285185183</v>
      </c>
      <c r="BS26" s="110">
        <f t="shared" si="27"/>
        <v>35.80471469296296</v>
      </c>
      <c r="BT26" s="110">
        <f t="shared" si="28"/>
        <v>3.4873575694814809</v>
      </c>
      <c r="BU26" s="110">
        <f t="shared" si="29"/>
        <v>2.1691428809999995</v>
      </c>
      <c r="BV26" s="110">
        <f t="shared" si="30"/>
        <v>0.23494874824216383</v>
      </c>
      <c r="BW26" s="107"/>
      <c r="BY26" s="54">
        <f t="shared" si="5"/>
        <v>6.546166394815371</v>
      </c>
      <c r="BZ26" s="54">
        <f t="shared" si="5"/>
        <v>8.6384293184938272</v>
      </c>
      <c r="CA26" s="54">
        <f t="shared" si="5"/>
        <v>2.3513062569609016</v>
      </c>
      <c r="CB26" s="54">
        <f t="shared" si="5"/>
        <v>13.921941605172274</v>
      </c>
      <c r="CC26" s="54">
        <f t="shared" si="5"/>
        <v>259.74106557420919</v>
      </c>
      <c r="CD26" s="54">
        <f t="shared" si="5"/>
        <v>26.333745448497666</v>
      </c>
      <c r="CE26" s="54">
        <f t="shared" si="5"/>
        <v>7.9139655699744171</v>
      </c>
      <c r="CW26" s="54">
        <f t="shared" si="6"/>
        <v>2.5202662429769318E-2</v>
      </c>
      <c r="CX26" s="54">
        <f t="shared" si="6"/>
        <v>3.3257849695029408E-2</v>
      </c>
      <c r="CY26" s="54">
        <f t="shared" si="6"/>
        <v>9.0525010042708191E-3</v>
      </c>
      <c r="CZ26" s="54">
        <f t="shared" si="6"/>
        <v>5.3599308890163587E-2</v>
      </c>
      <c r="DA26" s="54">
        <f t="shared" si="6"/>
        <v>1</v>
      </c>
      <c r="DB26" s="54">
        <f t="shared" si="6"/>
        <v>0.10138460543496153</v>
      </c>
      <c r="DC26" s="54">
        <f t="shared" si="6"/>
        <v>3.0468672916541036E-2</v>
      </c>
    </row>
    <row r="27" spans="2:107" x14ac:dyDescent="0.2">
      <c r="B27" t="s">
        <v>36</v>
      </c>
      <c r="C27" s="50" t="s">
        <v>56</v>
      </c>
      <c r="D27" s="8">
        <f>(D16/100/$S$9)/(D$18/100/$U$9)</f>
        <v>27.62753719540477</v>
      </c>
      <c r="E27" s="8"/>
      <c r="F27" s="8"/>
      <c r="G27" s="8">
        <f>(G16/100/$S$9)/(G$18/100/$U$9)</f>
        <v>24.266504466582802</v>
      </c>
      <c r="I27" s="54">
        <v>0.33333333333333359</v>
      </c>
      <c r="J27" s="56">
        <f t="shared" si="7"/>
        <v>0.66666666666666641</v>
      </c>
      <c r="K27" s="8">
        <f t="shared" si="31"/>
        <v>1</v>
      </c>
      <c r="L27" s="8">
        <f t="shared" si="38"/>
        <v>0.33333333333333359</v>
      </c>
      <c r="M27" s="8">
        <f t="shared" si="8"/>
        <v>0.66666666666666641</v>
      </c>
      <c r="N27" s="7">
        <f t="shared" si="9"/>
        <v>0.93555776366666743</v>
      </c>
      <c r="O27" s="7">
        <f t="shared" si="32"/>
        <v>1.2934759646666674</v>
      </c>
      <c r="P27" s="7">
        <f t="shared" si="10"/>
        <v>0.47166296533333335</v>
      </c>
      <c r="Q27" s="7">
        <f t="shared" si="11"/>
        <v>3.4723799366666697</v>
      </c>
      <c r="R27" s="7">
        <f t="shared" si="33"/>
        <v>34.334633176666664</v>
      </c>
      <c r="S27" s="7">
        <f t="shared" si="34"/>
        <v>4.006602589333335</v>
      </c>
      <c r="T27" s="7">
        <f t="shared" si="39"/>
        <v>2.5460408470000013</v>
      </c>
      <c r="U27" s="7">
        <f t="shared" si="40"/>
        <v>0.26719262331794758</v>
      </c>
      <c r="V27" s="106"/>
      <c r="W27" s="107"/>
      <c r="X27" s="109">
        <f t="shared" si="12"/>
        <v>7.2907230200093327</v>
      </c>
      <c r="Y27" s="109">
        <f t="shared" si="13"/>
        <v>9.5345829457762328</v>
      </c>
      <c r="Z27" s="109">
        <f t="shared" si="14"/>
        <v>2.1613056976243619</v>
      </c>
      <c r="AA27" s="109">
        <f t="shared" si="15"/>
        <v>15.522446112709623</v>
      </c>
      <c r="AB27" s="109">
        <f t="shared" si="35"/>
        <v>219.01884476322064</v>
      </c>
      <c r="AC27" s="109">
        <f t="shared" si="36"/>
        <v>26.603641876430583</v>
      </c>
      <c r="AD27" s="109">
        <f t="shared" si="16"/>
        <v>8.1680809877332852</v>
      </c>
      <c r="AE27" s="109">
        <f t="shared" si="17"/>
        <v>3.3288108280779535E-2</v>
      </c>
      <c r="AF27" s="109">
        <f t="shared" si="0"/>
        <v>4.3533162436702591E-2</v>
      </c>
      <c r="AG27" s="110">
        <f t="shared" si="0"/>
        <v>9.8681266443576155E-3</v>
      </c>
      <c r="AH27" s="109">
        <f t="shared" si="0"/>
        <v>7.0872650841943774E-2</v>
      </c>
      <c r="AI27" s="109">
        <f t="shared" si="0"/>
        <v>1</v>
      </c>
      <c r="AJ27" s="109">
        <f t="shared" si="0"/>
        <v>0.12146736462422468</v>
      </c>
      <c r="AK27" s="109">
        <f t="shared" si="0"/>
        <v>3.7293964346144397E-2</v>
      </c>
      <c r="AL27" s="109"/>
      <c r="AM27" s="109"/>
      <c r="AN27" s="109"/>
      <c r="AO27" s="109"/>
      <c r="AP27" s="109"/>
      <c r="AQ27" s="109"/>
      <c r="AR27" s="109"/>
      <c r="AS27" s="109"/>
      <c r="AT27" s="109"/>
      <c r="AU27" s="109"/>
      <c r="AV27" s="109"/>
      <c r="AW27" s="109"/>
      <c r="AX27" s="109"/>
      <c r="AY27" s="109"/>
      <c r="AZ27" s="109"/>
      <c r="BA27" s="109"/>
      <c r="BB27" s="106">
        <v>14</v>
      </c>
      <c r="BC27" s="109">
        <f t="shared" si="37"/>
        <v>0.70000000000000007</v>
      </c>
      <c r="BD27" s="109">
        <f t="shared" si="18"/>
        <v>0.29999999999999993</v>
      </c>
      <c r="BE27" s="76">
        <f t="shared" si="1"/>
        <v>1</v>
      </c>
      <c r="BF27" s="186">
        <f t="shared" si="19"/>
        <v>0</v>
      </c>
      <c r="BG27" s="186">
        <f t="shared" si="2"/>
        <v>0</v>
      </c>
      <c r="BH27" s="186"/>
      <c r="BI27" s="186"/>
      <c r="BJ27" s="186">
        <f t="shared" si="20"/>
        <v>0</v>
      </c>
      <c r="BK27" s="186">
        <f t="shared" si="3"/>
        <v>0</v>
      </c>
      <c r="BL27" s="186">
        <f t="shared" si="21"/>
        <v>0</v>
      </c>
      <c r="BM27" s="186">
        <f t="shared" si="4"/>
        <v>0</v>
      </c>
      <c r="BN27" s="187">
        <f t="shared" si="22"/>
        <v>1.2999999999999998</v>
      </c>
      <c r="BO27" s="110">
        <f t="shared" si="23"/>
        <v>0.6629092209999996</v>
      </c>
      <c r="BP27" s="110">
        <f t="shared" si="24"/>
        <v>0.92932951400000008</v>
      </c>
      <c r="BQ27" s="110">
        <f t="shared" si="25"/>
        <v>0.44333589907692317</v>
      </c>
      <c r="BR27" s="110">
        <f t="shared" si="26"/>
        <v>2.4562630330769228</v>
      </c>
      <c r="BS27" s="110">
        <f t="shared" si="27"/>
        <v>36.370130660769235</v>
      </c>
      <c r="BT27" s="110">
        <f t="shared" si="28"/>
        <v>3.2876479464615382</v>
      </c>
      <c r="BU27" s="110">
        <f t="shared" si="29"/>
        <v>2.0241821248461531</v>
      </c>
      <c r="BV27" s="110">
        <f t="shared" si="30"/>
        <v>0.22254725782840093</v>
      </c>
      <c r="BW27" s="107"/>
      <c r="BY27" s="54">
        <f t="shared" si="5"/>
        <v>6.202349985048027</v>
      </c>
      <c r="BZ27" s="54">
        <f t="shared" si="5"/>
        <v>8.2246094526750895</v>
      </c>
      <c r="CA27" s="54">
        <f t="shared" si="5"/>
        <v>2.4390434524332516</v>
      </c>
      <c r="CB27" s="54">
        <f t="shared" si="5"/>
        <v>13.182871271261019</v>
      </c>
      <c r="CC27" s="54">
        <f t="shared" si="5"/>
        <v>278.5455020444906</v>
      </c>
      <c r="CD27" s="54">
        <f t="shared" si="5"/>
        <v>26.209114469844085</v>
      </c>
      <c r="CE27" s="54">
        <f t="shared" si="5"/>
        <v>7.7966218413122448</v>
      </c>
      <c r="CW27" s="54">
        <f t="shared" si="6"/>
        <v>2.2266918473008976E-2</v>
      </c>
      <c r="CX27" s="54">
        <f t="shared" si="6"/>
        <v>2.9526987125289915E-2</v>
      </c>
      <c r="CY27" s="54">
        <f t="shared" si="6"/>
        <v>8.7563555488455753E-3</v>
      </c>
      <c r="CZ27" s="54">
        <f t="shared" si="6"/>
        <v>4.732753239417016E-2</v>
      </c>
      <c r="DA27" s="54">
        <f t="shared" si="6"/>
        <v>1</v>
      </c>
      <c r="DB27" s="54">
        <f t="shared" si="6"/>
        <v>9.4092757834796564E-2</v>
      </c>
      <c r="DC27" s="54">
        <f t="shared" si="6"/>
        <v>2.7990478338677075E-2</v>
      </c>
    </row>
    <row r="28" spans="2:107" x14ac:dyDescent="0.2">
      <c r="B28" t="s">
        <v>36</v>
      </c>
      <c r="C28" s="50" t="s">
        <v>57</v>
      </c>
      <c r="D28" s="8">
        <f>(D17/100/$T$9)/(D$18/100/$U$9)</f>
        <v>9.1321085175349861</v>
      </c>
      <c r="E28" s="8"/>
      <c r="F28" s="8"/>
      <c r="G28" s="8">
        <f>(G17/100/$T$9)/(G$18/100/$U$9)</f>
        <v>5.9675974399815637</v>
      </c>
      <c r="I28" s="54">
        <v>0.28571428571428592</v>
      </c>
      <c r="J28" s="56">
        <f t="shared" si="7"/>
        <v>0.71428571428571408</v>
      </c>
      <c r="K28" s="8">
        <f t="shared" si="31"/>
        <v>1</v>
      </c>
      <c r="L28" s="8">
        <f t="shared" si="38"/>
        <v>0.28571428571428592</v>
      </c>
      <c r="M28" s="8">
        <f t="shared" si="8"/>
        <v>0.71428571428571408</v>
      </c>
      <c r="N28" s="7">
        <f t="shared" si="9"/>
        <v>0.8089709402857147</v>
      </c>
      <c r="O28" s="7">
        <f t="shared" si="32"/>
        <v>1.1244079697142864</v>
      </c>
      <c r="P28" s="7">
        <f t="shared" si="10"/>
        <v>0.4585111131428572</v>
      </c>
      <c r="Q28" s="7">
        <f t="shared" si="11"/>
        <v>3.0006113742857163</v>
      </c>
      <c r="R28" s="7">
        <f t="shared" si="33"/>
        <v>35.279685579999999</v>
      </c>
      <c r="S28" s="7">
        <f t="shared" si="34"/>
        <v>3.6728022194285734</v>
      </c>
      <c r="T28" s="7">
        <f t="shared" si="39"/>
        <v>2.3037492974285727</v>
      </c>
      <c r="U28" s="7">
        <f t="shared" si="40"/>
        <v>0.24646441791208668</v>
      </c>
      <c r="V28" s="106"/>
      <c r="W28" s="107"/>
      <c r="X28" s="109">
        <f t="shared" si="12"/>
        <v>6.8344433563970357</v>
      </c>
      <c r="Y28" s="109">
        <f t="shared" si="13"/>
        <v>8.9854015111273444</v>
      </c>
      <c r="Z28" s="109">
        <f t="shared" si="14"/>
        <v>2.2777419609879979</v>
      </c>
      <c r="AA28" s="109">
        <f t="shared" si="15"/>
        <v>14.54162392458006</v>
      </c>
      <c r="AB28" s="109">
        <f t="shared" si="35"/>
        <v>243.97426196650326</v>
      </c>
      <c r="AC28" s="109">
        <f t="shared" si="36"/>
        <v>26.438243776164789</v>
      </c>
      <c r="AD28" s="109">
        <f t="shared" si="16"/>
        <v>8.0123538161383667</v>
      </c>
      <c r="AE28" s="109">
        <f t="shared" si="17"/>
        <v>2.801296866853676E-2</v>
      </c>
      <c r="AF28" s="109">
        <f t="shared" si="0"/>
        <v>3.6829300921754633E-2</v>
      </c>
      <c r="AG28" s="110">
        <f t="shared" si="0"/>
        <v>9.3359928323124633E-3</v>
      </c>
      <c r="AH28" s="109">
        <f t="shared" si="0"/>
        <v>5.9603106521853397E-2</v>
      </c>
      <c r="AI28" s="109">
        <f t="shared" si="0"/>
        <v>1</v>
      </c>
      <c r="AJ28" s="109">
        <f t="shared" si="0"/>
        <v>0.10836488883321085</v>
      </c>
      <c r="AK28" s="109">
        <f t="shared" si="0"/>
        <v>3.2840979829415091E-2</v>
      </c>
      <c r="AL28" s="109"/>
      <c r="AM28" s="109"/>
      <c r="AN28" s="109"/>
      <c r="AO28" s="109"/>
      <c r="AP28" s="109"/>
      <c r="AQ28" s="109"/>
      <c r="AR28" s="109"/>
      <c r="AS28" s="109"/>
      <c r="AT28" s="109"/>
      <c r="AU28" s="109"/>
      <c r="AV28" s="109"/>
      <c r="AW28" s="109"/>
      <c r="AX28" s="109"/>
      <c r="AY28" s="109"/>
      <c r="AZ28" s="109"/>
      <c r="BA28" s="109"/>
      <c r="BB28" s="106">
        <v>15</v>
      </c>
      <c r="BC28" s="109">
        <f t="shared" si="37"/>
        <v>0.75000000000000011</v>
      </c>
      <c r="BD28" s="109">
        <f t="shared" si="18"/>
        <v>0.24999999999999989</v>
      </c>
      <c r="BE28" s="76">
        <f t="shared" si="1"/>
        <v>1</v>
      </c>
      <c r="BF28" s="186">
        <f t="shared" si="19"/>
        <v>0</v>
      </c>
      <c r="BG28" s="186">
        <f t="shared" si="2"/>
        <v>0</v>
      </c>
      <c r="BH28" s="186"/>
      <c r="BI28" s="186"/>
      <c r="BJ28" s="186">
        <f t="shared" si="20"/>
        <v>0</v>
      </c>
      <c r="BK28" s="186">
        <f t="shared" si="3"/>
        <v>0</v>
      </c>
      <c r="BL28" s="186">
        <f t="shared" si="21"/>
        <v>0</v>
      </c>
      <c r="BM28" s="186">
        <f t="shared" si="4"/>
        <v>0</v>
      </c>
      <c r="BN28" s="187">
        <f t="shared" si="22"/>
        <v>1.25</v>
      </c>
      <c r="BO28" s="110">
        <f t="shared" si="23"/>
        <v>0.58111465819999952</v>
      </c>
      <c r="BP28" s="110">
        <f t="shared" si="24"/>
        <v>0.82008557879999966</v>
      </c>
      <c r="BQ28" s="110">
        <f t="shared" si="25"/>
        <v>0.43483777919999989</v>
      </c>
      <c r="BR28" s="110">
        <f t="shared" si="26"/>
        <v>2.1514279619999988</v>
      </c>
      <c r="BS28" s="110">
        <f t="shared" si="27"/>
        <v>36.980779906000002</v>
      </c>
      <c r="BT28" s="110">
        <f t="shared" si="28"/>
        <v>3.0719615535999991</v>
      </c>
      <c r="BU28" s="110">
        <f t="shared" si="29"/>
        <v>1.8676245081999991</v>
      </c>
      <c r="BV28" s="110">
        <f t="shared" si="30"/>
        <v>0.20915364818153689</v>
      </c>
      <c r="BW28" s="107"/>
      <c r="BY28" s="54">
        <f t="shared" si="5"/>
        <v>5.7852328337745043</v>
      </c>
      <c r="BZ28" s="54">
        <f t="shared" si="5"/>
        <v>7.722564295239148</v>
      </c>
      <c r="CA28" s="54">
        <f t="shared" si="5"/>
        <v>2.5454859839602366</v>
      </c>
      <c r="CB28" s="54">
        <f t="shared" si="5"/>
        <v>12.2862331134708</v>
      </c>
      <c r="CC28" s="54">
        <f t="shared" si="5"/>
        <v>301.35899421345243</v>
      </c>
      <c r="CD28" s="54">
        <f t="shared" si="5"/>
        <v>26.05791249896787</v>
      </c>
      <c r="CE28" s="54">
        <f t="shared" si="5"/>
        <v>7.6542607426884208</v>
      </c>
      <c r="CW28" s="54">
        <f t="shared" si="6"/>
        <v>1.9197146741460207E-2</v>
      </c>
      <c r="CX28" s="54">
        <f t="shared" si="6"/>
        <v>2.5625796619726103E-2</v>
      </c>
      <c r="CY28" s="54">
        <f t="shared" si="6"/>
        <v>8.4466899373750563E-3</v>
      </c>
      <c r="CZ28" s="54">
        <f t="shared" si="6"/>
        <v>4.0769425666348176E-2</v>
      </c>
      <c r="DA28" s="54">
        <f t="shared" si="6"/>
        <v>1</v>
      </c>
      <c r="DB28" s="54">
        <f t="shared" si="6"/>
        <v>8.6468009912825314E-2</v>
      </c>
      <c r="DC28" s="54">
        <f t="shared" si="6"/>
        <v>2.5399144839416712E-2</v>
      </c>
    </row>
    <row r="29" spans="2:107" x14ac:dyDescent="0.2">
      <c r="B29" t="s">
        <v>36</v>
      </c>
      <c r="C29" s="50" t="s">
        <v>341</v>
      </c>
      <c r="D29" s="8">
        <f>(D18/100/$U$9)/(D$18/100/$U$9)</f>
        <v>1</v>
      </c>
      <c r="E29" s="8"/>
      <c r="F29" s="8"/>
      <c r="G29" s="8">
        <f>(G18/100/$U$9)/(G$18/100/$U$9)</f>
        <v>1</v>
      </c>
      <c r="I29" s="54">
        <v>0.23809523809523836</v>
      </c>
      <c r="J29" s="56">
        <f t="shared" si="7"/>
        <v>0.76190476190476164</v>
      </c>
      <c r="K29" s="8">
        <f t="shared" si="31"/>
        <v>1</v>
      </c>
      <c r="L29" s="8">
        <f t="shared" si="38"/>
        <v>0.23809523809523836</v>
      </c>
      <c r="M29" s="8">
        <f t="shared" si="8"/>
        <v>0.76190476190476164</v>
      </c>
      <c r="N29" s="7">
        <f t="shared" si="9"/>
        <v>0.68238411690476264</v>
      </c>
      <c r="O29" s="7">
        <f t="shared" si="32"/>
        <v>0.9553399747619058</v>
      </c>
      <c r="P29" s="7">
        <f t="shared" si="10"/>
        <v>0.4453592609523811</v>
      </c>
      <c r="Q29" s="7">
        <f t="shared" si="11"/>
        <v>2.5288428119047648</v>
      </c>
      <c r="R29" s="7">
        <f t="shared" si="33"/>
        <v>36.224737983333327</v>
      </c>
      <c r="S29" s="7">
        <f t="shared" si="34"/>
        <v>3.3390018495238114</v>
      </c>
      <c r="T29" s="7">
        <f t="shared" si="39"/>
        <v>2.0614577478571445</v>
      </c>
      <c r="U29" s="7">
        <f t="shared" si="40"/>
        <v>0.2257362125062258</v>
      </c>
      <c r="V29" s="106"/>
      <c r="W29" s="107"/>
      <c r="X29" s="109">
        <f t="shared" si="12"/>
        <v>6.2943680227425558</v>
      </c>
      <c r="Y29" s="109">
        <f t="shared" si="13"/>
        <v>8.3353630145467257</v>
      </c>
      <c r="Z29" s="109">
        <f t="shared" si="14"/>
        <v>2.4155617211056231</v>
      </c>
      <c r="AA29" s="109">
        <f t="shared" si="15"/>
        <v>13.380673935452561</v>
      </c>
      <c r="AB29" s="109">
        <f t="shared" si="35"/>
        <v>273.51273660692016</v>
      </c>
      <c r="AC29" s="109">
        <f t="shared" si="36"/>
        <v>26.24247034747486</v>
      </c>
      <c r="AD29" s="109">
        <f t="shared" si="16"/>
        <v>7.8280273802583338</v>
      </c>
      <c r="AE29" s="109">
        <f t="shared" si="17"/>
        <v>2.3013070984655937E-2</v>
      </c>
      <c r="AF29" s="109">
        <f t="shared" si="17"/>
        <v>3.047522802028018E-2</v>
      </c>
      <c r="AG29" s="110">
        <f t="shared" si="17"/>
        <v>8.8316242639082526E-3</v>
      </c>
      <c r="AH29" s="109">
        <f t="shared" si="17"/>
        <v>4.8921575285478011E-2</v>
      </c>
      <c r="AI29" s="109">
        <f t="shared" si="17"/>
        <v>1</v>
      </c>
      <c r="AJ29" s="109">
        <f t="shared" si="17"/>
        <v>9.5946063327900247E-2</v>
      </c>
      <c r="AK29" s="109">
        <f t="shared" si="17"/>
        <v>2.8620339503634934E-2</v>
      </c>
      <c r="AL29" s="109"/>
      <c r="AM29" s="109"/>
      <c r="AN29" s="109"/>
      <c r="AO29" s="109"/>
      <c r="AP29" s="109"/>
      <c r="AQ29" s="109"/>
      <c r="AR29" s="109"/>
      <c r="AS29" s="109"/>
      <c r="AT29" s="109"/>
      <c r="AU29" s="109"/>
      <c r="AV29" s="109"/>
      <c r="AW29" s="109"/>
      <c r="AX29" s="109"/>
      <c r="AY29" s="109"/>
      <c r="AZ29" s="109"/>
      <c r="BA29" s="109"/>
      <c r="BB29" s="106">
        <v>16</v>
      </c>
      <c r="BC29" s="109">
        <f t="shared" si="37"/>
        <v>0.80000000000000016</v>
      </c>
      <c r="BD29" s="109">
        <f t="shared" si="18"/>
        <v>0.19999999999999984</v>
      </c>
      <c r="BE29" s="76">
        <f t="shared" si="1"/>
        <v>1</v>
      </c>
      <c r="BF29" s="186">
        <f t="shared" si="19"/>
        <v>0</v>
      </c>
      <c r="BG29" s="186">
        <f t="shared" si="2"/>
        <v>0</v>
      </c>
      <c r="BH29" s="186"/>
      <c r="BI29" s="186"/>
      <c r="BJ29" s="186">
        <f t="shared" si="20"/>
        <v>0</v>
      </c>
      <c r="BK29" s="186">
        <f t="shared" si="3"/>
        <v>0</v>
      </c>
      <c r="BL29" s="186">
        <f t="shared" si="21"/>
        <v>0</v>
      </c>
      <c r="BM29" s="186">
        <f t="shared" si="4"/>
        <v>0</v>
      </c>
      <c r="BN29" s="187">
        <f t="shared" si="22"/>
        <v>1.1999999999999997</v>
      </c>
      <c r="BO29" s="110">
        <f t="shared" si="23"/>
        <v>0.49250388183333277</v>
      </c>
      <c r="BP29" s="110">
        <f t="shared" si="24"/>
        <v>0.70173798233333318</v>
      </c>
      <c r="BQ29" s="110">
        <f t="shared" si="25"/>
        <v>0.42563148266666662</v>
      </c>
      <c r="BR29" s="110">
        <f t="shared" si="26"/>
        <v>1.8211899683333324</v>
      </c>
      <c r="BS29" s="110">
        <f t="shared" si="27"/>
        <v>37.642316588333344</v>
      </c>
      <c r="BT29" s="110">
        <f t="shared" si="28"/>
        <v>2.8383012946666657</v>
      </c>
      <c r="BU29" s="110">
        <f t="shared" si="29"/>
        <v>1.6980204234999992</v>
      </c>
      <c r="BV29" s="110">
        <f t="shared" si="30"/>
        <v>0.19464390439743429</v>
      </c>
      <c r="BW29" s="107"/>
      <c r="BY29" s="54">
        <f t="shared" ref="BY29:CE33" si="41">(BO29/N$9/100)/($BV29/$U$9/100)</f>
        <v>5.2685766951135147</v>
      </c>
      <c r="BZ29" s="54">
        <f t="shared" si="41"/>
        <v>7.1007133076152682</v>
      </c>
      <c r="CA29" s="54">
        <f t="shared" si="41"/>
        <v>2.6773294892203938</v>
      </c>
      <c r="CB29" s="54">
        <f t="shared" si="41"/>
        <v>11.175625201603333</v>
      </c>
      <c r="CC29" s="54">
        <f t="shared" si="41"/>
        <v>329.61659699339498</v>
      </c>
      <c r="CD29" s="54">
        <f t="shared" si="41"/>
        <v>25.870628360225712</v>
      </c>
      <c r="CE29" s="54">
        <f t="shared" si="41"/>
        <v>7.47792722275054</v>
      </c>
      <c r="CW29" s="54">
        <f t="shared" ref="CW29:DC33" si="42">BY29/$CC29</f>
        <v>1.598395451919276E-2</v>
      </c>
      <c r="CX29" s="54">
        <f t="shared" si="42"/>
        <v>2.1542341533723062E-2</v>
      </c>
      <c r="CY29" s="54">
        <f t="shared" si="42"/>
        <v>8.1225566723329874E-3</v>
      </c>
      <c r="CZ29" s="54">
        <f t="shared" si="42"/>
        <v>3.3904922578359351E-2</v>
      </c>
      <c r="DA29" s="54">
        <f t="shared" si="42"/>
        <v>1</v>
      </c>
      <c r="DB29" s="54">
        <f t="shared" si="42"/>
        <v>7.8487031891613518E-2</v>
      </c>
      <c r="DC29" s="54">
        <f t="shared" si="42"/>
        <v>2.2686743601386027E-2</v>
      </c>
    </row>
    <row r="30" spans="2:107" x14ac:dyDescent="0.2">
      <c r="B30" t="s">
        <v>36</v>
      </c>
      <c r="C30" s="50" t="s">
        <v>51</v>
      </c>
      <c r="D30" s="8">
        <f>(D19/100/$N$9)/(D$18/100/$U$9)</f>
        <v>10.115317806557586</v>
      </c>
      <c r="E30" s="8"/>
      <c r="F30" s="8"/>
      <c r="G30" s="8">
        <f>(G19/100/$N$9)/(G$18/100/$U$9)</f>
        <v>0.84331963709637681</v>
      </c>
      <c r="I30" s="54">
        <v>0.1904761904761908</v>
      </c>
      <c r="J30" s="56">
        <f t="shared" si="7"/>
        <v>0.8095238095238092</v>
      </c>
      <c r="K30" s="8">
        <f t="shared" si="31"/>
        <v>1</v>
      </c>
      <c r="L30" s="8">
        <f t="shared" si="38"/>
        <v>0.1904761904761908</v>
      </c>
      <c r="M30" s="8">
        <f t="shared" si="8"/>
        <v>0.8095238095238092</v>
      </c>
      <c r="N30" s="7">
        <f t="shared" si="9"/>
        <v>0.55579729352381035</v>
      </c>
      <c r="O30" s="7">
        <f t="shared" si="32"/>
        <v>0.7862719798095249</v>
      </c>
      <c r="P30" s="7">
        <f t="shared" si="10"/>
        <v>0.43220740876190489</v>
      </c>
      <c r="Q30" s="7">
        <f t="shared" si="11"/>
        <v>2.0570742495238128</v>
      </c>
      <c r="R30" s="7">
        <f t="shared" si="33"/>
        <v>37.169790386666662</v>
      </c>
      <c r="S30" s="7">
        <f t="shared" si="34"/>
        <v>3.0052014796190498</v>
      </c>
      <c r="T30" s="7">
        <f t="shared" si="39"/>
        <v>1.8191661982857161</v>
      </c>
      <c r="U30" s="7">
        <f t="shared" si="40"/>
        <v>0.20500800710036493</v>
      </c>
      <c r="V30" s="106"/>
      <c r="W30" s="107"/>
      <c r="X30" s="109">
        <f t="shared" si="12"/>
        <v>5.6450794675269407</v>
      </c>
      <c r="Y30" s="109">
        <f t="shared" si="13"/>
        <v>7.5538747110105771</v>
      </c>
      <c r="Z30" s="109">
        <f t="shared" si="14"/>
        <v>2.5812511857983087</v>
      </c>
      <c r="AA30" s="109">
        <f t="shared" si="15"/>
        <v>11.984958385887353</v>
      </c>
      <c r="AB30" s="109">
        <f t="shared" si="35"/>
        <v>309.02443715575362</v>
      </c>
      <c r="AC30" s="109">
        <f t="shared" si="36"/>
        <v>26.007107910528212</v>
      </c>
      <c r="AD30" s="109">
        <f t="shared" si="16"/>
        <v>7.6064267297884181</v>
      </c>
      <c r="AE30" s="109">
        <f t="shared" si="17"/>
        <v>1.8267420918177173E-2</v>
      </c>
      <c r="AF30" s="109">
        <f t="shared" si="17"/>
        <v>2.4444263309840751E-2</v>
      </c>
      <c r="AG30" s="110">
        <f t="shared" si="17"/>
        <v>8.3529031216949164E-3</v>
      </c>
      <c r="AH30" s="109">
        <f t="shared" si="17"/>
        <v>3.8783205937356756E-2</v>
      </c>
      <c r="AI30" s="109">
        <f t="shared" si="17"/>
        <v>1</v>
      </c>
      <c r="AJ30" s="109">
        <f t="shared" si="17"/>
        <v>8.4158742104334563E-2</v>
      </c>
      <c r="AK30" s="109">
        <f t="shared" si="17"/>
        <v>2.4614321119059746E-2</v>
      </c>
      <c r="AL30" s="109"/>
      <c r="AM30" s="109"/>
      <c r="AN30" s="109"/>
      <c r="AO30" s="109"/>
      <c r="AP30" s="109"/>
      <c r="AQ30" s="109"/>
      <c r="AR30" s="109"/>
      <c r="AS30" s="109"/>
      <c r="AT30" s="109"/>
      <c r="AU30" s="109"/>
      <c r="AV30" s="109"/>
      <c r="AW30" s="109"/>
      <c r="AX30" s="109"/>
      <c r="AY30" s="109"/>
      <c r="AZ30" s="109"/>
      <c r="BA30" s="109"/>
      <c r="BB30" s="106">
        <v>17</v>
      </c>
      <c r="BC30" s="109">
        <f t="shared" si="37"/>
        <v>0.8500000000000002</v>
      </c>
      <c r="BD30" s="109">
        <f t="shared" si="18"/>
        <v>0.1499999999999998</v>
      </c>
      <c r="BE30" s="76">
        <f t="shared" si="1"/>
        <v>1</v>
      </c>
      <c r="BF30" s="186">
        <f t="shared" si="19"/>
        <v>0</v>
      </c>
      <c r="BG30" s="186">
        <f t="shared" si="2"/>
        <v>0</v>
      </c>
      <c r="BH30" s="186"/>
      <c r="BI30" s="186"/>
      <c r="BJ30" s="186">
        <f t="shared" si="20"/>
        <v>0</v>
      </c>
      <c r="BK30" s="186">
        <f t="shared" si="3"/>
        <v>0</v>
      </c>
      <c r="BL30" s="186">
        <f t="shared" si="21"/>
        <v>0</v>
      </c>
      <c r="BM30" s="186">
        <f t="shared" si="4"/>
        <v>0</v>
      </c>
      <c r="BN30" s="187">
        <f t="shared" si="22"/>
        <v>1.1499999999999999</v>
      </c>
      <c r="BO30" s="110">
        <f t="shared" si="23"/>
        <v>0.39618782056521651</v>
      </c>
      <c r="BP30" s="110">
        <f t="shared" si="24"/>
        <v>0.57309929052173858</v>
      </c>
      <c r="BQ30" s="110">
        <f t="shared" si="25"/>
        <v>0.41562463860869564</v>
      </c>
      <c r="BR30" s="110">
        <f t="shared" si="26"/>
        <v>1.4622356273913022</v>
      </c>
      <c r="BS30" s="110">
        <f t="shared" si="27"/>
        <v>38.361378199565216</v>
      </c>
      <c r="BT30" s="110">
        <f t="shared" si="28"/>
        <v>2.5843227523478243</v>
      </c>
      <c r="BU30" s="110">
        <f t="shared" si="29"/>
        <v>1.5136681575217379</v>
      </c>
      <c r="BV30" s="110">
        <f t="shared" si="30"/>
        <v>0.17887244376254008</v>
      </c>
      <c r="BW30" s="107"/>
      <c r="BY30" s="54">
        <f t="shared" si="41"/>
        <v>4.6119239406889934</v>
      </c>
      <c r="BZ30" s="54">
        <f t="shared" si="41"/>
        <v>6.310361401755558</v>
      </c>
      <c r="CA30" s="54">
        <f t="shared" si="41"/>
        <v>2.8448981957617354</v>
      </c>
      <c r="CB30" s="54">
        <f t="shared" si="41"/>
        <v>9.764079514168909</v>
      </c>
      <c r="CC30" s="54">
        <f t="shared" si="41"/>
        <v>365.53106952240262</v>
      </c>
      <c r="CD30" s="54">
        <f t="shared" si="41"/>
        <v>25.632596453968308</v>
      </c>
      <c r="CE30" s="54">
        <f t="shared" si="41"/>
        <v>7.2538131884826589</v>
      </c>
      <c r="CW30" s="54">
        <f t="shared" si="42"/>
        <v>1.2617050437640947E-2</v>
      </c>
      <c r="CX30" s="54">
        <f t="shared" si="42"/>
        <v>1.7263543178424153E-2</v>
      </c>
      <c r="CY30" s="54">
        <f t="shared" si="42"/>
        <v>7.7829176039093924E-3</v>
      </c>
      <c r="CZ30" s="54">
        <f t="shared" si="42"/>
        <v>2.6712037165340031E-2</v>
      </c>
      <c r="DA30" s="54">
        <f t="shared" si="42"/>
        <v>1</v>
      </c>
      <c r="DB30" s="54">
        <f t="shared" si="42"/>
        <v>7.0124261905997409E-2</v>
      </c>
      <c r="DC30" s="54">
        <f t="shared" si="42"/>
        <v>1.9844587213777427E-2</v>
      </c>
    </row>
    <row r="31" spans="2:107" x14ac:dyDescent="0.2">
      <c r="B31" t="s">
        <v>36</v>
      </c>
      <c r="C31" s="50" t="s">
        <v>53</v>
      </c>
      <c r="D31" s="8">
        <f>(D20/100/$P$9)/(D$18/100/$U$9)</f>
        <v>1.4405081502203125</v>
      </c>
      <c r="E31" s="8"/>
      <c r="F31" s="8"/>
      <c r="G31" s="8">
        <f>(G20/100/$P$9)/(G$18/100/$U$9)</f>
        <v>3.8065939236241495</v>
      </c>
      <c r="I31" s="54">
        <v>0.14285714285714313</v>
      </c>
      <c r="J31" s="56">
        <f t="shared" si="7"/>
        <v>0.85714285714285687</v>
      </c>
      <c r="K31" s="8">
        <f t="shared" si="31"/>
        <v>1</v>
      </c>
      <c r="L31" s="8">
        <f t="shared" si="38"/>
        <v>0.14285714285714313</v>
      </c>
      <c r="M31" s="8">
        <f t="shared" si="8"/>
        <v>0.85714285714285687</v>
      </c>
      <c r="N31" s="7">
        <f t="shared" si="9"/>
        <v>0.42921047014285779</v>
      </c>
      <c r="O31" s="7">
        <f t="shared" si="32"/>
        <v>0.61720398485714389</v>
      </c>
      <c r="P31" s="7">
        <f t="shared" si="10"/>
        <v>0.41905555657142868</v>
      </c>
      <c r="Q31" s="7">
        <f t="shared" si="11"/>
        <v>1.5853056871428599</v>
      </c>
      <c r="R31" s="7">
        <f t="shared" si="33"/>
        <v>38.114842789999997</v>
      </c>
      <c r="S31" s="7">
        <f t="shared" si="34"/>
        <v>2.6714011097142878</v>
      </c>
      <c r="T31" s="7">
        <f t="shared" si="39"/>
        <v>1.5768746487142871</v>
      </c>
      <c r="U31" s="7">
        <f t="shared" si="40"/>
        <v>0.184279801694504</v>
      </c>
      <c r="V31" s="106"/>
      <c r="W31" s="107"/>
      <c r="X31" s="109">
        <f t="shared" si="12"/>
        <v>4.8497240464212137</v>
      </c>
      <c r="Y31" s="109">
        <f t="shared" si="13"/>
        <v>6.5965792931947087</v>
      </c>
      <c r="Z31" s="109">
        <f t="shared" si="14"/>
        <v>2.784214895700253</v>
      </c>
      <c r="AA31" s="109">
        <f t="shared" si="15"/>
        <v>10.275256405541175</v>
      </c>
      <c r="AB31" s="109">
        <f t="shared" si="35"/>
        <v>352.52500915462196</v>
      </c>
      <c r="AC31" s="109">
        <f t="shared" si="36"/>
        <v>25.718797284002537</v>
      </c>
      <c r="AD31" s="109">
        <f t="shared" si="16"/>
        <v>7.3349738029564122</v>
      </c>
      <c r="AE31" s="109">
        <f t="shared" si="17"/>
        <v>1.3757106362612881E-2</v>
      </c>
      <c r="AF31" s="109">
        <f t="shared" si="17"/>
        <v>1.8712372517949116E-2</v>
      </c>
      <c r="AG31" s="110">
        <f t="shared" si="17"/>
        <v>7.8979216322183285E-3</v>
      </c>
      <c r="AH31" s="109">
        <f t="shared" si="17"/>
        <v>2.9147595599477927E-2</v>
      </c>
      <c r="AI31" s="109">
        <f t="shared" si="17"/>
        <v>1</v>
      </c>
      <c r="AJ31" s="109">
        <f t="shared" si="17"/>
        <v>7.2955950971188954E-2</v>
      </c>
      <c r="AK31" s="109">
        <f t="shared" si="17"/>
        <v>2.0806960109145616E-2</v>
      </c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6">
        <v>18</v>
      </c>
      <c r="BC31" s="109">
        <f t="shared" si="37"/>
        <v>0.90000000000000024</v>
      </c>
      <c r="BD31" s="109">
        <f t="shared" si="18"/>
        <v>9.9999999999999756E-2</v>
      </c>
      <c r="BE31" s="76">
        <f t="shared" si="1"/>
        <v>1</v>
      </c>
      <c r="BF31" s="186">
        <f t="shared" si="19"/>
        <v>0</v>
      </c>
      <c r="BG31" s="186">
        <f t="shared" si="2"/>
        <v>0</v>
      </c>
      <c r="BH31" s="186"/>
      <c r="BI31" s="186"/>
      <c r="BJ31" s="186">
        <f t="shared" si="20"/>
        <v>0</v>
      </c>
      <c r="BK31" s="186">
        <f t="shared" si="3"/>
        <v>0</v>
      </c>
      <c r="BL31" s="186">
        <f t="shared" si="21"/>
        <v>0</v>
      </c>
      <c r="BM31" s="186">
        <f t="shared" si="4"/>
        <v>0</v>
      </c>
      <c r="BN31" s="187">
        <f t="shared" si="22"/>
        <v>1.0999999999999996</v>
      </c>
      <c r="BO31" s="110">
        <f t="shared" si="23"/>
        <v>0.29111575372727222</v>
      </c>
      <c r="BP31" s="110">
        <f t="shared" si="24"/>
        <v>0.4327661721818174</v>
      </c>
      <c r="BQ31" s="110">
        <f t="shared" si="25"/>
        <v>0.40470808145454545</v>
      </c>
      <c r="BR31" s="110">
        <f t="shared" si="26"/>
        <v>1.0706490736363619</v>
      </c>
      <c r="BS31" s="110">
        <f t="shared" si="27"/>
        <v>39.145809048181832</v>
      </c>
      <c r="BT31" s="110">
        <f t="shared" si="28"/>
        <v>2.307255251636362</v>
      </c>
      <c r="BU31" s="110">
        <f t="shared" si="29"/>
        <v>1.3125565946363622</v>
      </c>
      <c r="BV31" s="110">
        <f t="shared" si="30"/>
        <v>0.16166721397901918</v>
      </c>
      <c r="BW31" s="107"/>
      <c r="BY31" s="54">
        <f t="shared" si="41"/>
        <v>3.749455555111525</v>
      </c>
      <c r="BZ31" s="54">
        <f t="shared" si="41"/>
        <v>5.2722883445850401</v>
      </c>
      <c r="CA31" s="54">
        <f t="shared" si="41"/>
        <v>3.0649882065478371</v>
      </c>
      <c r="CB31" s="54">
        <f t="shared" si="41"/>
        <v>7.9101110018806651</v>
      </c>
      <c r="CC31" s="54">
        <f t="shared" si="41"/>
        <v>412.70226759055959</v>
      </c>
      <c r="CD31" s="54">
        <f t="shared" si="41"/>
        <v>25.319957859943592</v>
      </c>
      <c r="CE31" s="54">
        <f t="shared" si="41"/>
        <v>6.959454765377175</v>
      </c>
      <c r="CW31" s="54">
        <f t="shared" si="42"/>
        <v>9.0851343681768813E-3</v>
      </c>
      <c r="CX31" s="54">
        <f t="shared" si="42"/>
        <v>1.2775040891744404E-2</v>
      </c>
      <c r="CY31" s="54">
        <f t="shared" si="42"/>
        <v>7.4266328228382809E-3</v>
      </c>
      <c r="CZ31" s="54">
        <f t="shared" si="42"/>
        <v>1.9166628397904169E-2</v>
      </c>
      <c r="DA31" s="54">
        <f t="shared" si="42"/>
        <v>1</v>
      </c>
      <c r="DB31" s="54">
        <f t="shared" si="42"/>
        <v>6.1351632516503232E-2</v>
      </c>
      <c r="DC31" s="54">
        <f t="shared" si="42"/>
        <v>1.6863136725678532E-2</v>
      </c>
    </row>
    <row r="32" spans="2:107" x14ac:dyDescent="0.2">
      <c r="I32" s="54">
        <v>9.5238095238095566E-2</v>
      </c>
      <c r="J32" s="56">
        <f t="shared" si="7"/>
        <v>0.90476190476190443</v>
      </c>
      <c r="K32" s="8">
        <f t="shared" si="31"/>
        <v>1</v>
      </c>
      <c r="L32" s="8">
        <f t="shared" si="38"/>
        <v>9.5238095238095566E-2</v>
      </c>
      <c r="M32" s="8">
        <f t="shared" si="8"/>
        <v>0.90476190476190443</v>
      </c>
      <c r="N32" s="7">
        <f t="shared" si="9"/>
        <v>0.30262364676190562</v>
      </c>
      <c r="O32" s="7">
        <f t="shared" si="32"/>
        <v>0.44813598990476305</v>
      </c>
      <c r="P32" s="7">
        <f t="shared" si="10"/>
        <v>0.40590370438095241</v>
      </c>
      <c r="Q32" s="7">
        <f t="shared" si="11"/>
        <v>1.1135371247619081</v>
      </c>
      <c r="R32" s="7">
        <f t="shared" si="33"/>
        <v>39.059895193333325</v>
      </c>
      <c r="S32" s="7">
        <f t="shared" si="34"/>
        <v>2.3376007398095262</v>
      </c>
      <c r="T32" s="7">
        <f t="shared" si="39"/>
        <v>1.3345830991428589</v>
      </c>
      <c r="U32" s="7">
        <f t="shared" si="40"/>
        <v>0.16355159628864316</v>
      </c>
      <c r="V32" s="106"/>
      <c r="W32" s="107"/>
      <c r="X32" s="109">
        <f t="shared" si="12"/>
        <v>3.8527650835163749</v>
      </c>
      <c r="Y32" s="109">
        <f t="shared" si="13"/>
        <v>5.3966324246457411</v>
      </c>
      <c r="Z32" s="109">
        <f t="shared" si="14"/>
        <v>3.0386250428642114</v>
      </c>
      <c r="AA32" s="109">
        <f t="shared" si="15"/>
        <v>8.1321859392172939</v>
      </c>
      <c r="AB32" s="109">
        <f t="shared" si="35"/>
        <v>407.05193384128216</v>
      </c>
      <c r="AC32" s="109">
        <f t="shared" si="36"/>
        <v>25.357406821841746</v>
      </c>
      <c r="AD32" s="109">
        <f t="shared" si="16"/>
        <v>6.9947140634355769</v>
      </c>
      <c r="AE32" s="109">
        <f t="shared" si="17"/>
        <v>9.4650455217310091E-3</v>
      </c>
      <c r="AF32" s="109">
        <f t="shared" si="17"/>
        <v>1.325784740467539E-2</v>
      </c>
      <c r="AG32" s="110">
        <f t="shared" si="17"/>
        <v>7.4649566559952356E-3</v>
      </c>
      <c r="AH32" s="109">
        <f t="shared" si="17"/>
        <v>1.997825157707812E-2</v>
      </c>
      <c r="AI32" s="109">
        <f t="shared" si="17"/>
        <v>1</v>
      </c>
      <c r="AJ32" s="109">
        <f t="shared" si="17"/>
        <v>6.2295261890904355E-2</v>
      </c>
      <c r="AK32" s="109">
        <f t="shared" si="17"/>
        <v>1.7183836955219967E-2</v>
      </c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6">
        <v>19</v>
      </c>
      <c r="BC32" s="109">
        <f t="shared" si="37"/>
        <v>0.95000000000000029</v>
      </c>
      <c r="BD32" s="109">
        <f t="shared" si="18"/>
        <v>4.9999999999999711E-2</v>
      </c>
      <c r="BE32" s="76">
        <f t="shared" si="1"/>
        <v>1</v>
      </c>
      <c r="BF32" s="186">
        <f t="shared" si="19"/>
        <v>0</v>
      </c>
      <c r="BG32" s="186">
        <f t="shared" si="2"/>
        <v>0</v>
      </c>
      <c r="BH32" s="186"/>
      <c r="BI32" s="186"/>
      <c r="BJ32" s="186">
        <f t="shared" si="20"/>
        <v>0</v>
      </c>
      <c r="BK32" s="186">
        <f t="shared" si="3"/>
        <v>0</v>
      </c>
      <c r="BL32" s="186">
        <f t="shared" si="21"/>
        <v>0</v>
      </c>
      <c r="BM32" s="186">
        <f t="shared" si="4"/>
        <v>0</v>
      </c>
      <c r="BN32" s="187">
        <f t="shared" si="22"/>
        <v>1.0499999999999998</v>
      </c>
      <c r="BO32" s="110">
        <f t="shared" si="23"/>
        <v>0.17603682338095153</v>
      </c>
      <c r="BP32" s="110">
        <f t="shared" si="24"/>
        <v>0.27906799495238038</v>
      </c>
      <c r="BQ32" s="110">
        <f t="shared" si="25"/>
        <v>0.39275185219047604</v>
      </c>
      <c r="BR32" s="110">
        <f t="shared" si="26"/>
        <v>0.64176856238095037</v>
      </c>
      <c r="BS32" s="110">
        <f t="shared" si="27"/>
        <v>40.004947596666668</v>
      </c>
      <c r="BT32" s="110">
        <f t="shared" si="28"/>
        <v>2.0038003699047606</v>
      </c>
      <c r="BU32" s="110">
        <f t="shared" si="29"/>
        <v>1.092291549571426</v>
      </c>
      <c r="BV32" s="110">
        <f t="shared" si="30"/>
        <v>0.14282339088278195</v>
      </c>
      <c r="BW32" s="107"/>
      <c r="BY32" s="54">
        <f t="shared" si="41"/>
        <v>2.5664253681090656</v>
      </c>
      <c r="BZ32" s="54">
        <f t="shared" si="41"/>
        <v>3.848384832893565</v>
      </c>
      <c r="CA32" s="54">
        <f t="shared" si="41"/>
        <v>3.3668811581872404</v>
      </c>
      <c r="CB32" s="54">
        <f t="shared" si="41"/>
        <v>5.367060436241105</v>
      </c>
      <c r="CC32" s="54">
        <f t="shared" si="41"/>
        <v>477.4060320471973</v>
      </c>
      <c r="CD32" s="54">
        <f t="shared" si="41"/>
        <v>24.891117915734402</v>
      </c>
      <c r="CE32" s="54">
        <f t="shared" si="41"/>
        <v>6.555689356516341</v>
      </c>
      <c r="CW32" s="54">
        <f t="shared" si="42"/>
        <v>5.375770718907347E-3</v>
      </c>
      <c r="CX32" s="54">
        <f t="shared" si="42"/>
        <v>8.0610310187976559E-3</v>
      </c>
      <c r="CY32" s="54">
        <f t="shared" si="42"/>
        <v>7.0524478791134833E-3</v>
      </c>
      <c r="CZ32" s="54">
        <f t="shared" si="42"/>
        <v>1.1242129499759874E-2</v>
      </c>
      <c r="DA32" s="54">
        <f t="shared" si="42"/>
        <v>1</v>
      </c>
      <c r="DB32" s="54">
        <f t="shared" si="42"/>
        <v>5.2138256001913311E-2</v>
      </c>
      <c r="DC32" s="54">
        <f t="shared" si="42"/>
        <v>1.3731894690153878E-2</v>
      </c>
    </row>
    <row r="33" spans="1:107" x14ac:dyDescent="0.2">
      <c r="A33" s="224" t="s">
        <v>469</v>
      </c>
      <c r="B33" s="224"/>
      <c r="C33" s="75" t="s">
        <v>490</v>
      </c>
      <c r="D33" s="75" t="s">
        <v>430</v>
      </c>
      <c r="E33" s="75" t="s">
        <v>435</v>
      </c>
      <c r="F33" s="75"/>
      <c r="G33" s="75" t="s">
        <v>431</v>
      </c>
      <c r="H33" s="75" t="s">
        <v>433</v>
      </c>
      <c r="I33" s="54">
        <v>4.7619047619047894E-2</v>
      </c>
      <c r="J33" s="56">
        <f t="shared" si="7"/>
        <v>0.95238095238095211</v>
      </c>
      <c r="K33" s="8">
        <f t="shared" si="31"/>
        <v>1</v>
      </c>
      <c r="L33" s="8">
        <f t="shared" si="38"/>
        <v>4.7619047619047894E-2</v>
      </c>
      <c r="M33" s="8">
        <f t="shared" si="8"/>
        <v>0.95238095238095211</v>
      </c>
      <c r="N33" s="7">
        <f t="shared" si="9"/>
        <v>0.17603682338095311</v>
      </c>
      <c r="O33" s="7">
        <f t="shared" si="32"/>
        <v>0.27906799495238194</v>
      </c>
      <c r="P33" s="7">
        <f t="shared" si="10"/>
        <v>0.39275185219047631</v>
      </c>
      <c r="Q33" s="7">
        <f t="shared" si="11"/>
        <v>0.64176856238095525</v>
      </c>
      <c r="R33" s="7">
        <f t="shared" si="33"/>
        <v>40.004947596666661</v>
      </c>
      <c r="S33" s="7">
        <f t="shared" si="34"/>
        <v>2.0038003699047637</v>
      </c>
      <c r="T33" s="7">
        <f t="shared" si="39"/>
        <v>1.09229154957143</v>
      </c>
      <c r="U33" s="7">
        <f t="shared" si="40"/>
        <v>0.14282339088278223</v>
      </c>
      <c r="V33" s="106"/>
      <c r="W33" s="107"/>
      <c r="X33" s="109">
        <f t="shared" si="12"/>
        <v>2.5664253681090838</v>
      </c>
      <c r="Y33" s="109">
        <f t="shared" si="13"/>
        <v>3.8483848328935788</v>
      </c>
      <c r="Z33" s="109">
        <f t="shared" si="14"/>
        <v>3.3668811581872364</v>
      </c>
      <c r="AA33" s="109">
        <f t="shared" si="15"/>
        <v>5.3670604362411352</v>
      </c>
      <c r="AB33" s="109">
        <f t="shared" si="35"/>
        <v>477.40603204719633</v>
      </c>
      <c r="AC33" s="109">
        <f t="shared" si="36"/>
        <v>24.891117915734391</v>
      </c>
      <c r="AD33" s="109">
        <f t="shared" si="16"/>
        <v>6.5556893565163534</v>
      </c>
      <c r="AE33" s="109">
        <f t="shared" si="17"/>
        <v>5.3757707189073956E-3</v>
      </c>
      <c r="AF33" s="109">
        <f t="shared" si="17"/>
        <v>8.061031018797701E-3</v>
      </c>
      <c r="AG33" s="110">
        <f t="shared" si="17"/>
        <v>7.0524478791134894E-3</v>
      </c>
      <c r="AH33" s="109">
        <f t="shared" si="17"/>
        <v>1.1242129499759961E-2</v>
      </c>
      <c r="AI33" s="109">
        <f t="shared" si="17"/>
        <v>1</v>
      </c>
      <c r="AJ33" s="109">
        <f t="shared" si="17"/>
        <v>5.2138256001913394E-2</v>
      </c>
      <c r="AK33" s="109">
        <f t="shared" si="17"/>
        <v>1.3731894690153932E-2</v>
      </c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63" t="s">
        <v>73</v>
      </c>
      <c r="BC33" s="74">
        <f>$BD$6</f>
        <v>1</v>
      </c>
      <c r="BD33" s="109">
        <f t="shared" si="18"/>
        <v>0</v>
      </c>
      <c r="BE33" s="76">
        <f t="shared" si="1"/>
        <v>1</v>
      </c>
      <c r="BF33" s="186">
        <f t="shared" si="19"/>
        <v>0</v>
      </c>
      <c r="BG33" s="186">
        <f t="shared" si="2"/>
        <v>0</v>
      </c>
      <c r="BH33" s="186"/>
      <c r="BI33" s="186"/>
      <c r="BJ33" s="186">
        <f t="shared" si="20"/>
        <v>0</v>
      </c>
      <c r="BK33" s="186">
        <f t="shared" si="3"/>
        <v>0</v>
      </c>
      <c r="BL33" s="186">
        <f t="shared" si="21"/>
        <v>0</v>
      </c>
      <c r="BM33" s="186">
        <f t="shared" si="4"/>
        <v>0</v>
      </c>
      <c r="BN33" s="187">
        <f t="shared" si="22"/>
        <v>1</v>
      </c>
      <c r="BO33" s="110">
        <f>((($BD$6*$D$19/100 + $BD$7*$G$19/100)-$BC33*$D$19/100*(1-BO$9))/$BN33)*100</f>
        <v>4.9449999999999841E-2</v>
      </c>
      <c r="BP33" s="110">
        <f t="shared" si="24"/>
        <v>0.11000000000000038</v>
      </c>
      <c r="BQ33" s="110">
        <f t="shared" si="25"/>
        <v>0.37959999999999999</v>
      </c>
      <c r="BR33" s="110">
        <f t="shared" si="26"/>
        <v>0.16999999999999932</v>
      </c>
      <c r="BS33" s="110">
        <f t="shared" si="27"/>
        <v>40.949999999999996</v>
      </c>
      <c r="BT33" s="110">
        <f t="shared" si="28"/>
        <v>1.6699999999999993</v>
      </c>
      <c r="BU33" s="110">
        <f t="shared" si="29"/>
        <v>0.84999999999999942</v>
      </c>
      <c r="BV33" s="110">
        <f t="shared" si="30"/>
        <v>0.12209518547692116</v>
      </c>
      <c r="BW33" s="107"/>
      <c r="BX33" s="63" t="s">
        <v>73</v>
      </c>
      <c r="BY33" s="54">
        <f>(BO33/N$9/100)/($BV33/$U$9/100)</f>
        <v>0.84331963709637436</v>
      </c>
      <c r="BZ33" s="54">
        <f t="shared" si="41"/>
        <v>1.7744425714357919</v>
      </c>
      <c r="CA33" s="54">
        <f t="shared" si="41"/>
        <v>3.8065939236241504</v>
      </c>
      <c r="CB33" s="54">
        <f t="shared" si="41"/>
        <v>1.6630594292917269</v>
      </c>
      <c r="CC33" s="54">
        <f t="shared" si="41"/>
        <v>571.64828264929156</v>
      </c>
      <c r="CD33" s="54">
        <f t="shared" si="41"/>
        <v>24.266504466582802</v>
      </c>
      <c r="CE33" s="54">
        <f t="shared" si="41"/>
        <v>5.9675974399815619</v>
      </c>
      <c r="CV33" s="63" t="s">
        <v>73</v>
      </c>
      <c r="CW33" s="54">
        <f>BY33/$CC33</f>
        <v>1.4752421422277835E-3</v>
      </c>
      <c r="CX33" s="54">
        <f t="shared" si="42"/>
        <v>3.1040809975185725E-3</v>
      </c>
      <c r="CY33" s="54">
        <f t="shared" si="42"/>
        <v>6.6589790246243258E-3</v>
      </c>
      <c r="CZ33" s="54">
        <f t="shared" si="42"/>
        <v>2.9092354158475105E-3</v>
      </c>
      <c r="DA33" s="54">
        <f t="shared" si="42"/>
        <v>1</v>
      </c>
      <c r="DB33" s="54">
        <f t="shared" si="42"/>
        <v>4.2450060995758113E-2</v>
      </c>
      <c r="DC33" s="54">
        <f t="shared" si="42"/>
        <v>1.0439281672158379E-2</v>
      </c>
    </row>
    <row r="34" spans="1:107" x14ac:dyDescent="0.2">
      <c r="A34" s="2" t="s">
        <v>35</v>
      </c>
      <c r="B34" s="50" t="s">
        <v>63</v>
      </c>
      <c r="C34" s="105">
        <f>AVERAGE('Morgan-Pompa solid data'!$I$42,'Morgan-Pompa solid data'!$I$50)</f>
        <v>5.195205810837634</v>
      </c>
      <c r="D34" s="7">
        <f>AVERAGE('Morgan-Pompa solid data'!$I$35:$I$41,'Morgan-Pompa solid data'!$I$43:$I$49)</f>
        <v>2.7869149818522092</v>
      </c>
      <c r="E34" s="7">
        <f t="shared" ref="E34:E41" si="43">C34</f>
        <v>5.195205810837634</v>
      </c>
      <c r="F34" s="7"/>
      <c r="G34" s="7">
        <f t="shared" ref="G34:G41" si="44">HLOOKUP(B34,$BO$42:$BV$62,21,FALSE)</f>
        <v>6.7070179969829811</v>
      </c>
      <c r="H34" s="4">
        <f>(G34-E34)^2/$B$42^2</f>
        <v>228.5576086177573</v>
      </c>
      <c r="I34" s="54">
        <v>3.3306690738754696E-16</v>
      </c>
      <c r="J34" s="55">
        <f t="shared" si="7"/>
        <v>0.99999999999999967</v>
      </c>
      <c r="K34" s="8">
        <f t="shared" si="31"/>
        <v>1</v>
      </c>
      <c r="L34" s="7">
        <f t="shared" si="38"/>
        <v>3.3306690738754696E-16</v>
      </c>
      <c r="M34" s="7">
        <f t="shared" si="8"/>
        <v>0.99999999999999967</v>
      </c>
      <c r="N34" s="7">
        <f>(($D$19/100)*$I34+($G$19/100*$J34))/$K34*100</f>
        <v>4.9450000000000882E-2</v>
      </c>
      <c r="O34" s="7">
        <f t="shared" si="32"/>
        <v>0.11000000000000118</v>
      </c>
      <c r="P34" s="7">
        <f t="shared" si="10"/>
        <v>0.37960000000000005</v>
      </c>
      <c r="Q34" s="7">
        <f t="shared" si="11"/>
        <v>0.17000000000000332</v>
      </c>
      <c r="R34" s="7">
        <f>(($D$15/100)*$I34+($G$15/100*$J34))/$K34*100</f>
        <v>40.949999999999996</v>
      </c>
      <c r="S34" s="7">
        <f>(($D$16/100)*$I34+($G$16/100*$J34))/$K34*100</f>
        <v>1.6700000000000021</v>
      </c>
      <c r="T34" s="7">
        <f t="shared" si="39"/>
        <v>0.85000000000000164</v>
      </c>
      <c r="U34" s="7">
        <f>(($D$18/100)*$I34+($G$18/100*$J34))/$K34*100</f>
        <v>0.12209518547692136</v>
      </c>
      <c r="V34" s="106"/>
      <c r="W34" s="108" t="s">
        <v>74</v>
      </c>
      <c r="X34" s="109">
        <f t="shared" si="12"/>
        <v>0.84331963709639068</v>
      </c>
      <c r="Y34" s="109">
        <f t="shared" si="13"/>
        <v>1.7744425714358019</v>
      </c>
      <c r="Z34" s="109">
        <f t="shared" si="14"/>
        <v>3.8065939236241451</v>
      </c>
      <c r="AA34" s="109">
        <f t="shared" si="15"/>
        <v>1.6630594292917633</v>
      </c>
      <c r="AB34" s="109">
        <f t="shared" si="35"/>
        <v>571.64828264929065</v>
      </c>
      <c r="AC34" s="109">
        <f t="shared" si="36"/>
        <v>24.266504466582798</v>
      </c>
      <c r="AD34" s="109">
        <f t="shared" si="16"/>
        <v>5.9675974399815663</v>
      </c>
      <c r="AE34" s="109">
        <f t="shared" si="17"/>
        <v>1.4752421422278145E-3</v>
      </c>
      <c r="AF34" s="109">
        <f t="shared" si="17"/>
        <v>3.104080997518595E-3</v>
      </c>
      <c r="AG34" s="110">
        <f t="shared" si="17"/>
        <v>6.6589790246243266E-3</v>
      </c>
      <c r="AH34" s="109">
        <f t="shared" si="17"/>
        <v>2.9092354158475786E-3</v>
      </c>
      <c r="AI34" s="109">
        <f t="shared" si="17"/>
        <v>1</v>
      </c>
      <c r="AJ34" s="109">
        <f t="shared" si="17"/>
        <v>4.2450060995758175E-2</v>
      </c>
      <c r="AK34" s="109">
        <f t="shared" si="17"/>
        <v>1.0439281672158403E-2</v>
      </c>
      <c r="AL34" s="109"/>
      <c r="AM34" s="109"/>
      <c r="AN34" s="109"/>
      <c r="AO34" s="109"/>
      <c r="AP34" s="109"/>
      <c r="AQ34" s="109"/>
      <c r="AR34" s="109"/>
      <c r="AS34" s="109"/>
      <c r="AT34" s="109"/>
      <c r="AU34" s="109"/>
      <c r="AV34" s="109"/>
      <c r="AW34" s="109"/>
      <c r="AX34" s="109"/>
      <c r="AY34" s="109"/>
      <c r="AZ34" s="109"/>
      <c r="BA34" s="109"/>
      <c r="BB34" s="109"/>
      <c r="BC34" s="109"/>
      <c r="BD34" s="109"/>
      <c r="BE34" s="109"/>
      <c r="BF34" s="109"/>
      <c r="BG34" s="109"/>
      <c r="BH34" s="109"/>
      <c r="BI34" s="109"/>
      <c r="BJ34" s="109"/>
      <c r="BK34" s="109"/>
      <c r="BL34" s="109"/>
      <c r="BM34" s="109"/>
      <c r="BN34" s="109"/>
      <c r="BO34" s="110"/>
      <c r="BP34" s="109"/>
      <c r="BQ34" s="109"/>
      <c r="BR34" s="109"/>
      <c r="BS34" s="109"/>
      <c r="BT34" s="109"/>
      <c r="BU34" s="109"/>
      <c r="BV34" s="106"/>
      <c r="BW34" s="107"/>
    </row>
    <row r="35" spans="1:107" x14ac:dyDescent="0.2">
      <c r="A35" s="2" t="s">
        <v>35</v>
      </c>
      <c r="B35" s="50" t="s">
        <v>65</v>
      </c>
      <c r="C35" s="105">
        <f>AVERAGE('Morgan-Pompa solid data'!$F$42,'Morgan-Pompa solid data'!$F$50)</f>
        <v>8.2904720295308234</v>
      </c>
      <c r="D35" s="7">
        <f>AVERAGE('Morgan-Pompa solid data'!$F$35:$F$41,'Morgan-Pompa solid data'!$F$43:$F$49)</f>
        <v>4.7057617714418187</v>
      </c>
      <c r="E35" s="7">
        <f t="shared" si="43"/>
        <v>8.2904720295308234</v>
      </c>
      <c r="F35" s="7"/>
      <c r="G35" s="7">
        <f t="shared" si="44"/>
        <v>8.2437256900989766</v>
      </c>
      <c r="H35" s="4">
        <f t="shared" ref="H35:H41" si="45">(G35-E35)^2/$B$42^2</f>
        <v>0.21852202502774348</v>
      </c>
      <c r="J35" s="8"/>
      <c r="BC35" t="s">
        <v>470</v>
      </c>
      <c r="BN35" s="79"/>
      <c r="BO35" s="105"/>
      <c r="BT35" s="59"/>
    </row>
    <row r="36" spans="1:107" x14ac:dyDescent="0.2">
      <c r="A36" s="2" t="s">
        <v>35</v>
      </c>
      <c r="B36" s="50" t="s">
        <v>66</v>
      </c>
      <c r="C36" s="105">
        <f>AVERAGE('Morgan-Pompa solid data'!$M$42,'Morgan-Pompa solid data'!$M$50)</f>
        <v>21.501730910059251</v>
      </c>
      <c r="D36" s="7">
        <f>AVERAGE('Morgan-Pompa solid data'!$M$35:$M$41,'Morgan-Pompa solid data'!$M$43:$M$49)</f>
        <v>27.458111025516651</v>
      </c>
      <c r="E36" s="7">
        <f t="shared" si="43"/>
        <v>21.501730910059251</v>
      </c>
      <c r="F36" s="7"/>
      <c r="G36" s="7">
        <f t="shared" si="44"/>
        <v>20.53524612188329</v>
      </c>
      <c r="H36" s="4">
        <f t="shared" si="45"/>
        <v>93.409284577553251</v>
      </c>
      <c r="BC36" s="1" t="s">
        <v>4</v>
      </c>
      <c r="BD36" s="4" t="s">
        <v>5</v>
      </c>
      <c r="BE36" t="s">
        <v>6</v>
      </c>
      <c r="BF36" s="4"/>
      <c r="BG36" s="4"/>
      <c r="BH36" s="4"/>
      <c r="BI36" s="4"/>
      <c r="BJ36" s="4"/>
      <c r="BK36" s="4"/>
      <c r="BL36" s="4"/>
      <c r="BM36" s="4"/>
      <c r="BN36" s="79"/>
      <c r="BO36" s="105"/>
      <c r="BS36" s="81"/>
    </row>
    <row r="37" spans="1:107" x14ac:dyDescent="0.2">
      <c r="A37" s="2" t="s">
        <v>35</v>
      </c>
      <c r="B37" s="50" t="s">
        <v>67</v>
      </c>
      <c r="C37" s="105">
        <f>AVERAGE('Morgan-Pompa solid data'!$D$42,'Morgan-Pompa solid data'!$D$50)</f>
        <v>7.7272133462794601</v>
      </c>
      <c r="D37" s="7">
        <f>AVERAGE('Morgan-Pompa solid data'!$D$35:$D$41,'Morgan-Pompa solid data'!$D$43:$D$49)</f>
        <v>5.7186671374349016</v>
      </c>
      <c r="E37" s="7">
        <f t="shared" si="43"/>
        <v>7.7272133462794601</v>
      </c>
      <c r="F37" s="7"/>
      <c r="G37" s="7">
        <f t="shared" si="44"/>
        <v>6.7328753232784475</v>
      </c>
      <c r="H37" s="4">
        <f t="shared" si="45"/>
        <v>98.870810398556216</v>
      </c>
      <c r="BC37" s="79" t="s">
        <v>10</v>
      </c>
      <c r="BD37" s="211">
        <v>1</v>
      </c>
      <c r="BE37" t="s">
        <v>11</v>
      </c>
      <c r="BF37" s="4"/>
      <c r="BG37" s="4"/>
      <c r="BH37" s="4"/>
      <c r="BI37" s="4"/>
      <c r="BJ37" s="4"/>
      <c r="BK37" s="4"/>
      <c r="BL37" s="4"/>
      <c r="BM37" s="4"/>
      <c r="BN37" s="218" t="s">
        <v>482</v>
      </c>
      <c r="BO37" s="215">
        <f>($BD$38*$G$19 + $H$56*$BD$37)/($BD$37+$BD$38)</f>
        <v>2.3776131639742282</v>
      </c>
      <c r="BP37" s="215">
        <f>($BD$38*$G$13 + $H$50*$BD$37)/($BD$37+$BD$38)</f>
        <v>4.3114510719536536</v>
      </c>
      <c r="BQ37" s="215">
        <f>($BD$38*$G$20 + $H$57*$BD$37)/($BD$37+$BD$38)</f>
        <v>0.5286853936297895</v>
      </c>
      <c r="BR37" s="215">
        <f>($BD$38*$G$14 + $H$51*$BD$37)/($BD$37+$BD$38)</f>
        <v>8.527458485260123</v>
      </c>
      <c r="BS37" s="215">
        <f>($BD$38*$G$15 + $H$52*$BD$37)/($BD$37+$BD$38)</f>
        <v>22.371503014203249</v>
      </c>
      <c r="BT37" s="215">
        <f>($BD$38*$G$16 + $H$53*$BD$37)/($BD$37+$BD$38)</f>
        <v>8.4706298070315995</v>
      </c>
      <c r="BU37" s="215">
        <f>($BD$38*$G$17 + $H$54*$BD$37)/($BD$37+$BD$38)</f>
        <v>6.2312966317901148</v>
      </c>
      <c r="BV37" s="215">
        <f>($BD$38*$G$18 + $H$55*$BD$37)/($BD$37+$BD$38)</f>
        <v>0.7142252719892741</v>
      </c>
    </row>
    <row r="38" spans="1:107" x14ac:dyDescent="0.2">
      <c r="A38" s="2" t="s">
        <v>35</v>
      </c>
      <c r="B38" s="50" t="s">
        <v>68</v>
      </c>
      <c r="C38" s="105">
        <f>AVERAGE('Morgan-Pompa solid data'!$G$42,'Morgan-Pompa solid data'!$G$50)</f>
        <v>8.0784252944823312</v>
      </c>
      <c r="D38" s="7">
        <f>AVERAGE('Morgan-Pompa solid data'!$G$35:$G$41,'Morgan-Pompa solid data'!$G$43:$G$49)</f>
        <v>4.8325669680598375</v>
      </c>
      <c r="E38" s="7">
        <f t="shared" si="43"/>
        <v>8.0784252944823312</v>
      </c>
      <c r="F38" s="7"/>
      <c r="G38" s="7">
        <f t="shared" si="44"/>
        <v>10.285840770463107</v>
      </c>
      <c r="H38" s="4">
        <f t="shared" si="45"/>
        <v>487.26830835994343</v>
      </c>
      <c r="BC38" s="79" t="s">
        <v>18</v>
      </c>
      <c r="BD38" s="219">
        <v>9.9999999999999995E-7</v>
      </c>
      <c r="BE38" t="s">
        <v>11</v>
      </c>
      <c r="BF38" s="4"/>
      <c r="BG38" s="4"/>
      <c r="BH38" s="4"/>
      <c r="BI38" s="4"/>
      <c r="BJ38" s="4"/>
      <c r="BK38" s="4"/>
      <c r="BL38" s="4"/>
      <c r="BM38" s="4"/>
      <c r="BN38" s="4"/>
      <c r="BO38" s="4" t="s">
        <v>343</v>
      </c>
      <c r="BP38" s="4" t="s">
        <v>12</v>
      </c>
      <c r="BQ38" s="4" t="s">
        <v>343</v>
      </c>
      <c r="BR38" s="4" t="s">
        <v>13</v>
      </c>
      <c r="BS38" s="4" t="s">
        <v>14</v>
      </c>
      <c r="BT38" s="4" t="s">
        <v>15</v>
      </c>
      <c r="BU38" s="4" t="s">
        <v>16</v>
      </c>
      <c r="BV38" s="4" t="s">
        <v>17</v>
      </c>
    </row>
    <row r="39" spans="1:107" x14ac:dyDescent="0.2">
      <c r="A39" s="2" t="s">
        <v>35</v>
      </c>
      <c r="B39" s="50" t="s">
        <v>69</v>
      </c>
      <c r="C39" s="105">
        <f>AVERAGE('Morgan-Pompa solid data'!$O$42,'Morgan-Pompa solid data'!$O$50)</f>
        <v>0.94697126400801346</v>
      </c>
      <c r="D39" s="7">
        <f>AVERAGE('Morgan-Pompa solid data'!$O$35:$O$41,'Morgan-Pompa solid data'!$O$43:$O$49)</f>
        <v>0.5783716897264134</v>
      </c>
      <c r="E39" s="7">
        <f t="shared" si="43"/>
        <v>0.94697126400801346</v>
      </c>
      <c r="F39" s="7"/>
      <c r="G39" s="7">
        <f t="shared" si="44"/>
        <v>1.270249078921647</v>
      </c>
      <c r="H39" s="4">
        <f t="shared" si="45"/>
        <v>10.450854561533346</v>
      </c>
      <c r="BB39" s="214" t="s">
        <v>477</v>
      </c>
      <c r="BC39" s="212">
        <v>0.1</v>
      </c>
      <c r="BD39" s="212">
        <v>0.4</v>
      </c>
      <c r="BE39" s="212">
        <v>0</v>
      </c>
      <c r="BF39" s="212">
        <v>0.6</v>
      </c>
      <c r="BG39" s="59"/>
      <c r="BH39" s="59"/>
      <c r="BI39" s="59"/>
      <c r="BJ39" s="59"/>
      <c r="BK39" s="59"/>
      <c r="BL39" s="59"/>
      <c r="BM39" s="59"/>
      <c r="BN39" s="62" t="s">
        <v>481</v>
      </c>
      <c r="BO39" s="61" t="s">
        <v>5</v>
      </c>
      <c r="BP39" s="61">
        <f>O41+2*15.999+2*1.0079</f>
        <v>34.013800000000003</v>
      </c>
      <c r="BQ39" s="61" t="s">
        <v>5</v>
      </c>
      <c r="BR39" s="61">
        <f>Q41+12.011+3*15.999</f>
        <v>60.007999999999996</v>
      </c>
      <c r="BS39" s="61">
        <f>R41+2*15.999</f>
        <v>31.998000000000001</v>
      </c>
      <c r="BT39" s="61">
        <f>1*S41+2*15.999+1.0079</f>
        <v>33.005900000000004</v>
      </c>
      <c r="BU39" s="61">
        <f>1*T41+2*15.999+1.0079</f>
        <v>33.005900000000004</v>
      </c>
      <c r="BV39" s="61">
        <f>2*15.999+47.87</f>
        <v>79.867999999999995</v>
      </c>
    </row>
    <row r="40" spans="1:107" x14ac:dyDescent="0.2">
      <c r="A40" s="2" t="s">
        <v>35</v>
      </c>
      <c r="B40" s="50" t="s">
        <v>62</v>
      </c>
      <c r="C40" s="105">
        <f>AVERAGE('Morgan-Pompa solid data'!$K$42,'Morgan-Pompa solid data'!$K$50)</f>
        <v>2.2662964875199663</v>
      </c>
      <c r="D40" s="7">
        <f>AVERAGE('Morgan-Pompa solid data'!$K$35:$K$41,'Morgan-Pompa solid data'!$K$43:$K$49)</f>
        <v>1.2791301662083703</v>
      </c>
      <c r="E40" s="7">
        <f t="shared" si="43"/>
        <v>2.2662964875199663</v>
      </c>
      <c r="F40" s="7"/>
      <c r="G40" s="7">
        <f t="shared" si="44"/>
        <v>2.2593074938525337</v>
      </c>
      <c r="H40" s="4">
        <f t="shared" si="45"/>
        <v>4.8846032483412316E-3</v>
      </c>
      <c r="BB40" s="225" t="s">
        <v>476</v>
      </c>
      <c r="BC40" s="226">
        <f>$BD$37*B$48*BC39</f>
        <v>5.000000000000001E-3</v>
      </c>
      <c r="BD40" s="226">
        <f>$BD$37*C$48*BD39</f>
        <v>0.18921575913699815</v>
      </c>
      <c r="BE40" s="226">
        <f>$BD$37*D$48*BE39</f>
        <v>0</v>
      </c>
      <c r="BF40" s="226">
        <f>$BD$37*E$48*BF39</f>
        <v>0.27146868691664344</v>
      </c>
      <c r="BG40" s="235" t="s">
        <v>472</v>
      </c>
      <c r="BH40" s="235"/>
      <c r="BI40" s="235"/>
      <c r="BJ40" s="235"/>
      <c r="BK40" s="235"/>
      <c r="BL40" s="235"/>
      <c r="BM40" s="235"/>
      <c r="BN40" s="62" t="s">
        <v>19</v>
      </c>
      <c r="BO40" s="61">
        <v>1</v>
      </c>
      <c r="BP40" s="61">
        <v>1</v>
      </c>
      <c r="BQ40" s="61">
        <v>1</v>
      </c>
      <c r="BR40" s="61">
        <v>1</v>
      </c>
      <c r="BS40" s="61">
        <v>1</v>
      </c>
      <c r="BT40" s="61">
        <v>1</v>
      </c>
      <c r="BU40" s="61">
        <v>1</v>
      </c>
      <c r="BV40" s="61">
        <v>1</v>
      </c>
    </row>
    <row r="41" spans="1:107" x14ac:dyDescent="0.2">
      <c r="A41" s="2" t="s">
        <v>35</v>
      </c>
      <c r="B41" s="50" t="s">
        <v>64</v>
      </c>
      <c r="C41" s="105">
        <f>AVERAGE('Morgan-Pompa solid data'!$H$42,'Morgan-Pompa solid data'!$H$50)</f>
        <v>0.4482811189553586</v>
      </c>
      <c r="D41" s="7">
        <f>AVERAGE('Morgan-Pompa solid data'!$H$35:$H$41,'Morgan-Pompa solid data'!$H$43:$H$49)</f>
        <v>0.90189891789828092</v>
      </c>
      <c r="E41" s="7">
        <f t="shared" si="43"/>
        <v>0.4482811189553586</v>
      </c>
      <c r="F41" s="7"/>
      <c r="G41" s="7">
        <f t="shared" si="44"/>
        <v>0.3771745359744042</v>
      </c>
      <c r="H41" s="4">
        <f t="shared" si="45"/>
        <v>0.50561461432273536</v>
      </c>
      <c r="BC41" s="4" t="s">
        <v>11</v>
      </c>
      <c r="BD41" s="4" t="s">
        <v>11</v>
      </c>
      <c r="BE41" s="4" t="s">
        <v>11</v>
      </c>
      <c r="BF41" s="64"/>
      <c r="BG41" s="4" t="s">
        <v>11</v>
      </c>
      <c r="BH41" s="4" t="s">
        <v>11</v>
      </c>
      <c r="BI41" s="4" t="s">
        <v>11</v>
      </c>
      <c r="BJ41" s="4" t="s">
        <v>11</v>
      </c>
      <c r="BK41" s="4" t="s">
        <v>11</v>
      </c>
      <c r="BL41" s="4" t="s">
        <v>11</v>
      </c>
      <c r="BM41" s="4" t="s">
        <v>11</v>
      </c>
      <c r="BN41" s="62" t="s">
        <v>23</v>
      </c>
      <c r="BO41" s="61">
        <v>0.2</v>
      </c>
      <c r="BP41" s="61">
        <v>0.65</v>
      </c>
      <c r="BQ41" s="61">
        <v>0</v>
      </c>
      <c r="BR41" s="61">
        <v>0</v>
      </c>
      <c r="BS41" s="61">
        <v>2.8500419327000472E-3</v>
      </c>
      <c r="BT41" s="61">
        <v>0.05</v>
      </c>
      <c r="BU41" s="61">
        <v>0.69400790455959183</v>
      </c>
      <c r="BV41" s="61">
        <v>1</v>
      </c>
      <c r="BW41" s="5"/>
    </row>
    <row r="42" spans="1:107" x14ac:dyDescent="0.2">
      <c r="A42" s="9" t="s">
        <v>434</v>
      </c>
      <c r="B42" s="183">
        <v>0.1</v>
      </c>
      <c r="G42" s="201" t="s">
        <v>432</v>
      </c>
      <c r="H42" s="202">
        <f>SUM(H34:H41)</f>
        <v>919.28588775794242</v>
      </c>
      <c r="BB42" s="63">
        <v>0</v>
      </c>
      <c r="BC42" s="60" t="s">
        <v>471</v>
      </c>
      <c r="BD42" s="60" t="s">
        <v>473</v>
      </c>
      <c r="BE42" s="60" t="s">
        <v>474</v>
      </c>
      <c r="BF42" s="210" t="s">
        <v>475</v>
      </c>
      <c r="BG42" s="60" t="s">
        <v>63</v>
      </c>
      <c r="BH42" s="60" t="s">
        <v>64</v>
      </c>
      <c r="BI42" s="60" t="s">
        <v>65</v>
      </c>
      <c r="BJ42" s="60" t="s">
        <v>66</v>
      </c>
      <c r="BK42" s="60" t="s">
        <v>67</v>
      </c>
      <c r="BL42" s="60" t="s">
        <v>68</v>
      </c>
      <c r="BM42" s="60" t="s">
        <v>69</v>
      </c>
      <c r="BN42" s="60" t="s">
        <v>61</v>
      </c>
      <c r="BO42" s="3" t="s">
        <v>62</v>
      </c>
      <c r="BP42" s="3" t="s">
        <v>63</v>
      </c>
      <c r="BQ42" s="3" t="s">
        <v>64</v>
      </c>
      <c r="BR42" s="3" t="s">
        <v>65</v>
      </c>
      <c r="BS42" s="3" t="s">
        <v>66</v>
      </c>
      <c r="BT42" s="3" t="s">
        <v>67</v>
      </c>
      <c r="BU42" s="3" t="s">
        <v>68</v>
      </c>
      <c r="BV42" s="3" t="s">
        <v>69</v>
      </c>
    </row>
    <row r="43" spans="1:107" x14ac:dyDescent="0.2">
      <c r="BB43" s="106">
        <v>1</v>
      </c>
      <c r="BC43" s="7">
        <f>$BB43*BC$63+BC$64</f>
        <v>2.5000000000000006E-4</v>
      </c>
      <c r="BD43" s="7">
        <f t="shared" ref="BD43:BF43" si="46">$BB43*BD$63+BD$64</f>
        <v>9.4607879568499066E-3</v>
      </c>
      <c r="BE43" s="7">
        <f t="shared" si="46"/>
        <v>0</v>
      </c>
      <c r="BF43" s="7">
        <f t="shared" si="46"/>
        <v>1.3573434345832172E-2</v>
      </c>
      <c r="BG43" s="186">
        <f>$BC43*$B$50/100*BP$41/O$9/BP$40*BP$39 + $BD43*$C$50/100*BP$41/O$9/BP$40*BP$39 + $BE43*$D$50/100*BP$41/O$9/BP$40*BP$39 + $BF43*$E$50/100*BP$41/O$9/BP$40*BP$39</f>
        <v>7.0209717459473672E-4</v>
      </c>
      <c r="BH43" s="186"/>
      <c r="BI43" s="186">
        <f>$BC43*$B$51/100*BR$41/Q$9/BR$40*BR$39 + $BD43*$C$51/100*BR$41/Q$9/BR$40*BR$39 + $BE43*$D$51/100*BR$41/Q$9/BR$40*BR$39 + $BF43*$E$51/100*BR$41/Q$9/BR$40*BR$39</f>
        <v>0</v>
      </c>
      <c r="BJ43" s="186">
        <f>$BC43*$B$52/100*BS$41/R$9/BS$40*BS$39 + $BD43*$C$52/100*BS$41/R$9/BS$40*BS$39 + $BE43*$D$52/100*BS$41/R$9/BS$40*BS$39 + $BF43*$E$52/100*BS$41/R$9/BS$40*BS$39</f>
        <v>1.7624896668370877E-5</v>
      </c>
      <c r="BK43" s="186">
        <f>$BC43*$B$53/100*BT$41/S$9/BT$40*BT$39 + $BD43*$C$53/100*BT$41/S$9/BT$40*BT$39 + $BE43*$D$53/100*BT$41/S$9/BT$40*BT$39 + $BF43*$E$53/100*BT$41/S$9/BT$40*BT$39</f>
        <v>1.5081231291506355E-4</v>
      </c>
      <c r="BL43" s="186">
        <f>$BC43*$B$54/100*BU$41/T$9/BU$40*BU$39 + $BD43*$C$54/100*BU$41/T$9/BU$40*BU$39 + $BE43*$D$54/100*BU$41/T$9/BU$40*BU$39 + $BEC43*$E$54/100*BU$41/T$9/BU$40*BU$39</f>
        <v>3.0017353564317146E-4</v>
      </c>
      <c r="BM43" s="186">
        <f>$BC43*$B$55/100*BV$41/U$9/BV$40*BV$39 + $BD43*$C$55/100*BV$41/U$9/BV$40*BV$39 + $BE43*$D$55/100*BV$41/U$9/BV$40*BV$39 + $BF43*$E$55/100*BV$41/U$9/BV$40*BV$39</f>
        <v>2.2708391096439771E-4</v>
      </c>
      <c r="BN43" s="7">
        <f>$BD$38+SUM(BG43:BM43)+($BD$37-SUM(BC43:BF43))</f>
        <v>0.97811456952810361</v>
      </c>
      <c r="BO43" s="110">
        <f>(($BD$38*$G$19/100 + $BD$37*$H$56/100) - ($BC43*$B$56/100*(1-BO$41) + $BD43*$C$56/100*(1-BO$41) + $BE43*$D$56/100*(1-BO$41) + $BF43*$E$56/100*(1-BO$41)))/($BN43)*100</f>
        <v>2.3742127437152565</v>
      </c>
      <c r="BP43" s="110">
        <f>(($BD$38*$G$13/100 + $BD$37*$H$50/100) - ($BC43*$B$50/100*(1-BP$41) + $BD43*$C$50/100*(1-BP$41) + $BE43*$D$50/100*(1-BP$41) + $BF43*$E$50/100*(1-BP$41)))/($BN43)*100</f>
        <v>4.3803060498698665</v>
      </c>
      <c r="BQ43" s="110">
        <f>(($BD$38*$G$20/100 + $BD$37*$H$57/100) - ($BC43*$B$57/100*(1-BQ$41) + $BD43*$C$57/100*(1-BQ$41) + $BE43*$D$57/100*(1-BQ$41) + $BF43*$E$57/100*(1-BQ$41)))/($BN43)*100</f>
        <v>0.52433056778504694</v>
      </c>
      <c r="BR43" s="110">
        <f>(($BD$38*$G$14/100 + $BD$37*$H$51/100) - ($BC43*$B$51/100*(1-BR$41) + $BD43*$C$51/100*(1-BR$41) + $BE43*$D$51/100*(1-BR$41) + $BF43*$E$51/100*(1-BR$41)))/($BN43)*100</f>
        <v>8.5193032485431672</v>
      </c>
      <c r="BS43" s="110">
        <f>(($BD$38*$G$15/100 + $BD$37*$H$52/100) - ($BC43*$B$52/100*(1-BS$41) + $BD43*$C$52/100*(1-BS$41) + $BE43*$D$52/100*(1-BS$41) + $BF43*$E$52/100*(1-BS$41)))/($BN43)*100</f>
        <v>22.318724097259555</v>
      </c>
      <c r="BT43" s="110">
        <f>(($BD$38*$G$16/100 + $BD$37*$H$53/100) - ($BC43*$B$53/100*(1-BT$41) + $BD43*$C$53/100*(1-BT$41) + $BE43*$D$53/100*(1-BT$41) + $BF43*$E$53/100*(1-BT$41)))/($BN43)*100</f>
        <v>8.4206821118315762</v>
      </c>
      <c r="BU43" s="110">
        <f>(($BD$38*$G$17/100 + $BD$37*$H$54/100) - ($BC43*$B$54/100*(1-BU$41) + $BD43*$C$54/100*(1-BU$41) + $BE43*$D$54/100*(1-BU$41) + $BF43*$E$54/100*(1-BU$41)))/($BN43)*100</f>
        <v>6.3478350362119489</v>
      </c>
      <c r="BV43" s="110">
        <f>(($BD$38*$G$18/100 + $BD$37*$H$55/100) - ($BC43*$B$55/100*(1-BV$41) + $BD43*$C$55/100*(1-BV$41) + $BE43*$D$55/100*(1-BV$41) + $BF43*$E$55/100*(1-BV$41)))/($BN43)*100</f>
        <v>0.73020687807475149</v>
      </c>
    </row>
    <row r="44" spans="1:107" x14ac:dyDescent="0.2">
      <c r="D44" s="1" t="s">
        <v>485</v>
      </c>
      <c r="BB44" s="106">
        <v>2</v>
      </c>
      <c r="BC44" s="7">
        <f t="shared" ref="BC44:BF62" si="47">$BB44*BC$63+BC$64</f>
        <v>5.0000000000000012E-4</v>
      </c>
      <c r="BD44" s="7">
        <f t="shared" si="47"/>
        <v>1.8921575913699813E-2</v>
      </c>
      <c r="BE44" s="7">
        <f t="shared" si="47"/>
        <v>0</v>
      </c>
      <c r="BF44" s="7">
        <f t="shared" si="47"/>
        <v>2.7146868691664345E-2</v>
      </c>
      <c r="BG44" s="186">
        <f t="shared" ref="BG44:BG62" si="48">$BC44*$B$50/100*BP$41/O$9/BP$40*BP$39 + $BD44*$C$50/100*BP$41/O$9/BP$40*BP$39 + $BE44*$D$50/100*BP$41/O$9/BP$40*BP$39 + $BF44*$E$50/100*BP$41/O$9/BP$40*BP$39</f>
        <v>1.4041943491894734E-3</v>
      </c>
      <c r="BH44" s="186"/>
      <c r="BI44" s="186">
        <f t="shared" ref="BI44:BI62" si="49">$BC44*$B$51/100*BR$41/Q$9/BR$40*BR$39 + $BD44*$C$51/100*BR$41/Q$9/BR$40*BR$39 + $BE44*$D$51/100*BR$41/Q$9/BR$40*BR$39 + $BF44*$E$51/100*BR$41/Q$9/BR$40*BR$39</f>
        <v>0</v>
      </c>
      <c r="BJ44" s="186">
        <f t="shared" ref="BJ44:BJ62" si="50">$BC44*$B$52/100*BS$41/R$9/BS$40*BS$39 + $BD44*$C$52/100*BS$41/R$9/BS$40*BS$39 + $BE44*$D$52/100*BS$41/R$9/BS$40*BS$39 + $BF44*$E$52/100*BS$41/R$9/BS$40*BS$39</f>
        <v>3.5249793336741753E-5</v>
      </c>
      <c r="BK44" s="186">
        <f t="shared" ref="BK44:BK62" si="51">$BC44*$B$53/100*BT$41/S$9/BT$40*BT$39 + $BD44*$C$53/100*BT$41/S$9/BT$40*BT$39 + $BE44*$D$53/100*BT$41/S$9/BT$40*BT$39 + $BF44*$E$53/100*BT$41/S$9/BT$40*BT$39</f>
        <v>3.016246258301271E-4</v>
      </c>
      <c r="BL44" s="186">
        <f t="shared" ref="BL44:BL62" si="52">$BC44*$B$54/100*BU$41/T$9/BU$40*BU$39 + $BD44*$C$54/100*BU$41/T$9/BU$40*BU$39 + $BE44*$D$54/100*BU$41/T$9/BU$40*BU$39 + $BEC44*$E$54/100*BU$41/T$9/BU$40*BU$39</f>
        <v>6.0034707128634292E-4</v>
      </c>
      <c r="BM44" s="186">
        <f t="shared" ref="BM44:BM62" si="53">$BC44*$B$55/100*BV$41/U$9/BV$40*BV$39 + $BD44*$C$55/100*BV$41/U$9/BV$40*BV$39 + $BE44*$D$55/100*BV$41/U$9/BV$40*BV$39 + $BF44*$E$55/100*BV$41/U$9/BV$40*BV$39</f>
        <v>4.5416782192879543E-4</v>
      </c>
      <c r="BN44" s="7">
        <f t="shared" ref="BN44:BN62" si="54">$BD$38+SUM(BG44:BM44)+($BD$37-SUM(BC44:BF44))</f>
        <v>0.95622813905620729</v>
      </c>
      <c r="BO44" s="110">
        <f t="shared" ref="BO44:BO62" si="55">(($BD$38*$G$19/100 + $BD$37*$H$56/100) - ($BC44*$B$56/100*(1-BO$41) + $BD44*$C$56/100*(1-BO$41) + $BE44*$D$56/100*(1-BO$41) + $BF44*$E$56/100*(1-BO$41)))/($BN44)*100</f>
        <v>2.3706566638212387</v>
      </c>
      <c r="BP44" s="110">
        <f t="shared" ref="BP44:BP62" si="56">(($BD$38*$G$13/100 + $BD$37*$H$50/100) - ($BC44*$B$50/100*(1-BP$41) + $BD44*$C$50/100*(1-BP$41) + $BE44*$D$50/100*(1-BP$41) + $BF44*$E$50/100*(1-BP$41)))/($BN44)*100</f>
        <v>4.452312973697846</v>
      </c>
      <c r="BQ44" s="110">
        <f t="shared" ref="BQ44:BQ62" si="57">(($BD$38*$G$20/100 + $BD$37*$H$57/100) - ($BC44*$B$57/100*(1-BQ$41) + $BD44*$C$57/100*(1-BQ$41) + $BE44*$D$57/100*(1-BQ$41) + $BF44*$E$57/100*(1-BQ$41)))/($BN44)*100</f>
        <v>0.5197763928745841</v>
      </c>
      <c r="BR44" s="110">
        <f t="shared" ref="BR44:BR62" si="58">(($BD$38*$G$14/100 + $BD$37*$H$51/100) - ($BC44*$B$51/100*(1-BR$41) + $BD44*$C$51/100*(1-BR$41) + $BE44*$D$51/100*(1-BR$41) + $BF44*$E$51/100*(1-BR$41)))/($BN44)*100</f>
        <v>8.510774692920192</v>
      </c>
      <c r="BS44" s="110">
        <f t="shared" ref="BS44:BS62" si="59">(($BD$38*$G$15/100 + $BD$37*$H$52/100) - ($BC44*$B$52/100*(1-BS$41) + $BD44*$C$52/100*(1-BS$41) + $BE44*$D$52/100*(1-BS$41) + $BF44*$E$52/100*(1-BS$41)))/($BN44)*100</f>
        <v>22.263529141613606</v>
      </c>
      <c r="BT44" s="110">
        <f t="shared" ref="BT44:BT62" si="60">(($BD$38*$G$16/100 + $BD$37*$H$53/100) - ($BC44*$B$53/100*(1-BT$41) + $BD44*$C$53/100*(1-BT$41) + $BE44*$D$53/100*(1-BT$41) + $BF44*$E$53/100*(1-BT$41)))/($BN44)*100</f>
        <v>8.368447981598786</v>
      </c>
      <c r="BU44" s="110">
        <f t="shared" ref="BU44:BU62" si="61">(($BD$38*$G$17/100 + $BD$37*$H$54/100) - ($BC44*$B$54/100*(1-BU$41) + $BD44*$C$54/100*(1-BU$41) + $BE44*$D$54/100*(1-BU$41) + $BF44*$E$54/100*(1-BU$41)))/($BN44)*100</f>
        <v>6.4697081710846209</v>
      </c>
      <c r="BV44" s="110">
        <f t="shared" ref="BV44:BV62" si="62">(($BD$38*$G$18/100 + $BD$37*$H$55/100) - ($BC44*$B$55/100*(1-BV$41) + $BD44*$C$55/100*(1-BV$41) + $BE44*$D$55/100*(1-BV$41) + $BF44*$E$55/100*(1-BV$41)))/($BN44)*100</f>
        <v>0.74692006754735718</v>
      </c>
    </row>
    <row r="45" spans="1:107" x14ac:dyDescent="0.2">
      <c r="D45" t="s">
        <v>484</v>
      </c>
      <c r="E45" s="4"/>
      <c r="F45" s="4"/>
      <c r="G45" s="4" t="s">
        <v>35</v>
      </c>
      <c r="H45" s="4" t="s">
        <v>35</v>
      </c>
      <c r="BB45" s="106">
        <v>3</v>
      </c>
      <c r="BC45" s="7">
        <f t="shared" si="47"/>
        <v>7.5000000000000023E-4</v>
      </c>
      <c r="BD45" s="7">
        <f t="shared" si="47"/>
        <v>2.838236387054972E-2</v>
      </c>
      <c r="BE45" s="7">
        <f t="shared" si="47"/>
        <v>0</v>
      </c>
      <c r="BF45" s="7">
        <f t="shared" si="47"/>
        <v>4.0720303037496519E-2</v>
      </c>
      <c r="BG45" s="186">
        <f t="shared" si="48"/>
        <v>2.1062915237842097E-3</v>
      </c>
      <c r="BH45" s="186"/>
      <c r="BI45" s="186">
        <f t="shared" si="49"/>
        <v>0</v>
      </c>
      <c r="BJ45" s="186">
        <f t="shared" si="50"/>
        <v>5.2874690005112633E-5</v>
      </c>
      <c r="BK45" s="186">
        <f t="shared" si="51"/>
        <v>4.524369387451907E-4</v>
      </c>
      <c r="BL45" s="186">
        <f t="shared" si="52"/>
        <v>9.0052060692951406E-4</v>
      </c>
      <c r="BM45" s="186">
        <f t="shared" si="53"/>
        <v>6.812517328931932E-4</v>
      </c>
      <c r="BN45" s="7">
        <f t="shared" si="54"/>
        <v>0.93434170858431098</v>
      </c>
      <c r="BO45" s="110">
        <f t="shared" si="55"/>
        <v>2.3669339855732394</v>
      </c>
      <c r="BP45" s="110">
        <f t="shared" si="56"/>
        <v>4.5276933411329701</v>
      </c>
      <c r="BQ45" s="110">
        <f t="shared" si="57"/>
        <v>0.51500885997823898</v>
      </c>
      <c r="BR45" s="110">
        <f t="shared" si="58"/>
        <v>8.50184658403324</v>
      </c>
      <c r="BS45" s="110">
        <f t="shared" si="59"/>
        <v>22.205748364210915</v>
      </c>
      <c r="BT45" s="110">
        <f t="shared" si="60"/>
        <v>8.3137667409585383</v>
      </c>
      <c r="BU45" s="110">
        <f t="shared" si="61"/>
        <v>6.5972909256141588</v>
      </c>
      <c r="BV45" s="110">
        <f t="shared" si="62"/>
        <v>0.76441625119863443</v>
      </c>
    </row>
    <row r="46" spans="1:107" x14ac:dyDescent="0.2">
      <c r="B46" s="230" t="s">
        <v>436</v>
      </c>
      <c r="C46" s="230"/>
      <c r="D46" s="75"/>
      <c r="E46" s="75"/>
      <c r="F46" s="75"/>
      <c r="G46" s="75" t="s">
        <v>435</v>
      </c>
      <c r="H46" s="75" t="s">
        <v>437</v>
      </c>
      <c r="I46" s="80" t="s">
        <v>433</v>
      </c>
      <c r="BB46" s="106">
        <v>4</v>
      </c>
      <c r="BC46" s="7">
        <f t="shared" si="47"/>
        <v>1.0000000000000002E-3</v>
      </c>
      <c r="BD46" s="7">
        <f t="shared" si="47"/>
        <v>3.7843151827399626E-2</v>
      </c>
      <c r="BE46" s="7">
        <f t="shared" si="47"/>
        <v>0</v>
      </c>
      <c r="BF46" s="7">
        <f t="shared" si="47"/>
        <v>5.429373738332869E-2</v>
      </c>
      <c r="BG46" s="186">
        <f t="shared" si="48"/>
        <v>2.8083886983789469E-3</v>
      </c>
      <c r="BH46" s="186"/>
      <c r="BI46" s="186">
        <f t="shared" si="49"/>
        <v>0</v>
      </c>
      <c r="BJ46" s="186">
        <f t="shared" si="50"/>
        <v>7.0499586673483506E-5</v>
      </c>
      <c r="BK46" s="186">
        <f t="shared" si="51"/>
        <v>6.032492516602542E-4</v>
      </c>
      <c r="BL46" s="186">
        <f t="shared" si="52"/>
        <v>1.2006941425726858E-3</v>
      </c>
      <c r="BM46" s="186">
        <f t="shared" si="53"/>
        <v>9.0833564385759086E-4</v>
      </c>
      <c r="BN46" s="7">
        <f t="shared" si="54"/>
        <v>0.91245527811241467</v>
      </c>
      <c r="BO46" s="110">
        <f t="shared" si="55"/>
        <v>2.3630327207345365</v>
      </c>
      <c r="BP46" s="110">
        <f t="shared" si="56"/>
        <v>4.6066899015156055</v>
      </c>
      <c r="BQ46" s="110">
        <f t="shared" si="57"/>
        <v>0.51001261608693038</v>
      </c>
      <c r="BR46" s="110">
        <f t="shared" si="58"/>
        <v>8.4924901704631175</v>
      </c>
      <c r="BS46" s="110">
        <f t="shared" si="59"/>
        <v>22.145195692124577</v>
      </c>
      <c r="BT46" s="110">
        <f t="shared" si="60"/>
        <v>8.2564622985020542</v>
      </c>
      <c r="BU46" s="110">
        <f t="shared" si="61"/>
        <v>6.7309941578337389</v>
      </c>
      <c r="BV46" s="110">
        <f t="shared" si="62"/>
        <v>0.78275177243980298</v>
      </c>
    </row>
    <row r="47" spans="1:107" x14ac:dyDescent="0.2">
      <c r="B47" s="235" t="s">
        <v>438</v>
      </c>
      <c r="C47" s="235"/>
      <c r="D47" s="235"/>
      <c r="E47" s="235"/>
      <c r="F47" s="216"/>
      <c r="G47" s="199"/>
      <c r="BB47" s="106">
        <v>5</v>
      </c>
      <c r="BC47" s="7">
        <f t="shared" si="47"/>
        <v>1.2500000000000002E-3</v>
      </c>
      <c r="BD47" s="7">
        <f t="shared" si="47"/>
        <v>4.730393978424953E-2</v>
      </c>
      <c r="BE47" s="7">
        <f t="shared" si="47"/>
        <v>0</v>
      </c>
      <c r="BF47" s="7">
        <f t="shared" si="47"/>
        <v>6.7867171729160861E-2</v>
      </c>
      <c r="BG47" s="186">
        <f t="shared" si="48"/>
        <v>3.5104858729736832E-3</v>
      </c>
      <c r="BH47" s="186"/>
      <c r="BI47" s="186">
        <f t="shared" si="49"/>
        <v>0</v>
      </c>
      <c r="BJ47" s="186">
        <f t="shared" si="50"/>
        <v>8.8124483341854386E-5</v>
      </c>
      <c r="BK47" s="186">
        <f t="shared" si="51"/>
        <v>7.5406156457531758E-4</v>
      </c>
      <c r="BL47" s="186">
        <f t="shared" si="52"/>
        <v>1.5008676782158571E-3</v>
      </c>
      <c r="BM47" s="186">
        <f>$BC47*$B$55/100*BV$41/U$9/BV$40*BV$39 + $BD47*$C$55/100*BV$41/U$9/BV$40*BV$39 + $BE47*$D$55/100*BV$41/U$9/BV$40*BV$39 + $BF47*$E$55/100*BV$41/U$9/BV$40*BV$39</f>
        <v>1.1354195548219884E-3</v>
      </c>
      <c r="BN47" s="7">
        <f t="shared" si="54"/>
        <v>0.89056884764051836</v>
      </c>
      <c r="BO47" s="110">
        <f t="shared" si="55"/>
        <v>2.3589397025869889</v>
      </c>
      <c r="BP47" s="110">
        <f t="shared" si="56"/>
        <v>4.6895692672106302</v>
      </c>
      <c r="BQ47" s="110">
        <f t="shared" si="57"/>
        <v>0.50477079894244214</v>
      </c>
      <c r="BR47" s="110">
        <f t="shared" si="58"/>
        <v>8.4826738744355943</v>
      </c>
      <c r="BS47" s="110">
        <f t="shared" si="59"/>
        <v>22.081666760873063</v>
      </c>
      <c r="BT47" s="110">
        <f t="shared" si="60"/>
        <v>8.1963412524806056</v>
      </c>
      <c r="BU47" s="110">
        <f t="shared" si="61"/>
        <v>6.8712691144148765</v>
      </c>
      <c r="BV47" s="110">
        <f t="shared" si="62"/>
        <v>0.80198851341681565</v>
      </c>
    </row>
    <row r="48" spans="1:107" x14ac:dyDescent="0.2">
      <c r="A48" s="72" t="s">
        <v>461</v>
      </c>
      <c r="B48" s="228">
        <f>AU175</f>
        <v>0.05</v>
      </c>
      <c r="C48" s="228">
        <f>AV175</f>
        <v>0.47303939784249532</v>
      </c>
      <c r="D48" s="228">
        <f>AW175</f>
        <v>2.4512790629765545E-2</v>
      </c>
      <c r="E48" s="228">
        <f>AX175</f>
        <v>0.45244781152773911</v>
      </c>
      <c r="F48" s="205">
        <f>SUM(B48:D48)</f>
        <v>0.54755218847226084</v>
      </c>
      <c r="G48" s="199"/>
      <c r="H48" s="7"/>
      <c r="I48" s="7"/>
      <c r="BB48" s="106">
        <v>6</v>
      </c>
      <c r="BC48" s="7">
        <f t="shared" si="47"/>
        <v>1.5000000000000005E-3</v>
      </c>
      <c r="BD48" s="7">
        <f t="shared" si="47"/>
        <v>5.676472774109944E-2</v>
      </c>
      <c r="BE48" s="7">
        <f t="shared" si="47"/>
        <v>0</v>
      </c>
      <c r="BF48" s="7">
        <f t="shared" si="47"/>
        <v>8.1440606074993038E-2</v>
      </c>
      <c r="BG48" s="186">
        <f t="shared" si="48"/>
        <v>4.2125830475684195E-3</v>
      </c>
      <c r="BH48" s="186"/>
      <c r="BI48" s="186">
        <f t="shared" si="49"/>
        <v>0</v>
      </c>
      <c r="BJ48" s="186">
        <f t="shared" si="50"/>
        <v>1.0574938001022527E-4</v>
      </c>
      <c r="BK48" s="186">
        <f t="shared" si="51"/>
        <v>9.048738774903814E-4</v>
      </c>
      <c r="BL48" s="186">
        <f t="shared" si="52"/>
        <v>1.8010412138590281E-3</v>
      </c>
      <c r="BM48" s="186">
        <f t="shared" si="53"/>
        <v>1.3625034657863864E-3</v>
      </c>
      <c r="BN48" s="7">
        <f t="shared" si="54"/>
        <v>0.86868241716862193</v>
      </c>
      <c r="BO48" s="110">
        <f>(($BD$38*$G$19/100 + $BD$37*$H$56/100) - ($BC48*$B$56/100*(1-BO$41) + $BD48*$C$56/100*(1-BO$41) + $BE48*$D$56/100*(1-BO$41) + $BF48*$E$56/100*(1-BO$41)))/($BN48)*100</f>
        <v>2.3546404374719971</v>
      </c>
      <c r="BP48" s="110">
        <f t="shared" si="56"/>
        <v>4.7766249197487838</v>
      </c>
      <c r="BQ48" s="110">
        <f t="shared" si="57"/>
        <v>0.4992648469099632</v>
      </c>
      <c r="BR48" s="110">
        <f t="shared" si="58"/>
        <v>8.4723629357717023</v>
      </c>
      <c r="BS48" s="110">
        <f t="shared" si="59"/>
        <v>22.014936610144069</v>
      </c>
      <c r="BT48" s="110">
        <f t="shared" si="60"/>
        <v>8.1331907101377414</v>
      </c>
      <c r="BU48" s="110">
        <f t="shared" si="61"/>
        <v>7.0186125186207944</v>
      </c>
      <c r="BV48" s="110">
        <f t="shared" si="62"/>
        <v>0.82219459275173279</v>
      </c>
    </row>
    <row r="49" spans="1:74" x14ac:dyDescent="0.2">
      <c r="A49" s="198" t="s">
        <v>35</v>
      </c>
      <c r="B49" s="182" t="s">
        <v>446</v>
      </c>
      <c r="C49" s="182" t="s">
        <v>448</v>
      </c>
      <c r="D49" s="182" t="s">
        <v>465</v>
      </c>
      <c r="E49" s="182" t="s">
        <v>439</v>
      </c>
      <c r="F49" s="182"/>
      <c r="G49" s="200" t="s">
        <v>31</v>
      </c>
      <c r="J49" s="5" t="s">
        <v>480</v>
      </c>
      <c r="K49" s="5" t="s">
        <v>480</v>
      </c>
      <c r="BB49" s="106">
        <v>7</v>
      </c>
      <c r="BC49" s="7">
        <f t="shared" si="47"/>
        <v>1.7500000000000005E-3</v>
      </c>
      <c r="BD49" s="7">
        <f t="shared" si="47"/>
        <v>6.622551569794935E-2</v>
      </c>
      <c r="BE49" s="7">
        <f t="shared" si="47"/>
        <v>0</v>
      </c>
      <c r="BF49" s="7">
        <f t="shared" si="47"/>
        <v>9.5014040420825202E-2</v>
      </c>
      <c r="BG49" s="186">
        <f t="shared" si="48"/>
        <v>4.9146802221631571E-3</v>
      </c>
      <c r="BH49" s="186"/>
      <c r="BI49" s="186">
        <f t="shared" si="49"/>
        <v>0</v>
      </c>
      <c r="BJ49" s="186">
        <f t="shared" si="50"/>
        <v>1.2337427667859615E-4</v>
      </c>
      <c r="BK49" s="186">
        <f t="shared" si="51"/>
        <v>1.0556861904054448E-3</v>
      </c>
      <c r="BL49" s="186">
        <f t="shared" si="52"/>
        <v>2.1012147495022E-3</v>
      </c>
      <c r="BM49" s="186">
        <f t="shared" si="53"/>
        <v>1.5895873767507844E-3</v>
      </c>
      <c r="BN49" s="7">
        <f t="shared" si="54"/>
        <v>0.84679598669672562</v>
      </c>
      <c r="BO49" s="110">
        <f t="shared" si="55"/>
        <v>2.3501189333088801</v>
      </c>
      <c r="BP49" s="110">
        <f t="shared" si="56"/>
        <v>4.8681806821514026</v>
      </c>
      <c r="BQ49" s="110">
        <f t="shared" si="57"/>
        <v>0.49347427936623095</v>
      </c>
      <c r="BR49" s="110">
        <f t="shared" si="58"/>
        <v>8.4615190006229124</v>
      </c>
      <c r="BS49" s="110">
        <f t="shared" si="59"/>
        <v>21.94475702217812</v>
      </c>
      <c r="BT49" s="110">
        <f t="shared" si="60"/>
        <v>8.0667757688700732</v>
      </c>
      <c r="BU49" s="110">
        <f t="shared" si="61"/>
        <v>7.1735724472843305</v>
      </c>
      <c r="BV49" s="110">
        <f t="shared" si="62"/>
        <v>0.84344517148773557</v>
      </c>
    </row>
    <row r="50" spans="1:74" x14ac:dyDescent="0.2">
      <c r="A50" s="188" t="s">
        <v>63</v>
      </c>
      <c r="B50" s="7">
        <f>HLOOKUP($A50,'H9 basalt data'!$D$67:$M$69,3,FALSE)</f>
        <v>12.060837633981739</v>
      </c>
      <c r="C50" s="7">
        <f>HLOOKUP($A50,'H9 basalt data'!$D$67:$M$69,2,FALSE)</f>
        <v>7.8395444620881296</v>
      </c>
      <c r="D50" s="7">
        <v>0</v>
      </c>
      <c r="E50" s="7">
        <v>0</v>
      </c>
      <c r="F50" s="7"/>
      <c r="G50" s="8">
        <f>D13</f>
        <v>3.6604278940000001</v>
      </c>
      <c r="H50" s="8">
        <f t="shared" ref="H50:H57" si="63">(B$48*B50/100 + C$48*C50/100 + E$48*E50/100 + D$48*D50/100)*100</f>
        <v>4.3114552734047251</v>
      </c>
      <c r="I50" s="8">
        <f t="shared" ref="I50:I57" si="64">(G50-H50)^2/$B$42^2</f>
        <v>42.383664873458365</v>
      </c>
      <c r="J50" s="217">
        <f t="shared" ref="J50:J57" si="65">$B$48/100*B50+$C$48/100*C50+$D$48/100*D50+$E$48/100*E50</f>
        <v>4.3114552734047254E-2</v>
      </c>
      <c r="K50" s="217">
        <f t="shared" ref="K50:K57" si="66">H50/100*1</f>
        <v>4.3114552734047254E-2</v>
      </c>
      <c r="BB50" s="106">
        <v>8</v>
      </c>
      <c r="BC50" s="7">
        <f t="shared" si="47"/>
        <v>2.0000000000000005E-3</v>
      </c>
      <c r="BD50" s="7">
        <f t="shared" si="47"/>
        <v>7.5686303654799253E-2</v>
      </c>
      <c r="BE50" s="7">
        <f t="shared" si="47"/>
        <v>0</v>
      </c>
      <c r="BF50" s="7">
        <f t="shared" si="47"/>
        <v>0.10858747476665738</v>
      </c>
      <c r="BG50" s="186">
        <f t="shared" si="48"/>
        <v>5.6167773967578938E-3</v>
      </c>
      <c r="BH50" s="186"/>
      <c r="BI50" s="186">
        <f t="shared" si="49"/>
        <v>0</v>
      </c>
      <c r="BJ50" s="186">
        <f t="shared" si="50"/>
        <v>1.4099917334696701E-4</v>
      </c>
      <c r="BK50" s="186">
        <f t="shared" si="51"/>
        <v>1.2064985033205084E-3</v>
      </c>
      <c r="BL50" s="186">
        <f t="shared" si="52"/>
        <v>2.4013882851453717E-3</v>
      </c>
      <c r="BM50" s="186">
        <f t="shared" si="53"/>
        <v>1.8166712877151817E-3</v>
      </c>
      <c r="BN50" s="7">
        <f t="shared" si="54"/>
        <v>0.82490955622482931</v>
      </c>
      <c r="BO50" s="110">
        <f t="shared" si="55"/>
        <v>2.3453575008148384</v>
      </c>
      <c r="BP50" s="110">
        <f t="shared" si="56"/>
        <v>4.9645947440197142</v>
      </c>
      <c r="BQ50" s="110">
        <f t="shared" si="57"/>
        <v>0.4873764421273365</v>
      </c>
      <c r="BR50" s="110">
        <f t="shared" si="58"/>
        <v>8.4500996447364543</v>
      </c>
      <c r="BS50" s="110">
        <f t="shared" si="59"/>
        <v>21.870853436445451</v>
      </c>
      <c r="BT50" s="110">
        <f t="shared" si="60"/>
        <v>7.9968365964103167</v>
      </c>
      <c r="BU50" s="110">
        <f t="shared" si="61"/>
        <v>7.3367551433507465</v>
      </c>
      <c r="BV50" s="110">
        <f t="shared" si="62"/>
        <v>0.86582338733373032</v>
      </c>
    </row>
    <row r="51" spans="1:74" x14ac:dyDescent="0.2">
      <c r="A51" s="188" t="s">
        <v>65</v>
      </c>
      <c r="B51" s="7">
        <f>HLOOKUP($A51,'H9 basalt data'!$D$67:$M$69,3,FALSE)</f>
        <v>0.2858783458458905</v>
      </c>
      <c r="C51" s="7">
        <f>HLOOKUP($A51,'H9 basalt data'!$D$67:$M$69,2,FALSE)</f>
        <v>12.864525563065071</v>
      </c>
      <c r="D51" s="7">
        <v>0</v>
      </c>
      <c r="E51" s="7">
        <f>E62*$Q$9/$E$58*100</f>
        <v>5.3658022819186115</v>
      </c>
      <c r="F51" s="7"/>
      <c r="G51" s="8">
        <f t="shared" ref="G51:G57" si="67">D14</f>
        <v>10.07713981</v>
      </c>
      <c r="H51" s="8">
        <f t="shared" si="63"/>
        <v>8.5274668427186082</v>
      </c>
      <c r="I51" s="8">
        <f t="shared" si="64"/>
        <v>240.14863055227141</v>
      </c>
      <c r="J51" s="217">
        <f t="shared" si="65"/>
        <v>8.527466842718609E-2</v>
      </c>
      <c r="K51" s="217">
        <f t="shared" si="66"/>
        <v>8.5274668427186076E-2</v>
      </c>
      <c r="BB51" s="106">
        <v>9</v>
      </c>
      <c r="BC51" s="7">
        <f t="shared" si="47"/>
        <v>2.2500000000000007E-3</v>
      </c>
      <c r="BD51" s="7">
        <f t="shared" si="47"/>
        <v>8.5147091611649156E-2</v>
      </c>
      <c r="BE51" s="7">
        <f t="shared" si="47"/>
        <v>0</v>
      </c>
      <c r="BF51" s="7">
        <f t="shared" si="47"/>
        <v>0.12216090911248956</v>
      </c>
      <c r="BG51" s="186">
        <f t="shared" si="48"/>
        <v>6.3188745713526296E-3</v>
      </c>
      <c r="BH51" s="186"/>
      <c r="BI51" s="186">
        <f t="shared" si="49"/>
        <v>0</v>
      </c>
      <c r="BJ51" s="186">
        <f t="shared" si="50"/>
        <v>1.5862407001533788E-4</v>
      </c>
      <c r="BK51" s="186">
        <f t="shared" si="51"/>
        <v>1.3573108162355718E-3</v>
      </c>
      <c r="BL51" s="186">
        <f t="shared" si="52"/>
        <v>2.7015618207885425E-3</v>
      </c>
      <c r="BM51" s="186">
        <f t="shared" si="53"/>
        <v>2.0437551986795797E-3</v>
      </c>
      <c r="BN51" s="7">
        <f t="shared" si="54"/>
        <v>0.803023125752933</v>
      </c>
      <c r="BO51" s="110">
        <f t="shared" si="55"/>
        <v>2.3403365222183616</v>
      </c>
      <c r="BP51" s="110">
        <f t="shared" si="56"/>
        <v>5.066264344848042</v>
      </c>
      <c r="BQ51" s="110">
        <f t="shared" si="57"/>
        <v>0.4809462112462719</v>
      </c>
      <c r="BR51" s="110">
        <f t="shared" si="58"/>
        <v>8.4380578187600879</v>
      </c>
      <c r="BS51" s="110">
        <f t="shared" si="59"/>
        <v>21.792921359779236</v>
      </c>
      <c r="BT51" s="110">
        <f t="shared" si="60"/>
        <v>7.9230850335318754</v>
      </c>
      <c r="BU51" s="110">
        <f t="shared" si="61"/>
        <v>7.5088329424774276</v>
      </c>
      <c r="BV51" s="110">
        <f t="shared" si="62"/>
        <v>0.88942144168621695</v>
      </c>
    </row>
    <row r="52" spans="1:74" x14ac:dyDescent="0.2">
      <c r="A52" s="188" t="s">
        <v>66</v>
      </c>
      <c r="B52" s="7">
        <f>HLOOKUP($A52,'H9 basalt data'!$D$67:$M$69,3,FALSE)</f>
        <v>17.762931895346512</v>
      </c>
      <c r="C52" s="7">
        <f>HLOOKUP($A52,'H9 basalt data'!$D$67:$M$69,2,FALSE)</f>
        <v>22.437387657279803</v>
      </c>
      <c r="D52" s="7">
        <v>0</v>
      </c>
      <c r="E52" s="7">
        <f>E63*$R$9/$E$58*100</f>
        <v>24.023918819893016</v>
      </c>
      <c r="F52" s="7"/>
      <c r="G52" s="8">
        <f t="shared" si="67"/>
        <v>21.10389953</v>
      </c>
      <c r="H52" s="8">
        <f t="shared" si="63"/>
        <v>22.371484435706261</v>
      </c>
      <c r="I52" s="8">
        <f t="shared" si="64"/>
        <v>160.67714931743512</v>
      </c>
      <c r="J52" s="217">
        <f t="shared" si="65"/>
        <v>0.2237148443570626</v>
      </c>
      <c r="K52" s="217">
        <f t="shared" si="66"/>
        <v>0.2237148443570626</v>
      </c>
      <c r="BB52" s="106">
        <v>10</v>
      </c>
      <c r="BC52" s="7">
        <f t="shared" si="47"/>
        <v>2.5000000000000005E-3</v>
      </c>
      <c r="BD52" s="7">
        <f t="shared" si="47"/>
        <v>9.4607879568499059E-2</v>
      </c>
      <c r="BE52" s="7">
        <f t="shared" si="47"/>
        <v>0</v>
      </c>
      <c r="BF52" s="7">
        <f t="shared" si="47"/>
        <v>0.13573434345832172</v>
      </c>
      <c r="BG52" s="186">
        <f t="shared" si="48"/>
        <v>7.0209717459473664E-3</v>
      </c>
      <c r="BH52" s="186"/>
      <c r="BI52" s="186">
        <f t="shared" si="49"/>
        <v>0</v>
      </c>
      <c r="BJ52" s="186">
        <f t="shared" si="50"/>
        <v>1.7624896668370877E-4</v>
      </c>
      <c r="BK52" s="186">
        <f t="shared" si="51"/>
        <v>1.5081231291506352E-3</v>
      </c>
      <c r="BL52" s="186">
        <f t="shared" si="52"/>
        <v>3.0017353564317142E-3</v>
      </c>
      <c r="BM52" s="186">
        <f t="shared" si="53"/>
        <v>2.2708391096439768E-3</v>
      </c>
      <c r="BN52" s="7">
        <f t="shared" si="54"/>
        <v>0.78113669528103657</v>
      </c>
      <c r="BO52" s="110">
        <f t="shared" si="55"/>
        <v>2.3350341810905468</v>
      </c>
      <c r="BP52" s="110">
        <f t="shared" si="56"/>
        <v>5.1736312446589352</v>
      </c>
      <c r="BQ52" s="110">
        <f t="shared" si="57"/>
        <v>0.47415564701523971</v>
      </c>
      <c r="BR52" s="110">
        <f t="shared" si="58"/>
        <v>8.4253412002958576</v>
      </c>
      <c r="BS52" s="110">
        <f t="shared" si="59"/>
        <v>21.710622173008503</v>
      </c>
      <c r="BT52" s="110">
        <f t="shared" si="60"/>
        <v>7.8452006256267319</v>
      </c>
      <c r="BU52" s="110">
        <f t="shared" si="61"/>
        <v>7.6905535321914558</v>
      </c>
      <c r="BV52" s="110">
        <f t="shared" si="62"/>
        <v>0.9143418693927603</v>
      </c>
    </row>
    <row r="53" spans="1:74" x14ac:dyDescent="0.2">
      <c r="A53" s="188" t="s">
        <v>67</v>
      </c>
      <c r="B53" s="7">
        <f>HLOOKUP($A53,'H9 basalt data'!$D$67:$M$69,3,FALSE)</f>
        <v>2.6463059405066644E-2</v>
      </c>
      <c r="C53" s="7">
        <f>HLOOKUP($A53,'H9 basalt data'!$D$67:$M$69,2,FALSE)</f>
        <v>1.5877835643039986</v>
      </c>
      <c r="D53" s="7">
        <v>0</v>
      </c>
      <c r="E53" s="7">
        <f>E64*$S$9/$E$58*100</f>
        <v>17.058827729693597</v>
      </c>
      <c r="F53" s="7"/>
      <c r="G53" s="8">
        <f t="shared" si="67"/>
        <v>8.6798077679999999</v>
      </c>
      <c r="H53" s="8">
        <f t="shared" si="63"/>
        <v>8.4706366076614064</v>
      </c>
      <c r="I53" s="8">
        <f t="shared" si="64"/>
        <v>4.3752574317393584</v>
      </c>
      <c r="J53" s="217">
        <f t="shared" si="65"/>
        <v>8.4706366076614054E-2</v>
      </c>
      <c r="K53" s="217">
        <f t="shared" si="66"/>
        <v>8.4706366076614067E-2</v>
      </c>
      <c r="BB53" s="106">
        <v>11</v>
      </c>
      <c r="BC53" s="7">
        <f t="shared" si="47"/>
        <v>2.7500000000000007E-3</v>
      </c>
      <c r="BD53" s="7">
        <f t="shared" si="47"/>
        <v>0.10406866752534898</v>
      </c>
      <c r="BE53" s="7">
        <f t="shared" si="47"/>
        <v>0</v>
      </c>
      <c r="BF53" s="7">
        <f t="shared" si="47"/>
        <v>0.14930777780415389</v>
      </c>
      <c r="BG53" s="186">
        <f t="shared" si="48"/>
        <v>7.7230689205421039E-3</v>
      </c>
      <c r="BH53" s="186"/>
      <c r="BI53" s="186">
        <f t="shared" si="49"/>
        <v>0</v>
      </c>
      <c r="BJ53" s="186">
        <f t="shared" si="50"/>
        <v>1.9387386335207967E-4</v>
      </c>
      <c r="BK53" s="186">
        <f t="shared" si="51"/>
        <v>1.6589354420656988E-3</v>
      </c>
      <c r="BL53" s="186">
        <f t="shared" si="52"/>
        <v>3.3019088920748858E-3</v>
      </c>
      <c r="BM53" s="186">
        <f t="shared" si="53"/>
        <v>2.4979230206083748E-3</v>
      </c>
      <c r="BN53" s="7">
        <f t="shared" si="54"/>
        <v>0.75925026480914026</v>
      </c>
      <c r="BO53" s="110">
        <f t="shared" si="55"/>
        <v>2.3294261454485219</v>
      </c>
      <c r="BP53" s="110">
        <f t="shared" si="56"/>
        <v>5.2871881408296852</v>
      </c>
      <c r="BQ53" s="110">
        <f t="shared" si="57"/>
        <v>0.46697358812481521</v>
      </c>
      <c r="BR53" s="110">
        <f t="shared" si="58"/>
        <v>8.411891433886197</v>
      </c>
      <c r="BS53" s="110">
        <f t="shared" si="59"/>
        <v>21.623578212313706</v>
      </c>
      <c r="BT53" s="110">
        <f t="shared" si="60"/>
        <v>7.7628259679120877</v>
      </c>
      <c r="BU53" s="110">
        <f t="shared" si="61"/>
        <v>7.8827508124946863</v>
      </c>
      <c r="BV53" s="110">
        <f t="shared" si="62"/>
        <v>0.94069902813150497</v>
      </c>
    </row>
    <row r="54" spans="1:74" x14ac:dyDescent="0.2">
      <c r="A54" s="188" t="s">
        <v>68</v>
      </c>
      <c r="B54" s="7">
        <f>HLOOKUP($A54,'H9 basalt data'!$D$67:$M$69,3,FALSE)</f>
        <v>27.983130115249711</v>
      </c>
      <c r="C54" s="7">
        <f>HLOOKUP($A54,'H9 basalt data'!$D$67:$M$69,2,FALSE)</f>
        <v>6.9957825288124278</v>
      </c>
      <c r="D54" s="7">
        <f>1/$D$58*(2-$D$60)*$T$9*100</f>
        <v>62.125311453057762</v>
      </c>
      <c r="E54" s="7">
        <v>0</v>
      </c>
      <c r="F54" s="7"/>
      <c r="G54" s="8">
        <f t="shared" si="67"/>
        <v>5.9381225410000003</v>
      </c>
      <c r="H54" s="8">
        <f t="shared" si="63"/>
        <v>6.2313020130867462</v>
      </c>
      <c r="I54" s="8">
        <f t="shared" si="64"/>
        <v>8.5954202853063055</v>
      </c>
      <c r="J54" s="217">
        <f t="shared" si="65"/>
        <v>6.2313020130867459E-2</v>
      </c>
      <c r="K54" s="217">
        <f t="shared" si="66"/>
        <v>6.2313020130867459E-2</v>
      </c>
      <c r="BB54" s="106">
        <v>12</v>
      </c>
      <c r="BC54" s="7">
        <f t="shared" si="47"/>
        <v>3.0000000000000009E-3</v>
      </c>
      <c r="BD54" s="7">
        <f t="shared" si="47"/>
        <v>0.11352945548219888</v>
      </c>
      <c r="BE54" s="7">
        <f t="shared" si="47"/>
        <v>0</v>
      </c>
      <c r="BF54" s="7">
        <f t="shared" si="47"/>
        <v>0.16288121214998608</v>
      </c>
      <c r="BG54" s="186">
        <f t="shared" si="48"/>
        <v>8.4251660951368389E-3</v>
      </c>
      <c r="BH54" s="186"/>
      <c r="BI54" s="186">
        <f t="shared" si="49"/>
        <v>0</v>
      </c>
      <c r="BJ54" s="186">
        <f t="shared" si="50"/>
        <v>2.1149876002045053E-4</v>
      </c>
      <c r="BK54" s="186">
        <f t="shared" si="51"/>
        <v>1.8097477549807628E-3</v>
      </c>
      <c r="BL54" s="186">
        <f t="shared" si="52"/>
        <v>3.6020824277180562E-3</v>
      </c>
      <c r="BM54" s="186">
        <f t="shared" si="53"/>
        <v>2.7250069315727728E-3</v>
      </c>
      <c r="BN54" s="7">
        <f t="shared" si="54"/>
        <v>0.73736383433724384</v>
      </c>
      <c r="BO54" s="110">
        <f t="shared" si="55"/>
        <v>2.3234851944221315</v>
      </c>
      <c r="BP54" s="110">
        <f t="shared" si="56"/>
        <v>5.4074862277041511</v>
      </c>
      <c r="BQ54" s="110">
        <f t="shared" si="57"/>
        <v>0.45936517354611195</v>
      </c>
      <c r="BR54" s="110">
        <f t="shared" si="58"/>
        <v>8.3976432356476902</v>
      </c>
      <c r="BS54" s="110">
        <f t="shared" si="59"/>
        <v>21.531366974611206</v>
      </c>
      <c r="BT54" s="110">
        <f t="shared" si="60"/>
        <v>7.6755612216556388</v>
      </c>
      <c r="BU54" s="110">
        <f t="shared" si="61"/>
        <v>8.0863576906554666</v>
      </c>
      <c r="BV54" s="110">
        <f t="shared" si="62"/>
        <v>0.96862085303723289</v>
      </c>
    </row>
    <row r="55" spans="1:74" x14ac:dyDescent="0.2">
      <c r="A55" s="188" t="s">
        <v>69</v>
      </c>
      <c r="B55" s="7">
        <f>HLOOKUP($A55,'H9 basalt data'!$D$67:$M$69,3,FALSE)</f>
        <v>5.9936395051835532E-3</v>
      </c>
      <c r="C55" s="7">
        <f>HLOOKUP($A55,'H9 basalt data'!$D$67:$M$69,2,FALSE)</f>
        <v>1.4384734812440525</v>
      </c>
      <c r="D55" s="7">
        <f>1/$D$58*$D$60*$U$9*100</f>
        <v>1.3654729593852377</v>
      </c>
      <c r="E55" s="7">
        <v>0</v>
      </c>
      <c r="F55" s="7"/>
      <c r="G55" s="8">
        <f t="shared" si="67"/>
        <v>0.55738749899999995</v>
      </c>
      <c r="H55" s="8">
        <f t="shared" si="63"/>
        <v>0.71422586411936051</v>
      </c>
      <c r="I55" s="8">
        <f t="shared" si="64"/>
        <v>2.4598272773313852</v>
      </c>
      <c r="J55" s="217">
        <f t="shared" si="65"/>
        <v>7.1422586411936054E-3</v>
      </c>
      <c r="K55" s="217">
        <f t="shared" si="66"/>
        <v>7.1422586411936054E-3</v>
      </c>
      <c r="BB55" s="106">
        <v>13</v>
      </c>
      <c r="BC55" s="7">
        <f t="shared" si="47"/>
        <v>3.2500000000000007E-3</v>
      </c>
      <c r="BD55" s="7">
        <f t="shared" si="47"/>
        <v>0.12299024343904878</v>
      </c>
      <c r="BE55" s="7">
        <f t="shared" si="47"/>
        <v>0</v>
      </c>
      <c r="BF55" s="7">
        <f t="shared" si="47"/>
        <v>0.17645464649581824</v>
      </c>
      <c r="BG55" s="186">
        <f t="shared" si="48"/>
        <v>9.1272632697315774E-3</v>
      </c>
      <c r="BH55" s="186"/>
      <c r="BI55" s="186">
        <f t="shared" si="49"/>
        <v>0</v>
      </c>
      <c r="BJ55" s="186">
        <f t="shared" si="50"/>
        <v>2.291236566888214E-4</v>
      </c>
      <c r="BK55" s="186">
        <f t="shared" si="51"/>
        <v>1.9605600678958262E-3</v>
      </c>
      <c r="BL55" s="186">
        <f t="shared" si="52"/>
        <v>3.9022559633612288E-3</v>
      </c>
      <c r="BM55" s="186">
        <f t="shared" si="53"/>
        <v>2.9520908425371703E-3</v>
      </c>
      <c r="BN55" s="7">
        <f t="shared" si="54"/>
        <v>0.71547740386534753</v>
      </c>
      <c r="BO55" s="110">
        <f t="shared" si="55"/>
        <v>2.3171807763990926</v>
      </c>
      <c r="BP55" s="110">
        <f t="shared" si="56"/>
        <v>5.5351441436942697</v>
      </c>
      <c r="BQ55" s="110">
        <f t="shared" si="57"/>
        <v>0.45129127665929247</v>
      </c>
      <c r="BR55" s="110">
        <f t="shared" si="58"/>
        <v>8.3825233335694449</v>
      </c>
      <c r="BS55" s="110">
        <f t="shared" si="59"/>
        <v>21.433514259395082</v>
      </c>
      <c r="BT55" s="110">
        <f t="shared" si="60"/>
        <v>7.5829576239099001</v>
      </c>
      <c r="BU55" s="110">
        <f t="shared" si="61"/>
        <v>8.3024212243539086</v>
      </c>
      <c r="BV55" s="110">
        <f t="shared" si="62"/>
        <v>0.99825093337114379</v>
      </c>
    </row>
    <row r="56" spans="1:74" x14ac:dyDescent="0.2">
      <c r="A56" s="188" t="s">
        <v>62</v>
      </c>
      <c r="B56" s="7">
        <f>HLOOKUP($A56,'H9 basalt data'!$D$67:$M$69,3,FALSE)</f>
        <v>1.4837283596056728E-2</v>
      </c>
      <c r="C56" s="7">
        <f>HLOOKUP($A56,'H9 basalt data'!$D$67:$M$69,2,FALSE)</f>
        <v>0.44511850788170187</v>
      </c>
      <c r="D56" s="7">
        <v>0</v>
      </c>
      <c r="E56" s="7">
        <f>E65*$N$9/$E$58*100</f>
        <v>4.7879887620759636</v>
      </c>
      <c r="F56" s="7"/>
      <c r="G56" s="8">
        <f t="shared" si="67"/>
        <v>2.7077732910000001</v>
      </c>
      <c r="H56" s="8">
        <f t="shared" si="63"/>
        <v>2.3776154921373918</v>
      </c>
      <c r="I56" s="8">
        <f t="shared" si="64"/>
        <v>10.900417214980251</v>
      </c>
      <c r="J56" s="217">
        <f t="shared" si="65"/>
        <v>2.3776154921373915E-2</v>
      </c>
      <c r="K56" s="217">
        <f t="shared" si="66"/>
        <v>2.3776154921373919E-2</v>
      </c>
      <c r="BB56" s="106">
        <v>14</v>
      </c>
      <c r="BC56" s="7">
        <f t="shared" si="47"/>
        <v>3.5000000000000009E-3</v>
      </c>
      <c r="BD56" s="7">
        <f t="shared" si="47"/>
        <v>0.1324510313958987</v>
      </c>
      <c r="BE56" s="7">
        <f t="shared" si="47"/>
        <v>0</v>
      </c>
      <c r="BF56" s="7">
        <f t="shared" si="47"/>
        <v>0.1900280808416504</v>
      </c>
      <c r="BG56" s="186">
        <f t="shared" si="48"/>
        <v>9.8293604443263141E-3</v>
      </c>
      <c r="BH56" s="186"/>
      <c r="BI56" s="186">
        <f t="shared" si="49"/>
        <v>0</v>
      </c>
      <c r="BJ56" s="186">
        <f t="shared" si="50"/>
        <v>2.4674855335719229E-4</v>
      </c>
      <c r="BK56" s="186">
        <f t="shared" si="51"/>
        <v>2.1113723808108896E-3</v>
      </c>
      <c r="BL56" s="186">
        <f t="shared" si="52"/>
        <v>4.2024294990044E-3</v>
      </c>
      <c r="BM56" s="186">
        <f t="shared" si="53"/>
        <v>3.1791747535015688E-3</v>
      </c>
      <c r="BN56" s="7">
        <f t="shared" si="54"/>
        <v>0.69359097339345133</v>
      </c>
      <c r="BO56" s="110">
        <f t="shared" si="55"/>
        <v>2.3104784835131444</v>
      </c>
      <c r="BP56" s="110">
        <f t="shared" si="56"/>
        <v>5.6708586123492388</v>
      </c>
      <c r="BQ56" s="110">
        <f t="shared" si="57"/>
        <v>0.44270783224481092</v>
      </c>
      <c r="BR56" s="110">
        <f t="shared" si="58"/>
        <v>8.3664492071766645</v>
      </c>
      <c r="BS56" s="110">
        <f t="shared" si="59"/>
        <v>21.329486012114035</v>
      </c>
      <c r="BT56" s="110">
        <f t="shared" si="60"/>
        <v>7.4845097684351591</v>
      </c>
      <c r="BU56" s="110">
        <f t="shared" si="61"/>
        <v>8.5321206319007832</v>
      </c>
      <c r="BV56" s="110">
        <f t="shared" si="62"/>
        <v>1.0297509823695312</v>
      </c>
    </row>
    <row r="57" spans="1:74" x14ac:dyDescent="0.2">
      <c r="A57" s="188" t="s">
        <v>64</v>
      </c>
      <c r="B57" s="7">
        <f>HLOOKUP($A57,'H9 basalt data'!$D$67:$M$69,3,FALSE)</f>
        <v>8.3015022028770109E-3</v>
      </c>
      <c r="C57" s="7">
        <f>HLOOKUP($A57,'H9 basalt data'!$D$67:$M$69,2,FALSE)</f>
        <v>4.1507511014385054E-3</v>
      </c>
      <c r="D57" s="7">
        <v>0</v>
      </c>
      <c r="E57" s="7">
        <f>E66*$P$9/$E$58*100</f>
        <v>1.1632435507341454</v>
      </c>
      <c r="F57" s="7"/>
      <c r="G57" s="8">
        <f t="shared" si="67"/>
        <v>0.65578889600000001</v>
      </c>
      <c r="H57" s="8">
        <f t="shared" si="63"/>
        <v>0.52868554271518309</v>
      </c>
      <c r="I57" s="8">
        <f t="shared" si="64"/>
        <v>1.6155262416244975</v>
      </c>
      <c r="J57" s="217">
        <f t="shared" si="65"/>
        <v>5.2868554271518313E-3</v>
      </c>
      <c r="K57" s="217">
        <f t="shared" si="66"/>
        <v>5.2868554271518313E-3</v>
      </c>
      <c r="BB57" s="106">
        <v>15</v>
      </c>
      <c r="BC57" s="7">
        <f t="shared" si="47"/>
        <v>3.7500000000000007E-3</v>
      </c>
      <c r="BD57" s="7">
        <f t="shared" si="47"/>
        <v>0.1419118193527486</v>
      </c>
      <c r="BE57" s="7">
        <f t="shared" si="47"/>
        <v>0</v>
      </c>
      <c r="BF57" s="7">
        <f t="shared" si="47"/>
        <v>0.2036015151874826</v>
      </c>
      <c r="BG57" s="186">
        <f t="shared" si="48"/>
        <v>1.0531457618921047E-2</v>
      </c>
      <c r="BH57" s="186"/>
      <c r="BI57" s="186">
        <f t="shared" si="49"/>
        <v>0</v>
      </c>
      <c r="BJ57" s="186">
        <f t="shared" si="50"/>
        <v>2.6437345002556313E-4</v>
      </c>
      <c r="BK57" s="186">
        <f t="shared" si="51"/>
        <v>2.2621846937259534E-3</v>
      </c>
      <c r="BL57" s="186">
        <f t="shared" si="52"/>
        <v>4.5026030346475713E-3</v>
      </c>
      <c r="BM57" s="186">
        <f t="shared" si="53"/>
        <v>3.4062586644659659E-3</v>
      </c>
      <c r="BN57" s="7">
        <f t="shared" si="54"/>
        <v>0.6717045429215549</v>
      </c>
      <c r="BO57" s="110">
        <f t="shared" si="55"/>
        <v>2.3033394233943518</v>
      </c>
      <c r="BP57" s="110">
        <f t="shared" si="56"/>
        <v>5.8154171637591912</v>
      </c>
      <c r="BQ57" s="110">
        <f t="shared" si="57"/>
        <v>0.43356503190109957</v>
      </c>
      <c r="BR57" s="110">
        <f t="shared" si="58"/>
        <v>8.3493275807977696</v>
      </c>
      <c r="BS57" s="110">
        <f t="shared" si="59"/>
        <v>21.218678572924222</v>
      </c>
      <c r="BT57" s="110">
        <f t="shared" si="60"/>
        <v>7.3796463775388981</v>
      </c>
      <c r="BU57" s="110">
        <f t="shared" si="61"/>
        <v>8.7767888234634572</v>
      </c>
      <c r="BV57" s="110">
        <f t="shared" si="62"/>
        <v>1.0633037899491427</v>
      </c>
    </row>
    <row r="58" spans="1:74" x14ac:dyDescent="0.2">
      <c r="A58" s="2" t="s">
        <v>22</v>
      </c>
      <c r="B58" s="233" t="s">
        <v>458</v>
      </c>
      <c r="C58" s="233"/>
      <c r="D58" s="4">
        <f>($D$60)*$U$9+4*15.999+$T$9*(1+1-D60)</f>
        <v>175.28725</v>
      </c>
      <c r="E58" s="4">
        <f>E62*$Q$9+E63*$R$9+E64*$S$9+E65*$N$9+E66*$P$9+E67*15.999</f>
        <v>268.88952</v>
      </c>
      <c r="F58" s="4"/>
      <c r="H58" s="201" t="s">
        <v>432</v>
      </c>
      <c r="I58" s="203">
        <f>SUM(I50:I57)</f>
        <v>471.15589319414676</v>
      </c>
      <c r="BB58" s="106">
        <v>16</v>
      </c>
      <c r="BC58" s="7">
        <f t="shared" si="47"/>
        <v>4.000000000000001E-3</v>
      </c>
      <c r="BD58" s="7">
        <f t="shared" si="47"/>
        <v>0.15137260730959851</v>
      </c>
      <c r="BE58" s="7">
        <f t="shared" si="47"/>
        <v>0</v>
      </c>
      <c r="BF58" s="7">
        <f t="shared" si="47"/>
        <v>0.21717494953331476</v>
      </c>
      <c r="BG58" s="186">
        <f t="shared" si="48"/>
        <v>1.1233554793515788E-2</v>
      </c>
      <c r="BH58" s="186"/>
      <c r="BI58" s="186">
        <f t="shared" si="49"/>
        <v>0</v>
      </c>
      <c r="BJ58" s="186">
        <f t="shared" si="50"/>
        <v>2.8199834669393402E-4</v>
      </c>
      <c r="BK58" s="186">
        <f t="shared" si="51"/>
        <v>2.4129970066410168E-3</v>
      </c>
      <c r="BL58" s="186">
        <f t="shared" si="52"/>
        <v>4.8027765702907434E-3</v>
      </c>
      <c r="BM58" s="186">
        <f t="shared" si="53"/>
        <v>3.6333425754303634E-3</v>
      </c>
      <c r="BN58" s="7">
        <f t="shared" si="54"/>
        <v>0.64981811244965859</v>
      </c>
      <c r="BO58" s="110">
        <f t="shared" si="55"/>
        <v>2.2957194639594856</v>
      </c>
      <c r="BP58" s="110">
        <f t="shared" si="56"/>
        <v>5.9697134267654679</v>
      </c>
      <c r="BQ58" s="110">
        <f t="shared" si="57"/>
        <v>0.42380635686812551</v>
      </c>
      <c r="BR58" s="110">
        <f t="shared" si="58"/>
        <v>8.331052612343214</v>
      </c>
      <c r="BS58" s="110">
        <f t="shared" si="59"/>
        <v>21.100406954859945</v>
      </c>
      <c r="BT58" s="110">
        <f t="shared" si="60"/>
        <v>7.2677192090410996</v>
      </c>
      <c r="BU58" s="110">
        <f t="shared" si="61"/>
        <v>9.0379382834325579</v>
      </c>
      <c r="BV58" s="110">
        <f t="shared" si="62"/>
        <v>1.0991167721104067</v>
      </c>
    </row>
    <row r="59" spans="1:74" x14ac:dyDescent="0.2">
      <c r="D59" s="197" t="s">
        <v>483</v>
      </c>
      <c r="H59" s="201" t="s">
        <v>464</v>
      </c>
      <c r="I59" s="203">
        <f>I50+I54</f>
        <v>50.979085158764669</v>
      </c>
      <c r="BB59" s="106">
        <v>17</v>
      </c>
      <c r="BC59" s="7">
        <f t="shared" si="47"/>
        <v>4.2500000000000012E-3</v>
      </c>
      <c r="BD59" s="7">
        <f t="shared" si="47"/>
        <v>0.16083339526644841</v>
      </c>
      <c r="BE59" s="7">
        <f t="shared" si="47"/>
        <v>0</v>
      </c>
      <c r="BF59" s="7">
        <f t="shared" si="47"/>
        <v>0.23074838387914692</v>
      </c>
      <c r="BG59" s="186">
        <f t="shared" si="48"/>
        <v>1.1935651968110526E-2</v>
      </c>
      <c r="BH59" s="186"/>
      <c r="BI59" s="186">
        <f t="shared" si="49"/>
        <v>0</v>
      </c>
      <c r="BJ59" s="186">
        <f t="shared" si="50"/>
        <v>2.9962324336230492E-4</v>
      </c>
      <c r="BK59" s="186">
        <f t="shared" si="51"/>
        <v>2.5638093195560802E-3</v>
      </c>
      <c r="BL59" s="186">
        <f t="shared" si="52"/>
        <v>5.1029501059339137E-3</v>
      </c>
      <c r="BM59" s="186">
        <f t="shared" si="53"/>
        <v>3.8604264863947618E-3</v>
      </c>
      <c r="BN59" s="7">
        <f t="shared" si="54"/>
        <v>0.62793168197776228</v>
      </c>
      <c r="BO59" s="110">
        <f t="shared" si="55"/>
        <v>2.2875683202663426</v>
      </c>
      <c r="BP59" s="110">
        <f t="shared" si="56"/>
        <v>6.1347656192121072</v>
      </c>
      <c r="BQ59" s="110">
        <f t="shared" si="57"/>
        <v>0.41336740858652582</v>
      </c>
      <c r="BR59" s="110">
        <f t="shared" si="58"/>
        <v>8.3115037033058314</v>
      </c>
      <c r="BS59" s="110">
        <f t="shared" si="59"/>
        <v>20.973890670632592</v>
      </c>
      <c r="BT59" s="110">
        <f t="shared" si="60"/>
        <v>7.1479896433668175</v>
      </c>
      <c r="BU59" s="110">
        <f t="shared" si="61"/>
        <v>9.3172923655362982</v>
      </c>
      <c r="BV59" s="110">
        <f t="shared" si="62"/>
        <v>1.1374262626230089</v>
      </c>
    </row>
    <row r="60" spans="1:74" x14ac:dyDescent="0.2">
      <c r="D60" s="113">
        <v>0.05</v>
      </c>
      <c r="E60" s="1" t="s">
        <v>463</v>
      </c>
      <c r="F60" s="1"/>
      <c r="BB60" s="106">
        <v>18</v>
      </c>
      <c r="BC60" s="7">
        <f t="shared" si="47"/>
        <v>4.5000000000000014E-3</v>
      </c>
      <c r="BD60" s="7">
        <f t="shared" si="47"/>
        <v>0.17029418322329831</v>
      </c>
      <c r="BE60" s="7">
        <f t="shared" si="47"/>
        <v>0</v>
      </c>
      <c r="BF60" s="7">
        <f t="shared" si="47"/>
        <v>0.24432181822497911</v>
      </c>
      <c r="BG60" s="186">
        <f t="shared" si="48"/>
        <v>1.2637749142705259E-2</v>
      </c>
      <c r="BH60" s="186"/>
      <c r="BI60" s="186">
        <f t="shared" si="49"/>
        <v>0</v>
      </c>
      <c r="BJ60" s="186">
        <f t="shared" si="50"/>
        <v>3.1724814003067576E-4</v>
      </c>
      <c r="BK60" s="186">
        <f t="shared" si="51"/>
        <v>2.7146216324711436E-3</v>
      </c>
      <c r="BL60" s="186">
        <f t="shared" si="52"/>
        <v>5.403123641577085E-3</v>
      </c>
      <c r="BM60" s="186">
        <f t="shared" si="53"/>
        <v>4.0875103973591594E-3</v>
      </c>
      <c r="BN60" s="7">
        <f t="shared" si="54"/>
        <v>0.60604525150586586</v>
      </c>
      <c r="BO60" s="110">
        <f t="shared" si="55"/>
        <v>2.2788284435066077</v>
      </c>
      <c r="BP60" s="110">
        <f t="shared" si="56"/>
        <v>6.311739044686286</v>
      </c>
      <c r="BQ60" s="110">
        <f t="shared" si="57"/>
        <v>0.40217448586094762</v>
      </c>
      <c r="BR60" s="110">
        <f t="shared" si="58"/>
        <v>8.2905428342295409</v>
      </c>
      <c r="BS60" s="110">
        <f t="shared" si="59"/>
        <v>20.838236488364046</v>
      </c>
      <c r="BT60" s="110">
        <f t="shared" si="60"/>
        <v>7.0196123643145372</v>
      </c>
      <c r="BU60" s="110">
        <f t="shared" si="61"/>
        <v>9.6168233690161653</v>
      </c>
      <c r="BV60" s="110">
        <f t="shared" si="62"/>
        <v>1.1785027346388393</v>
      </c>
    </row>
    <row r="61" spans="1:74" x14ac:dyDescent="0.2">
      <c r="D61" s="81" t="s">
        <v>466</v>
      </c>
      <c r="E61" t="s">
        <v>462</v>
      </c>
      <c r="BB61" s="106">
        <v>19</v>
      </c>
      <c r="BC61" s="7">
        <f t="shared" si="47"/>
        <v>4.7500000000000007E-3</v>
      </c>
      <c r="BD61" s="7">
        <f t="shared" si="47"/>
        <v>0.17975497118014822</v>
      </c>
      <c r="BE61" s="7">
        <f t="shared" si="47"/>
        <v>0</v>
      </c>
      <c r="BF61" s="7">
        <f t="shared" si="47"/>
        <v>0.25789525257081125</v>
      </c>
      <c r="BG61" s="186">
        <f t="shared" si="48"/>
        <v>1.3339846317299998E-2</v>
      </c>
      <c r="BH61" s="186"/>
      <c r="BI61" s="186">
        <f t="shared" si="49"/>
        <v>0</v>
      </c>
      <c r="BJ61" s="186">
        <f t="shared" si="50"/>
        <v>3.3487303669904665E-4</v>
      </c>
      <c r="BK61" s="186">
        <f t="shared" si="51"/>
        <v>2.8654339453862069E-3</v>
      </c>
      <c r="BL61" s="186">
        <f t="shared" si="52"/>
        <v>5.7032971772202562E-3</v>
      </c>
      <c r="BM61" s="186">
        <f t="shared" si="53"/>
        <v>4.3145943083235565E-3</v>
      </c>
      <c r="BN61" s="7">
        <f t="shared" si="54"/>
        <v>0.58415882103396966</v>
      </c>
      <c r="BO61" s="110">
        <f t="shared" si="55"/>
        <v>2.2694336602449168</v>
      </c>
      <c r="BP61" s="110">
        <f t="shared" si="56"/>
        <v>6.5019736465136955</v>
      </c>
      <c r="BQ61" s="110">
        <f t="shared" si="57"/>
        <v>0.3901428421704885</v>
      </c>
      <c r="BR61" s="110">
        <f t="shared" si="58"/>
        <v>8.2680113011928658</v>
      </c>
      <c r="BS61" s="110">
        <f t="shared" si="59"/>
        <v>20.692417310818399</v>
      </c>
      <c r="BT61" s="110">
        <f t="shared" si="60"/>
        <v>6.881615371270172</v>
      </c>
      <c r="BU61" s="110">
        <f t="shared" si="61"/>
        <v>9.9387991743060429</v>
      </c>
      <c r="BV61" s="110">
        <f t="shared" si="62"/>
        <v>1.2226571961206638</v>
      </c>
    </row>
    <row r="62" spans="1:74" x14ac:dyDescent="0.2">
      <c r="D62" s="188" t="s">
        <v>65</v>
      </c>
      <c r="E62" s="7">
        <v>0.36</v>
      </c>
      <c r="F62" s="7"/>
      <c r="BB62" s="63">
        <v>20</v>
      </c>
      <c r="BC62" s="7">
        <f t="shared" si="47"/>
        <v>5.000000000000001E-3</v>
      </c>
      <c r="BD62" s="7">
        <f t="shared" si="47"/>
        <v>0.18921575913699812</v>
      </c>
      <c r="BE62" s="7">
        <f t="shared" si="47"/>
        <v>0</v>
      </c>
      <c r="BF62" s="7">
        <f t="shared" si="47"/>
        <v>0.27146868691664344</v>
      </c>
      <c r="BG62" s="186">
        <f t="shared" si="48"/>
        <v>1.4041943491894733E-2</v>
      </c>
      <c r="BH62" s="186"/>
      <c r="BI62" s="186">
        <f t="shared" si="49"/>
        <v>0</v>
      </c>
      <c r="BJ62" s="186">
        <f t="shared" si="50"/>
        <v>3.5249793336741754E-4</v>
      </c>
      <c r="BK62" s="186">
        <f t="shared" si="51"/>
        <v>3.0162462583012703E-3</v>
      </c>
      <c r="BL62" s="186">
        <f t="shared" si="52"/>
        <v>6.0034707128634283E-3</v>
      </c>
      <c r="BM62" s="186">
        <f t="shared" si="53"/>
        <v>4.5416782192879536E-3</v>
      </c>
      <c r="BN62" s="7">
        <f t="shared" si="54"/>
        <v>0.56227239056207323</v>
      </c>
      <c r="BO62" s="110">
        <f t="shared" si="55"/>
        <v>2.2593074938525337</v>
      </c>
      <c r="BP62" s="110">
        <f t="shared" si="56"/>
        <v>6.7070179969829811</v>
      </c>
      <c r="BQ62" s="110">
        <f t="shared" si="57"/>
        <v>0.3771745359744042</v>
      </c>
      <c r="BR62" s="110">
        <f t="shared" si="58"/>
        <v>8.2437256900989766</v>
      </c>
      <c r="BS62" s="110">
        <f t="shared" si="59"/>
        <v>20.53524612188329</v>
      </c>
      <c r="BT62" s="110">
        <f t="shared" si="60"/>
        <v>6.7328753232784475</v>
      </c>
      <c r="BU62" s="110">
        <f t="shared" si="61"/>
        <v>10.285840770463107</v>
      </c>
      <c r="BV62" s="110">
        <f t="shared" si="62"/>
        <v>1.270249078921647</v>
      </c>
    </row>
    <row r="63" spans="1:74" x14ac:dyDescent="0.2">
      <c r="D63" s="188" t="s">
        <v>66</v>
      </c>
      <c r="E63" s="8">
        <v>2.2999999999999998</v>
      </c>
      <c r="F63" s="8"/>
      <c r="BB63" s="213" t="s">
        <v>478</v>
      </c>
      <c r="BC63" s="215">
        <f>(BC40-0)/($BB62-$BB42)</f>
        <v>2.5000000000000006E-4</v>
      </c>
      <c r="BD63" s="215">
        <f>(BD40-0)/($BB62-$BB42)</f>
        <v>9.4607879568499066E-3</v>
      </c>
      <c r="BE63" s="215">
        <f>(BE40-0)/($BB62-$BB42)</f>
        <v>0</v>
      </c>
      <c r="BF63" s="215">
        <f>(BF40-0)/($BB62-$BB42)</f>
        <v>1.3573434345832172E-2</v>
      </c>
      <c r="BI63" s="186"/>
      <c r="BJ63" s="186"/>
      <c r="BK63" s="186"/>
      <c r="BL63" s="186"/>
      <c r="BM63" s="186"/>
    </row>
    <row r="64" spans="1:74" x14ac:dyDescent="0.2">
      <c r="D64" s="188" t="s">
        <v>67</v>
      </c>
      <c r="E64" s="207">
        <f>1-(E63-2)+1</f>
        <v>1.7000000000000002</v>
      </c>
      <c r="F64" s="207"/>
      <c r="G64" s="194" t="s">
        <v>467</v>
      </c>
      <c r="BB64" s="213" t="s">
        <v>479</v>
      </c>
      <c r="BC64" s="215">
        <v>0</v>
      </c>
      <c r="BD64" s="215">
        <v>0</v>
      </c>
      <c r="BE64" s="215">
        <v>0</v>
      </c>
      <c r="BF64" s="215">
        <v>0</v>
      </c>
      <c r="BI64" s="186"/>
      <c r="BJ64" s="186"/>
      <c r="BK64" s="186"/>
      <c r="BL64" s="186"/>
      <c r="BM64" s="186"/>
    </row>
    <row r="65" spans="4:74" x14ac:dyDescent="0.2">
      <c r="D65" s="188" t="s">
        <v>62</v>
      </c>
      <c r="E65" s="208">
        <f>1-E62-E66</f>
        <v>0.56000000000000005</v>
      </c>
      <c r="F65" s="208"/>
      <c r="G65" s="194" t="s">
        <v>467</v>
      </c>
      <c r="BB65" s="2" t="s">
        <v>480</v>
      </c>
      <c r="BC65" s="184">
        <f>BC62-BC40</f>
        <v>0</v>
      </c>
      <c r="BD65" s="184">
        <f>BD62-BD40</f>
        <v>0</v>
      </c>
      <c r="BE65" s="184">
        <f>BE62-BE40</f>
        <v>0</v>
      </c>
      <c r="BF65" s="184">
        <f>BF62-BF40</f>
        <v>0</v>
      </c>
      <c r="BI65" s="186"/>
      <c r="BJ65" s="186"/>
      <c r="BK65" s="186"/>
      <c r="BL65" s="186"/>
      <c r="BM65" s="186"/>
    </row>
    <row r="66" spans="4:74" x14ac:dyDescent="0.2">
      <c r="D66" s="188" t="s">
        <v>64</v>
      </c>
      <c r="E66" s="7">
        <v>0.08</v>
      </c>
      <c r="F66" s="7"/>
    </row>
    <row r="67" spans="4:74" x14ac:dyDescent="0.2">
      <c r="D67" s="188" t="s">
        <v>468</v>
      </c>
      <c r="E67" s="8">
        <v>8</v>
      </c>
      <c r="F67" s="8"/>
      <c r="BC67" t="s">
        <v>470</v>
      </c>
      <c r="BN67" s="79"/>
      <c r="BO67" s="105"/>
      <c r="BT67" s="59"/>
    </row>
    <row r="68" spans="4:74" x14ac:dyDescent="0.2">
      <c r="BC68" s="1" t="s">
        <v>4</v>
      </c>
      <c r="BD68" s="4" t="s">
        <v>5</v>
      </c>
      <c r="BE68" t="s">
        <v>6</v>
      </c>
      <c r="BF68" s="4"/>
      <c r="BG68" s="4"/>
      <c r="BH68" s="4"/>
      <c r="BI68" s="4"/>
      <c r="BJ68" s="4"/>
      <c r="BK68" s="4"/>
      <c r="BL68" s="4"/>
      <c r="BM68" s="4"/>
      <c r="BN68" s="79"/>
      <c r="BO68" s="105"/>
      <c r="BS68" s="81"/>
    </row>
    <row r="69" spans="4:74" x14ac:dyDescent="0.2">
      <c r="BC69" s="79" t="s">
        <v>10</v>
      </c>
      <c r="BD69" s="229">
        <f>$AV$189</f>
        <v>1</v>
      </c>
      <c r="BE69" t="s">
        <v>11</v>
      </c>
      <c r="BF69" s="4"/>
      <c r="BG69" s="4"/>
      <c r="BH69" s="4"/>
      <c r="BI69" s="4"/>
      <c r="BJ69" s="4"/>
      <c r="BK69" s="4"/>
      <c r="BL69" s="4"/>
      <c r="BM69" s="4"/>
      <c r="BN69" s="218" t="s">
        <v>482</v>
      </c>
      <c r="BO69" s="215">
        <f>($BD$38*$G$19 + $H$56*$BD$37)/($BD$37+$BD$38)</f>
        <v>2.3776131639742282</v>
      </c>
      <c r="BP69" s="215">
        <f>($BD$38*$G$13 + $H$50*$BD$37)/($BD$37+$BD$38)</f>
        <v>4.3114510719536536</v>
      </c>
      <c r="BQ69" s="215">
        <f>($BD$38*$G$20 + $H$57*$BD$37)/($BD$37+$BD$38)</f>
        <v>0.5286853936297895</v>
      </c>
      <c r="BR69" s="215">
        <f>($BD$38*$G$14 + $H$51*$BD$37)/($BD$37+$BD$38)</f>
        <v>8.527458485260123</v>
      </c>
      <c r="BS69" s="215">
        <f>($BD$38*$G$15 + $H$52*$BD$37)/($BD$37+$BD$38)</f>
        <v>22.371503014203249</v>
      </c>
      <c r="BT69" s="215">
        <f>($BD$38*$G$16 + $H$53*$BD$37)/($BD$37+$BD$38)</f>
        <v>8.4706298070315995</v>
      </c>
      <c r="BU69" s="215">
        <f>($BD$38*$G$17 + $H$54*$BD$37)/($BD$37+$BD$38)</f>
        <v>6.2312966317901148</v>
      </c>
      <c r="BV69" s="215">
        <f>($BD$38*$G$18 + $H$55*$BD$37)/($BD$37+$BD$38)</f>
        <v>0.7142252719892741</v>
      </c>
    </row>
    <row r="70" spans="4:74" x14ac:dyDescent="0.2">
      <c r="BB70" s="80" t="s">
        <v>496</v>
      </c>
      <c r="BC70" s="79" t="s">
        <v>18</v>
      </c>
      <c r="BD70" s="229">
        <f>$AV$190</f>
        <v>9.9999999999999995E-7</v>
      </c>
      <c r="BE70" t="s">
        <v>11</v>
      </c>
      <c r="BF70" s="4"/>
      <c r="BG70" s="4"/>
      <c r="BH70" s="4"/>
      <c r="BI70" s="4"/>
      <c r="BJ70" s="4"/>
      <c r="BK70" s="4"/>
      <c r="BL70" s="4"/>
      <c r="BM70" s="4"/>
      <c r="BN70" s="4"/>
      <c r="BO70" s="4" t="s">
        <v>343</v>
      </c>
      <c r="BP70" s="4" t="s">
        <v>12</v>
      </c>
      <c r="BQ70" s="4" t="s">
        <v>343</v>
      </c>
      <c r="BR70" s="4" t="s">
        <v>13</v>
      </c>
      <c r="BS70" s="4" t="s">
        <v>14</v>
      </c>
      <c r="BT70" s="4" t="s">
        <v>15</v>
      </c>
      <c r="BU70" s="4" t="s">
        <v>16</v>
      </c>
      <c r="BV70" s="4" t="s">
        <v>17</v>
      </c>
    </row>
    <row r="71" spans="4:74" x14ac:dyDescent="0.2">
      <c r="BB71" s="214" t="s">
        <v>477</v>
      </c>
      <c r="BC71" s="216">
        <v>1</v>
      </c>
      <c r="BD71" s="212">
        <v>0</v>
      </c>
      <c r="BE71" s="212">
        <v>0</v>
      </c>
      <c r="BF71" s="212">
        <v>0</v>
      </c>
      <c r="BG71" s="59"/>
      <c r="BH71" s="59"/>
      <c r="BI71" s="59"/>
      <c r="BJ71" s="59"/>
      <c r="BK71" s="59"/>
      <c r="BL71" s="59"/>
      <c r="BM71" s="59"/>
      <c r="BN71" s="62" t="s">
        <v>481</v>
      </c>
      <c r="BO71" s="61" t="s">
        <v>5</v>
      </c>
      <c r="BP71" s="61">
        <f>O73+2*15.999+2*1.0079</f>
        <v>34.013800000000003</v>
      </c>
      <c r="BQ71" s="61" t="s">
        <v>5</v>
      </c>
      <c r="BR71" s="61">
        <f>Q73+12.011+3*15.999</f>
        <v>60.007999999999996</v>
      </c>
      <c r="BS71" s="61">
        <f>R73+2*15.999</f>
        <v>31.998000000000001</v>
      </c>
      <c r="BT71" s="61">
        <f>1*S73+2*15.999+1.0079</f>
        <v>33.005900000000004</v>
      </c>
      <c r="BU71" s="61">
        <f>1*T73+2*15.999+1.0079</f>
        <v>33.005900000000004</v>
      </c>
      <c r="BV71" s="61">
        <f>2*15.999+47.87</f>
        <v>79.867999999999995</v>
      </c>
    </row>
    <row r="72" spans="4:74" x14ac:dyDescent="0.2">
      <c r="BB72" s="225" t="s">
        <v>476</v>
      </c>
      <c r="BC72" s="227">
        <f>$BD$69*B$48*BC71</f>
        <v>0.05</v>
      </c>
      <c r="BD72" s="226">
        <f>$BD$69*C$48*BD71</f>
        <v>0</v>
      </c>
      <c r="BE72" s="226">
        <f>$BD$69*D$48*BE71</f>
        <v>0</v>
      </c>
      <c r="BF72" s="226">
        <f>$BD$69*E$48*BF71</f>
        <v>0</v>
      </c>
      <c r="BG72" s="235" t="s">
        <v>472</v>
      </c>
      <c r="BH72" s="235"/>
      <c r="BI72" s="235"/>
      <c r="BJ72" s="235"/>
      <c r="BK72" s="235"/>
      <c r="BL72" s="235"/>
      <c r="BM72" s="235"/>
      <c r="BN72" s="62" t="s">
        <v>19</v>
      </c>
      <c r="BO72" s="61">
        <v>1</v>
      </c>
      <c r="BP72" s="61">
        <v>1</v>
      </c>
      <c r="BQ72" s="61">
        <v>1</v>
      </c>
      <c r="BR72" s="61">
        <v>1</v>
      </c>
      <c r="BS72" s="61">
        <v>1</v>
      </c>
      <c r="BT72" s="61">
        <v>1</v>
      </c>
      <c r="BU72" s="61">
        <v>1</v>
      </c>
      <c r="BV72" s="61">
        <v>1</v>
      </c>
    </row>
    <row r="73" spans="4:74" x14ac:dyDescent="0.2">
      <c r="BC73" s="4" t="s">
        <v>11</v>
      </c>
      <c r="BD73" s="4" t="s">
        <v>11</v>
      </c>
      <c r="BE73" s="4" t="s">
        <v>11</v>
      </c>
      <c r="BF73" s="64"/>
      <c r="BG73" s="4" t="s">
        <v>11</v>
      </c>
      <c r="BH73" s="4" t="s">
        <v>11</v>
      </c>
      <c r="BI73" s="4" t="s">
        <v>11</v>
      </c>
      <c r="BJ73" s="4" t="s">
        <v>11</v>
      </c>
      <c r="BK73" s="4" t="s">
        <v>11</v>
      </c>
      <c r="BL73" s="4" t="s">
        <v>11</v>
      </c>
      <c r="BM73" s="4" t="s">
        <v>11</v>
      </c>
      <c r="BN73" s="62" t="s">
        <v>23</v>
      </c>
      <c r="BO73" s="61">
        <v>0</v>
      </c>
      <c r="BP73" s="61">
        <v>0</v>
      </c>
      <c r="BQ73" s="61">
        <v>0</v>
      </c>
      <c r="BR73" s="61">
        <v>0</v>
      </c>
      <c r="BS73" s="61">
        <v>0</v>
      </c>
      <c r="BT73" s="61">
        <v>0</v>
      </c>
      <c r="BU73" s="61">
        <v>0</v>
      </c>
      <c r="BV73" s="61">
        <v>0</v>
      </c>
    </row>
    <row r="74" spans="4:74" x14ac:dyDescent="0.2">
      <c r="BB74" s="63">
        <v>0</v>
      </c>
      <c r="BC74" s="60" t="s">
        <v>471</v>
      </c>
      <c r="BD74" s="60" t="s">
        <v>473</v>
      </c>
      <c r="BE74" s="60" t="s">
        <v>474</v>
      </c>
      <c r="BF74" s="210" t="s">
        <v>475</v>
      </c>
      <c r="BG74" s="60" t="s">
        <v>63</v>
      </c>
      <c r="BH74" s="60" t="s">
        <v>64</v>
      </c>
      <c r="BI74" s="60" t="s">
        <v>65</v>
      </c>
      <c r="BJ74" s="60" t="s">
        <v>66</v>
      </c>
      <c r="BK74" s="60" t="s">
        <v>67</v>
      </c>
      <c r="BL74" s="60" t="s">
        <v>68</v>
      </c>
      <c r="BM74" s="60" t="s">
        <v>69</v>
      </c>
      <c r="BN74" s="60" t="s">
        <v>61</v>
      </c>
      <c r="BO74" s="3" t="s">
        <v>62</v>
      </c>
      <c r="BP74" s="3" t="s">
        <v>63</v>
      </c>
      <c r="BQ74" s="3" t="s">
        <v>64</v>
      </c>
      <c r="BR74" s="3" t="s">
        <v>65</v>
      </c>
      <c r="BS74" s="3" t="s">
        <v>66</v>
      </c>
      <c r="BT74" s="3" t="s">
        <v>67</v>
      </c>
      <c r="BU74" s="3" t="s">
        <v>68</v>
      </c>
      <c r="BV74" s="3" t="s">
        <v>69</v>
      </c>
    </row>
    <row r="75" spans="4:74" x14ac:dyDescent="0.2">
      <c r="BB75" s="106">
        <v>1</v>
      </c>
      <c r="BC75" s="7">
        <f>$BB75*BC$95+BC$96</f>
        <v>2.5000000000000001E-3</v>
      </c>
      <c r="BD75" s="7">
        <f>$BB75*BD$95+BD$96</f>
        <v>0</v>
      </c>
      <c r="BE75" s="7">
        <f>$BB75*BE$95+BE$96</f>
        <v>0</v>
      </c>
      <c r="BF75" s="7">
        <f>$BB75*BF$95+BF$96</f>
        <v>0</v>
      </c>
      <c r="BG75" s="186">
        <f>$BC75*$B$50/100*BP$73/O$9/BP$72*BP$71 + $BD75*$C$50/100*BP$73/O$9/BP$72*BP$71 + $BE75*$D$50/100*BP$73/O$9/BP$72*BP$71 + $BF75*$E$50/100*BP$73/O$9/BP$72*BP$71</f>
        <v>0</v>
      </c>
      <c r="BH75" s="186"/>
      <c r="BI75" s="186">
        <f>$BC75*$B$51/100*BR$73/Q$9/BR$72*BR$71 + $BD75*$C$51/100*BR$73/Q$9/BR$72*BR$71 + $BE75*$D$51/100*BR$73/Q$9/BR$72*BR$71 + $BF75*$E$51/100*BR$73/Q$9/BR$72*BR$71</f>
        <v>0</v>
      </c>
      <c r="BJ75" s="186">
        <f>$BC75*$B$52/100*BS$73/R$9/BS$72*BS$71 + $BD75*$C$52/100*BS$73/R$9/BS$72*BS$71 + $BE75*$D$52/100*BS$73/R$9/BS$72*BS$71 + $BF75*$E$52/100*BS$73/R$9/BS$72*BS$71</f>
        <v>0</v>
      </c>
      <c r="BK75" s="186">
        <f>$BC75*$B$53/100*BT$73/S$9/BT$72*BT$71 + $BD75*$C$53/100*BT$73/S$9/BT$72*BT$71 + $BE75*$D$53/100*BT$73/S$9/BT$72*BT$71 + $BF75*$E$53/100*BT$73/S$9/BT$72*BT$71</f>
        <v>0</v>
      </c>
      <c r="BL75" s="186">
        <f>$BC75*$B$54/100*BU$73/T$9/BU$72*BU$71 + $BD75*$C$54/100*BU$73/T$9/BU$72*BU$71 + $BE75*$D$54/100*BU$73/T$9/BU$72*BU$71 + $BEC75*$E$54/100*BU$73/T$9/BU$72*BU$71</f>
        <v>0</v>
      </c>
      <c r="BM75" s="186">
        <f>$BC75*$B$55/100*BV$73/U$9/BV$72*BV$71 + $BD75*$C$55/100*BV$73/U$9/BV$72*BV$71 + $BE75*$D$55/100*BV$73/U$9/BV$72*BV$71 + $BF75*$E$55/100*BV$73/U$9/BV$72*BV$71</f>
        <v>0</v>
      </c>
      <c r="BN75" s="7">
        <f>$BD$38+SUM(BG75:BM75)+($BD$37-SUM(BC75:BF75))</f>
        <v>0.99750100000000008</v>
      </c>
      <c r="BO75" s="110">
        <f>(($BD$70*$G$19/100 + $BD$69*$H$56/100) - ($BC75*$B$56/100*(1-BO$73) + $BD75*$C$56/100*(1-BO$73) + $BE75*$D$56/100*(1-BO$73) + $BF75*$E$56/100*(1-BO$73)))/($BN75)*100</f>
        <v>2.3835349020987464</v>
      </c>
      <c r="BP75" s="110">
        <f>(($BD$70*$G$13/100 + $BD$69*$H$50/100) - ($BC75*$B$50/100*(1-BP$73) + $BD75*$C$50/100*(1-BP$73) + $BE75*$D$50/100*(1-BP$73) + $BF75*$E$50/100*(1-BP$73)))/($BN75)*100</f>
        <v>4.292029069965615</v>
      </c>
      <c r="BQ75" s="110">
        <f>(($BD$70*$G$20/100 + $BD$69*$H$57/100) - ($BC75*$B$57/100*(1-BQ$73) + $BD75*$C$57/100*(1-BQ$73) + $BE75*$D$57/100*(1-BQ$73) + $BF75*$E$57/100*(1-BQ$73)))/($BN75)*100</f>
        <v>0.52998961260156718</v>
      </c>
      <c r="BR75" s="110">
        <f>(($BD$70*$G$14/100 + $BD$69*$H$51/100) - ($BC75*$B$51/100*(1-BR$73) + $BD75*$C$51/100*(1-BR$73) + $BE75*$D$51/100*(1-BR$73) + $BF75*$E$51/100*(1-BR$73)))/($BN75)*100</f>
        <v>8.5481140538746256</v>
      </c>
      <c r="BS75" s="110">
        <f>(($BD$70*$G$15/100 + $BD$69*$H$52/100) - ($BC75*$B$52/100*(1-BS$73) + $BD75*$C$52/100*(1-BS$73) + $BE75*$D$52/100*(1-BS$73) + $BF75*$E$52/100*(1-BS$73)))/($BN75)*100</f>
        <v>22.383053306180035</v>
      </c>
      <c r="BT75" s="110">
        <f>(($BD$70*$G$16/100 + $BD$69*$H$53/100) - ($BC75*$B$53/100*(1-BT$73) + $BD75*$C$53/100*(1-BT$73) + $BE75*$D$53/100*(1-BT$73) + $BF75*$E$53/100*(1-BT$73)))/($BN75)*100</f>
        <v>8.4917931109972749</v>
      </c>
      <c r="BU75" s="110">
        <f>(($BD$70*$G$17/100 + $BD$69*$H$54/100) - ($BC75*$B$54/100*(1-BU$73) + $BD75*$C$54/100*(1-BU$73) + $BE75*$D$54/100*(1-BU$73) + $BF75*$E$54/100*(1-BU$73)))/($BN75)*100</f>
        <v>6.176780813050434</v>
      </c>
      <c r="BV75" s="110">
        <f>(($BD$70*$G$18/100 + $BD$69*$H$55/100) - ($BC75*$B$55/100*(1-BV$73) + $BD75*$C$55/100*(1-BV$73) + $BE75*$D$55/100*(1-BV$73) + $BF75*$E$55/100*(1-BV$73)))/($BN75)*100</f>
        <v>0.71600028683257755</v>
      </c>
    </row>
    <row r="76" spans="4:74" x14ac:dyDescent="0.2">
      <c r="BB76" s="106">
        <v>2</v>
      </c>
      <c r="BC76" s="7">
        <f t="shared" ref="BC76:BF94" si="68">$BB76*BC$95+BC$96</f>
        <v>5.0000000000000001E-3</v>
      </c>
      <c r="BD76" s="7">
        <f t="shared" si="68"/>
        <v>0</v>
      </c>
      <c r="BE76" s="7">
        <f t="shared" si="68"/>
        <v>0</v>
      </c>
      <c r="BF76" s="7">
        <f t="shared" si="68"/>
        <v>0</v>
      </c>
      <c r="BG76" s="186">
        <f t="shared" ref="BG76:BG94" si="69">$BC76*$B$50/100*BP$73/O$9/BP$72*BP$71 + $BD76*$C$50/100*BP$73/O$9/BP$72*BP$71 + $BE76*$D$50/100*BP$73/O$9/BP$72*BP$71 + $BF76*$E$50/100*BP$73/O$9/BP$72*BP$71</f>
        <v>0</v>
      </c>
      <c r="BH76" s="186"/>
      <c r="BI76" s="186">
        <f t="shared" ref="BI76:BI94" si="70">$BC76*$B$51/100*BR$73/Q$9/BR$72*BR$71 + $BD76*$C$51/100*BR$73/Q$9/BR$72*BR$71 + $BE76*$D$51/100*BR$73/Q$9/BR$72*BR$71 + $BF76*$E$51/100*BR$73/Q$9/BR$72*BR$71</f>
        <v>0</v>
      </c>
      <c r="BJ76" s="186">
        <f t="shared" ref="BJ76:BJ94" si="71">$BC76*$B$52/100*BS$73/R$9/BS$72*BS$71 + $BD76*$C$52/100*BS$73/R$9/BS$72*BS$71 + $BE76*$D$52/100*BS$73/R$9/BS$72*BS$71 + $BF76*$E$52/100*BS$73/R$9/BS$72*BS$71</f>
        <v>0</v>
      </c>
      <c r="BK76" s="186">
        <f t="shared" ref="BK76:BK94" si="72">$BC76*$B$53/100*BT$73/S$9/BT$72*BT$71 + $BD76*$C$53/100*BT$73/S$9/BT$72*BT$71 + $BE76*$D$53/100*BT$73/S$9/BT$72*BT$71 + $BF76*$E$53/100*BT$73/S$9/BT$72*BT$71</f>
        <v>0</v>
      </c>
      <c r="BL76" s="186">
        <f t="shared" ref="BL76:BL94" si="73">$BC76*$B$54/100*BU$73/T$9/BU$72*BU$71 + $BD76*$C$54/100*BU$73/T$9/BU$72*BU$71 + $BE76*$D$54/100*BU$73/T$9/BU$72*BU$71 + $BEC76*$E$54/100*BU$73/T$9/BU$72*BU$71</f>
        <v>0</v>
      </c>
      <c r="BM76" s="186">
        <f t="shared" ref="BM76:BM94" si="74">$BC76*$B$55/100*BV$73/U$9/BV$72*BV$71 + $BD76*$C$55/100*BV$73/U$9/BV$72*BV$71 + $BE76*$D$55/100*BV$73/U$9/BV$72*BV$71 + $BF76*$E$55/100*BV$73/U$9/BV$72*BV$71</f>
        <v>0</v>
      </c>
      <c r="BN76" s="7">
        <f t="shared" ref="BN76:BN94" si="75">$BD$38+SUM(BG76:BM76)+($BD$37-SUM(BC76:BF76))</f>
        <v>0.99500100000000002</v>
      </c>
      <c r="BO76" s="110">
        <f t="shared" ref="BO76:BO94" si="76">(($BD$70*$G$19/100 + $BD$69*$H$56/100) - ($BC76*$B$56/100*(1-BO$73) + $BD76*$C$56/100*(1-BO$73) + $BE76*$D$56/100*(1-BO$73) + $BF76*$E$56/100*(1-BO$73)))/($BN76)*100</f>
        <v>2.3894863976713707</v>
      </c>
      <c r="BP76" s="110">
        <f t="shared" ref="BP76:BP94" si="77">(($BD$70*$G$13/100 + $BD$69*$H$50/100) - ($BC76*$B$50/100*(1-BP$73) + $BD76*$C$50/100*(1-BP$73) + $BE76*$D$50/100*(1-BP$73) + $BF76*$E$50/100*(1-BP$73)))/($BN76)*100</f>
        <v>4.2725094700757253</v>
      </c>
      <c r="BQ76" s="110">
        <f t="shared" ref="BQ76:BQ94" si="78">(($BD$70*$G$20/100 + $BD$69*$H$57/100) - ($BC76*$B$57/100*(1-BQ$73) + $BD76*$C$57/100*(1-BQ$73) + $BE76*$D$57/100*(1-BQ$73) + $BF76*$E$57/100*(1-BQ$73)))/($BN76)*100</f>
        <v>0.53130038543093794</v>
      </c>
      <c r="BR76" s="110">
        <f t="shared" ref="BR76:BR94" si="79">(($BD$70*$G$14/100 + $BD$69*$H$51/100) - ($BC76*$B$51/100*(1-BR$73) + $BD76*$C$51/100*(1-BR$73) + $BE76*$D$51/100*(1-BR$73) + $BF76*$E$51/100*(1-BR$73)))/($BN76)*100</f>
        <v>8.568873419212018</v>
      </c>
      <c r="BS76" s="110">
        <f t="shared" ref="BS76:BS94" si="80">(($BD$70*$G$15/100 + $BD$69*$H$52/100) - ($BC76*$B$52/100*(1-BS$73) + $BD76*$C$52/100*(1-BS$73) + $BE76*$D$52/100*(1-BS$73) + $BF76*$E$52/100*(1-BS$73)))/($BN76)*100</f>
        <v>22.394661639766721</v>
      </c>
      <c r="BT76" s="110">
        <f t="shared" ref="BT76:BT94" si="81">(($BD$70*$G$16/100 + $BD$69*$H$53/100) - ($BC76*$B$53/100*(1-BT$73) + $BD76*$C$53/100*(1-BT$73) + $BE76*$D$53/100*(1-BT$73) + $BF76*$E$53/100*(1-BT$73)))/($BN76)*100</f>
        <v>8.5130627631172029</v>
      </c>
      <c r="BU76" s="110">
        <f t="shared" ref="BU76:BU94" si="82">(($BD$70*$G$17/100 + $BD$69*$H$54/100) - ($BC76*$B$54/100*(1-BU$73) + $BD76*$C$54/100*(1-BU$73) + $BE76*$D$54/100*(1-BU$73) + $BF76*$E$54/100*(1-BU$73)))/($BN76)*100</f>
        <v>6.1219910457481932</v>
      </c>
      <c r="BV76" s="110">
        <f t="shared" ref="BV76:BV94" si="83">(($BD$70*$G$18/100 + $BD$69*$H$55/100) - ($BC76*$B$55/100*(1-BV$73) + $BD76*$C$55/100*(1-BV$73) + $BE76*$D$55/100*(1-BV$73) + $BF76*$E$55/100*(1-BV$73)))/($BN76)*100</f>
        <v>0.71778422133949626</v>
      </c>
    </row>
    <row r="77" spans="4:74" x14ac:dyDescent="0.2">
      <c r="BB77" s="106">
        <v>3</v>
      </c>
      <c r="BC77" s="7">
        <f t="shared" si="68"/>
        <v>7.4999999999999997E-3</v>
      </c>
      <c r="BD77" s="7">
        <f t="shared" si="68"/>
        <v>0</v>
      </c>
      <c r="BE77" s="7">
        <f t="shared" si="68"/>
        <v>0</v>
      </c>
      <c r="BF77" s="7">
        <f t="shared" si="68"/>
        <v>0</v>
      </c>
      <c r="BG77" s="186">
        <f t="shared" si="69"/>
        <v>0</v>
      </c>
      <c r="BH77" s="186"/>
      <c r="BI77" s="186">
        <f t="shared" si="70"/>
        <v>0</v>
      </c>
      <c r="BJ77" s="186">
        <f t="shared" si="71"/>
        <v>0</v>
      </c>
      <c r="BK77" s="186">
        <f t="shared" si="72"/>
        <v>0</v>
      </c>
      <c r="BL77" s="186">
        <f t="shared" si="73"/>
        <v>0</v>
      </c>
      <c r="BM77" s="186">
        <f t="shared" si="74"/>
        <v>0</v>
      </c>
      <c r="BN77" s="7">
        <f t="shared" si="75"/>
        <v>0.99250100000000008</v>
      </c>
      <c r="BO77" s="110">
        <f t="shared" si="76"/>
        <v>2.3954678755592402</v>
      </c>
      <c r="BP77" s="110">
        <f t="shared" si="77"/>
        <v>4.2528915347690956</v>
      </c>
      <c r="BQ77" s="110">
        <f t="shared" si="78"/>
        <v>0.53261776164322394</v>
      </c>
      <c r="BR77" s="110">
        <f t="shared" si="79"/>
        <v>8.5897373656296203</v>
      </c>
      <c r="BS77" s="110">
        <f t="shared" si="80"/>
        <v>22.406328453564438</v>
      </c>
      <c r="BT77" s="110">
        <f t="shared" si="81"/>
        <v>8.5344395670290183</v>
      </c>
      <c r="BU77" s="110">
        <f t="shared" si="82"/>
        <v>6.0669252597452017</v>
      </c>
      <c r="BV77" s="110">
        <f t="shared" si="83"/>
        <v>0.71957714291296138</v>
      </c>
    </row>
    <row r="78" spans="4:74" x14ac:dyDescent="0.2">
      <c r="BB78" s="106">
        <v>4</v>
      </c>
      <c r="BC78" s="7">
        <f t="shared" si="68"/>
        <v>0.01</v>
      </c>
      <c r="BD78" s="7">
        <f t="shared" si="68"/>
        <v>0</v>
      </c>
      <c r="BE78" s="7">
        <f t="shared" si="68"/>
        <v>0</v>
      </c>
      <c r="BF78" s="7">
        <f t="shared" si="68"/>
        <v>0</v>
      </c>
      <c r="BG78" s="186">
        <f t="shared" si="69"/>
        <v>0</v>
      </c>
      <c r="BH78" s="186"/>
      <c r="BI78" s="186">
        <f t="shared" si="70"/>
        <v>0</v>
      </c>
      <c r="BJ78" s="186">
        <f t="shared" si="71"/>
        <v>0</v>
      </c>
      <c r="BK78" s="186">
        <f t="shared" si="72"/>
        <v>0</v>
      </c>
      <c r="BL78" s="186">
        <f t="shared" si="73"/>
        <v>0</v>
      </c>
      <c r="BM78" s="186">
        <f t="shared" si="74"/>
        <v>0</v>
      </c>
      <c r="BN78" s="7">
        <f t="shared" si="75"/>
        <v>0.99000100000000002</v>
      </c>
      <c r="BO78" s="110">
        <f t="shared" si="76"/>
        <v>2.4014795629008772</v>
      </c>
      <c r="BP78" s="110">
        <f t="shared" si="77"/>
        <v>4.2331745190812011</v>
      </c>
      <c r="BQ78" s="110">
        <f t="shared" si="78"/>
        <v>0.53394179126400299</v>
      </c>
      <c r="BR78" s="110">
        <f t="shared" si="79"/>
        <v>8.6107066854075391</v>
      </c>
      <c r="BS78" s="110">
        <f t="shared" si="80"/>
        <v>22.41805419060465</v>
      </c>
      <c r="BT78" s="110">
        <f t="shared" si="81"/>
        <v>8.5559243344879015</v>
      </c>
      <c r="BU78" s="110">
        <f t="shared" si="82"/>
        <v>6.0115813639928124</v>
      </c>
      <c r="BV78" s="110">
        <f t="shared" si="83"/>
        <v>0.72137911963674184</v>
      </c>
    </row>
    <row r="79" spans="4:74" x14ac:dyDescent="0.2">
      <c r="BB79" s="106">
        <v>5</v>
      </c>
      <c r="BC79" s="7">
        <f t="shared" si="68"/>
        <v>1.2500000000000001E-2</v>
      </c>
      <c r="BD79" s="7">
        <f t="shared" si="68"/>
        <v>0</v>
      </c>
      <c r="BE79" s="7">
        <f t="shared" si="68"/>
        <v>0</v>
      </c>
      <c r="BF79" s="7">
        <f t="shared" si="68"/>
        <v>0</v>
      </c>
      <c r="BG79" s="186">
        <f t="shared" si="69"/>
        <v>0</v>
      </c>
      <c r="BH79" s="186"/>
      <c r="BI79" s="186">
        <f t="shared" si="70"/>
        <v>0</v>
      </c>
      <c r="BJ79" s="186">
        <f t="shared" si="71"/>
        <v>0</v>
      </c>
      <c r="BK79" s="186">
        <f t="shared" si="72"/>
        <v>0</v>
      </c>
      <c r="BL79" s="186">
        <f t="shared" si="73"/>
        <v>0</v>
      </c>
      <c r="BM79" s="186">
        <f t="shared" si="74"/>
        <v>0</v>
      </c>
      <c r="BN79" s="7">
        <f t="shared" si="75"/>
        <v>0.98750100000000007</v>
      </c>
      <c r="BO79" s="110">
        <f t="shared" si="76"/>
        <v>2.4075216891349385</v>
      </c>
      <c r="BP79" s="110">
        <f t="shared" si="77"/>
        <v>4.2133576705035782</v>
      </c>
      <c r="BQ79" s="110">
        <f t="shared" si="78"/>
        <v>0.53527252482544019</v>
      </c>
      <c r="BR79" s="110">
        <f t="shared" si="79"/>
        <v>8.631782178848967</v>
      </c>
      <c r="BS79" s="110">
        <f t="shared" si="80"/>
        <v>22.429839298405195</v>
      </c>
      <c r="BT79" s="110">
        <f t="shared" si="81"/>
        <v>8.5775178854693248</v>
      </c>
      <c r="BU79" s="110">
        <f t="shared" si="82"/>
        <v>5.9559572462672179</v>
      </c>
      <c r="BV79" s="110">
        <f t="shared" si="83"/>
        <v>0.72319022028406166</v>
      </c>
    </row>
    <row r="80" spans="4:74" x14ac:dyDescent="0.2">
      <c r="BB80" s="106">
        <v>6</v>
      </c>
      <c r="BC80" s="7">
        <f t="shared" si="68"/>
        <v>1.4999999999999999E-2</v>
      </c>
      <c r="BD80" s="7">
        <f t="shared" si="68"/>
        <v>0</v>
      </c>
      <c r="BE80" s="7">
        <f t="shared" si="68"/>
        <v>0</v>
      </c>
      <c r="BF80" s="7">
        <f t="shared" si="68"/>
        <v>0</v>
      </c>
      <c r="BG80" s="186">
        <f t="shared" si="69"/>
        <v>0</v>
      </c>
      <c r="BH80" s="186"/>
      <c r="BI80" s="186">
        <f t="shared" si="70"/>
        <v>0</v>
      </c>
      <c r="BJ80" s="186">
        <f t="shared" si="71"/>
        <v>0</v>
      </c>
      <c r="BK80" s="186">
        <f t="shared" si="72"/>
        <v>0</v>
      </c>
      <c r="BL80" s="186">
        <f t="shared" si="73"/>
        <v>0</v>
      </c>
      <c r="BM80" s="186">
        <f t="shared" si="74"/>
        <v>0</v>
      </c>
      <c r="BN80" s="7">
        <f t="shared" si="75"/>
        <v>0.98500100000000002</v>
      </c>
      <c r="BO80" s="110">
        <f t="shared" si="76"/>
        <v>2.4135944860294063</v>
      </c>
      <c r="BP80" s="110">
        <f t="shared" si="77"/>
        <v>4.1934402288880914</v>
      </c>
      <c r="BQ80" s="110">
        <f t="shared" si="78"/>
        <v>0.5366100133727173</v>
      </c>
      <c r="BR80" s="110">
        <f t="shared" si="79"/>
        <v>8.6529646543819947</v>
      </c>
      <c r="BS80" s="110">
        <f t="shared" si="80"/>
        <v>22.441684229027238</v>
      </c>
      <c r="BT80" s="110">
        <f t="shared" si="81"/>
        <v>8.5992210482733817</v>
      </c>
      <c r="BU80" s="110">
        <f t="shared" si="82"/>
        <v>5.9000507729007383</v>
      </c>
      <c r="BV80" s="110">
        <f t="shared" si="83"/>
        <v>0.72501051432634911</v>
      </c>
    </row>
    <row r="81" spans="54:74" x14ac:dyDescent="0.2">
      <c r="BB81" s="106">
        <v>7</v>
      </c>
      <c r="BC81" s="7">
        <f t="shared" si="68"/>
        <v>1.7500000000000002E-2</v>
      </c>
      <c r="BD81" s="7">
        <f t="shared" si="68"/>
        <v>0</v>
      </c>
      <c r="BE81" s="7">
        <f t="shared" si="68"/>
        <v>0</v>
      </c>
      <c r="BF81" s="7">
        <f t="shared" si="68"/>
        <v>0</v>
      </c>
      <c r="BG81" s="186">
        <f t="shared" si="69"/>
        <v>0</v>
      </c>
      <c r="BH81" s="186"/>
      <c r="BI81" s="186">
        <f t="shared" si="70"/>
        <v>0</v>
      </c>
      <c r="BJ81" s="186">
        <f t="shared" si="71"/>
        <v>0</v>
      </c>
      <c r="BK81" s="186">
        <f t="shared" si="72"/>
        <v>0</v>
      </c>
      <c r="BL81" s="186">
        <f t="shared" si="73"/>
        <v>0</v>
      </c>
      <c r="BM81" s="186">
        <f t="shared" si="74"/>
        <v>0</v>
      </c>
      <c r="BN81" s="7">
        <f t="shared" si="75"/>
        <v>0.98250100000000007</v>
      </c>
      <c r="BO81" s="110">
        <f t="shared" si="76"/>
        <v>2.4196981877112194</v>
      </c>
      <c r="BP81" s="110">
        <f t="shared" si="77"/>
        <v>4.1734214263497389</v>
      </c>
      <c r="BQ81" s="110">
        <f t="shared" si="78"/>
        <v>0.53795430847055892</v>
      </c>
      <c r="BR81" s="110">
        <f t="shared" si="79"/>
        <v>8.6742549286629771</v>
      </c>
      <c r="BS81" s="110">
        <f t="shared" si="80"/>
        <v>22.453589439133083</v>
      </c>
      <c r="BT81" s="110">
        <f t="shared" si="81"/>
        <v>8.6210346596306948</v>
      </c>
      <c r="BU81" s="110">
        <f t="shared" si="82"/>
        <v>5.8438597885089951</v>
      </c>
      <c r="BV81" s="110">
        <f t="shared" si="83"/>
        <v>0.7268400719421203</v>
      </c>
    </row>
    <row r="82" spans="54:74" x14ac:dyDescent="0.2">
      <c r="BB82" s="106">
        <v>8</v>
      </c>
      <c r="BC82" s="7">
        <f t="shared" si="68"/>
        <v>0.02</v>
      </c>
      <c r="BD82" s="7">
        <f t="shared" si="68"/>
        <v>0</v>
      </c>
      <c r="BE82" s="7">
        <f t="shared" si="68"/>
        <v>0</v>
      </c>
      <c r="BF82" s="7">
        <f t="shared" si="68"/>
        <v>0</v>
      </c>
      <c r="BG82" s="186">
        <f t="shared" si="69"/>
        <v>0</v>
      </c>
      <c r="BH82" s="186"/>
      <c r="BI82" s="186">
        <f t="shared" si="70"/>
        <v>0</v>
      </c>
      <c r="BJ82" s="186">
        <f t="shared" si="71"/>
        <v>0</v>
      </c>
      <c r="BK82" s="186">
        <f t="shared" si="72"/>
        <v>0</v>
      </c>
      <c r="BL82" s="186">
        <f t="shared" si="73"/>
        <v>0</v>
      </c>
      <c r="BM82" s="186">
        <f t="shared" si="74"/>
        <v>0</v>
      </c>
      <c r="BN82" s="7">
        <f t="shared" si="75"/>
        <v>0.98000100000000001</v>
      </c>
      <c r="BO82" s="110">
        <f t="shared" si="76"/>
        <v>2.4258330306963676</v>
      </c>
      <c r="BP82" s="110">
        <f t="shared" si="77"/>
        <v>4.1533004871679626</v>
      </c>
      <c r="BQ82" s="110">
        <f t="shared" si="78"/>
        <v>0.53930546220986053</v>
      </c>
      <c r="BR82" s="110">
        <f t="shared" si="79"/>
        <v>8.6956538266814913</v>
      </c>
      <c r="BS82" s="110">
        <f t="shared" si="80"/>
        <v>22.465555390044837</v>
      </c>
      <c r="BT82" s="110">
        <f t="shared" si="81"/>
        <v>8.6429595648099387</v>
      </c>
      <c r="BU82" s="110">
        <f t="shared" si="82"/>
        <v>5.787382115713914</v>
      </c>
      <c r="BV82" s="110">
        <f t="shared" si="83"/>
        <v>0.7286789640259983</v>
      </c>
    </row>
    <row r="83" spans="54:74" x14ac:dyDescent="0.2">
      <c r="BB83" s="106">
        <v>9</v>
      </c>
      <c r="BC83" s="7">
        <f t="shared" si="68"/>
        <v>2.2499999999999999E-2</v>
      </c>
      <c r="BD83" s="7">
        <f t="shared" si="68"/>
        <v>0</v>
      </c>
      <c r="BE83" s="7">
        <f t="shared" si="68"/>
        <v>0</v>
      </c>
      <c r="BF83" s="7">
        <f t="shared" si="68"/>
        <v>0</v>
      </c>
      <c r="BG83" s="186">
        <f t="shared" si="69"/>
        <v>0</v>
      </c>
      <c r="BH83" s="186"/>
      <c r="BI83" s="186">
        <f t="shared" si="70"/>
        <v>0</v>
      </c>
      <c r="BJ83" s="186">
        <f t="shared" si="71"/>
        <v>0</v>
      </c>
      <c r="BK83" s="186">
        <f t="shared" si="72"/>
        <v>0</v>
      </c>
      <c r="BL83" s="186">
        <f t="shared" si="73"/>
        <v>0</v>
      </c>
      <c r="BM83" s="186">
        <f t="shared" si="74"/>
        <v>0</v>
      </c>
      <c r="BN83" s="7">
        <f t="shared" si="75"/>
        <v>0.97750100000000006</v>
      </c>
      <c r="BO83" s="110">
        <f t="shared" si="76"/>
        <v>2.4319992539204365</v>
      </c>
      <c r="BP83" s="110">
        <f t="shared" si="77"/>
        <v>4.1330766276864539</v>
      </c>
      <c r="BQ83" s="110">
        <f t="shared" si="78"/>
        <v>0.54066352721441546</v>
      </c>
      <c r="BR83" s="110">
        <f t="shared" si="79"/>
        <v>8.7171621818668985</v>
      </c>
      <c r="BS83" s="110">
        <f t="shared" si="80"/>
        <v>22.477582547804005</v>
      </c>
      <c r="BT83" s="110">
        <f t="shared" si="81"/>
        <v>8.6649966177270326</v>
      </c>
      <c r="BU83" s="110">
        <f t="shared" si="82"/>
        <v>5.7306155548624789</v>
      </c>
      <c r="BV83" s="110">
        <f t="shared" si="83"/>
        <v>0.73052726219786912</v>
      </c>
    </row>
    <row r="84" spans="54:74" x14ac:dyDescent="0.2">
      <c r="BB84" s="106">
        <v>10</v>
      </c>
      <c r="BC84" s="7">
        <f t="shared" si="68"/>
        <v>2.5000000000000001E-2</v>
      </c>
      <c r="BD84" s="7">
        <f t="shared" si="68"/>
        <v>0</v>
      </c>
      <c r="BE84" s="7">
        <f t="shared" si="68"/>
        <v>0</v>
      </c>
      <c r="BF84" s="7">
        <f t="shared" si="68"/>
        <v>0</v>
      </c>
      <c r="BG84" s="186">
        <f t="shared" si="69"/>
        <v>0</v>
      </c>
      <c r="BH84" s="186"/>
      <c r="BI84" s="186">
        <f t="shared" si="70"/>
        <v>0</v>
      </c>
      <c r="BJ84" s="186">
        <f t="shared" si="71"/>
        <v>0</v>
      </c>
      <c r="BK84" s="186">
        <f t="shared" si="72"/>
        <v>0</v>
      </c>
      <c r="BL84" s="186">
        <f t="shared" si="73"/>
        <v>0</v>
      </c>
      <c r="BM84" s="186">
        <f t="shared" si="74"/>
        <v>0</v>
      </c>
      <c r="BN84" s="7">
        <f t="shared" si="75"/>
        <v>0.97500100000000001</v>
      </c>
      <c r="BO84" s="110">
        <f t="shared" si="76"/>
        <v>2.4381970987696326</v>
      </c>
      <c r="BP84" s="110">
        <f t="shared" si="77"/>
        <v>4.1127490562114106</v>
      </c>
      <c r="BQ84" s="110">
        <f t="shared" si="78"/>
        <v>0.54202855664774818</v>
      </c>
      <c r="BR84" s="110">
        <f t="shared" si="79"/>
        <v>8.738780836196538</v>
      </c>
      <c r="BS84" s="110">
        <f t="shared" si="80"/>
        <v>22.489671383232015</v>
      </c>
      <c r="BT84" s="110">
        <f t="shared" si="81"/>
        <v>8.6871466810559994</v>
      </c>
      <c r="BU84" s="110">
        <f t="shared" si="82"/>
        <v>5.6735578837411484</v>
      </c>
      <c r="BV84" s="110">
        <f t="shared" si="83"/>
        <v>0.73238503881218209</v>
      </c>
    </row>
    <row r="85" spans="54:74" x14ac:dyDescent="0.2">
      <c r="BB85" s="106">
        <v>11</v>
      </c>
      <c r="BC85" s="7">
        <f t="shared" si="68"/>
        <v>2.75E-2</v>
      </c>
      <c r="BD85" s="7">
        <f t="shared" si="68"/>
        <v>0</v>
      </c>
      <c r="BE85" s="7">
        <f t="shared" si="68"/>
        <v>0</v>
      </c>
      <c r="BF85" s="7">
        <f t="shared" si="68"/>
        <v>0</v>
      </c>
      <c r="BG85" s="186">
        <f t="shared" si="69"/>
        <v>0</v>
      </c>
      <c r="BH85" s="186"/>
      <c r="BI85" s="186">
        <f t="shared" si="70"/>
        <v>0</v>
      </c>
      <c r="BJ85" s="186">
        <f t="shared" si="71"/>
        <v>0</v>
      </c>
      <c r="BK85" s="186">
        <f t="shared" si="72"/>
        <v>0</v>
      </c>
      <c r="BL85" s="186">
        <f t="shared" si="73"/>
        <v>0</v>
      </c>
      <c r="BM85" s="186">
        <f t="shared" si="74"/>
        <v>0</v>
      </c>
      <c r="BN85" s="7">
        <f t="shared" si="75"/>
        <v>0.97250100000000006</v>
      </c>
      <c r="BO85" s="110">
        <f t="shared" si="76"/>
        <v>2.4444268091122789</v>
      </c>
      <c r="BP85" s="110">
        <f t="shared" si="77"/>
        <v>4.0923169729082307</v>
      </c>
      <c r="BQ85" s="110">
        <f t="shared" si="78"/>
        <v>0.5434006042200511</v>
      </c>
      <c r="BR85" s="110">
        <f t="shared" si="79"/>
        <v>8.7605106403056094</v>
      </c>
      <c r="BS85" s="110">
        <f t="shared" si="80"/>
        <v>22.501822371991626</v>
      </c>
      <c r="BT85" s="110">
        <f t="shared" si="81"/>
        <v>8.7094106263415316</v>
      </c>
      <c r="BU85" s="110">
        <f t="shared" si="82"/>
        <v>5.6162068572858832</v>
      </c>
      <c r="BV85" s="110">
        <f t="shared" si="83"/>
        <v>0.73425236696738971</v>
      </c>
    </row>
    <row r="86" spans="54:74" x14ac:dyDescent="0.2">
      <c r="BB86" s="106">
        <v>12</v>
      </c>
      <c r="BC86" s="7">
        <f t="shared" si="68"/>
        <v>0.03</v>
      </c>
      <c r="BD86" s="7">
        <f t="shared" si="68"/>
        <v>0</v>
      </c>
      <c r="BE86" s="7">
        <f t="shared" si="68"/>
        <v>0</v>
      </c>
      <c r="BF86" s="7">
        <f t="shared" si="68"/>
        <v>0</v>
      </c>
      <c r="BG86" s="186">
        <f t="shared" si="69"/>
        <v>0</v>
      </c>
      <c r="BH86" s="186"/>
      <c r="BI86" s="186">
        <f t="shared" si="70"/>
        <v>0</v>
      </c>
      <c r="BJ86" s="186">
        <f t="shared" si="71"/>
        <v>0</v>
      </c>
      <c r="BK86" s="186">
        <f t="shared" si="72"/>
        <v>0</v>
      </c>
      <c r="BL86" s="186">
        <f t="shared" si="73"/>
        <v>0</v>
      </c>
      <c r="BM86" s="186">
        <f t="shared" si="74"/>
        <v>0</v>
      </c>
      <c r="BN86" s="7">
        <f t="shared" si="75"/>
        <v>0.970001</v>
      </c>
      <c r="BO86" s="110">
        <f t="shared" si="76"/>
        <v>2.4506886313308032</v>
      </c>
      <c r="BP86" s="110">
        <f t="shared" si="77"/>
        <v>4.0717795696966013</v>
      </c>
      <c r="BQ86" s="110">
        <f t="shared" si="78"/>
        <v>0.54477972419522946</v>
      </c>
      <c r="BR86" s="110">
        <f t="shared" si="79"/>
        <v>8.7823524535987385</v>
      </c>
      <c r="BS86" s="110">
        <f t="shared" si="80"/>
        <v>22.514035994649351</v>
      </c>
      <c r="BT86" s="110">
        <f t="shared" si="81"/>
        <v>8.7317893341133193</v>
      </c>
      <c r="BU86" s="110">
        <f t="shared" si="82"/>
        <v>5.5585602072876776</v>
      </c>
      <c r="BV86" s="110">
        <f t="shared" si="83"/>
        <v>0.73612932051553603</v>
      </c>
    </row>
    <row r="87" spans="54:74" x14ac:dyDescent="0.2">
      <c r="BB87" s="106">
        <v>13</v>
      </c>
      <c r="BC87" s="7">
        <f t="shared" si="68"/>
        <v>3.2500000000000001E-2</v>
      </c>
      <c r="BD87" s="7">
        <f t="shared" si="68"/>
        <v>0</v>
      </c>
      <c r="BE87" s="7">
        <f t="shared" si="68"/>
        <v>0</v>
      </c>
      <c r="BF87" s="7">
        <f t="shared" si="68"/>
        <v>0</v>
      </c>
      <c r="BG87" s="186">
        <f>$BC87*$B$50/100*BP$73/O$9/BP$72*BP$71 + $BD87*$C$50/100*BP$73/O$9/BP$72*BP$71 + $BE87*$D$50/100*BP$73/O$9/BP$72*BP$71 + $BF87*$E$50/100*BP$73/O$9/BP$72*BP$71</f>
        <v>0</v>
      </c>
      <c r="BH87" s="186"/>
      <c r="BI87" s="186">
        <f t="shared" si="70"/>
        <v>0</v>
      </c>
      <c r="BJ87" s="186">
        <f t="shared" si="71"/>
        <v>0</v>
      </c>
      <c r="BK87" s="186">
        <f t="shared" si="72"/>
        <v>0</v>
      </c>
      <c r="BL87" s="186">
        <f t="shared" si="73"/>
        <v>0</v>
      </c>
      <c r="BM87" s="186">
        <f t="shared" si="74"/>
        <v>0</v>
      </c>
      <c r="BN87" s="7">
        <f t="shared" si="75"/>
        <v>0.96750100000000006</v>
      </c>
      <c r="BO87" s="110">
        <f t="shared" si="76"/>
        <v>2.4569828143542178</v>
      </c>
      <c r="BP87" s="110">
        <f t="shared" si="77"/>
        <v>4.0511360301439678</v>
      </c>
      <c r="BQ87" s="110">
        <f t="shared" si="78"/>
        <v>0.54616597139805501</v>
      </c>
      <c r="BR87" s="110">
        <f t="shared" si="79"/>
        <v>8.8043071443632783</v>
      </c>
      <c r="BS87" s="110">
        <f t="shared" si="80"/>
        <v>22.52631273673877</v>
      </c>
      <c r="BT87" s="110">
        <f t="shared" si="81"/>
        <v>8.7542836940021154</v>
      </c>
      <c r="BU87" s="110">
        <f t="shared" si="82"/>
        <v>5.5006156420935284</v>
      </c>
      <c r="BV87" s="110">
        <f t="shared" si="83"/>
        <v>0.73801597407199315</v>
      </c>
    </row>
    <row r="88" spans="54:74" x14ac:dyDescent="0.2">
      <c r="BB88" s="106">
        <v>14</v>
      </c>
      <c r="BC88" s="7">
        <f t="shared" si="68"/>
        <v>3.5000000000000003E-2</v>
      </c>
      <c r="BD88" s="7">
        <f t="shared" si="68"/>
        <v>0</v>
      </c>
      <c r="BE88" s="7">
        <f t="shared" si="68"/>
        <v>0</v>
      </c>
      <c r="BF88" s="7">
        <f t="shared" si="68"/>
        <v>0</v>
      </c>
      <c r="BG88" s="186">
        <f t="shared" si="69"/>
        <v>0</v>
      </c>
      <c r="BH88" s="186"/>
      <c r="BI88" s="186">
        <f t="shared" si="70"/>
        <v>0</v>
      </c>
      <c r="BJ88" s="186">
        <f t="shared" si="71"/>
        <v>0</v>
      </c>
      <c r="BK88" s="186">
        <f t="shared" si="72"/>
        <v>0</v>
      </c>
      <c r="BL88" s="186">
        <f t="shared" si="73"/>
        <v>0</v>
      </c>
      <c r="BM88" s="186">
        <f t="shared" si="74"/>
        <v>0</v>
      </c>
      <c r="BN88" s="7">
        <f t="shared" si="75"/>
        <v>0.965001</v>
      </c>
      <c r="BO88" s="110">
        <f t="shared" si="76"/>
        <v>2.4633096096911089</v>
      </c>
      <c r="BP88" s="110">
        <f t="shared" si="77"/>
        <v>4.0303855293573418</v>
      </c>
      <c r="BQ88" s="110">
        <f t="shared" si="78"/>
        <v>0.54755940122143132</v>
      </c>
      <c r="BR88" s="110">
        <f t="shared" si="79"/>
        <v>8.8263755898843659</v>
      </c>
      <c r="BS88" s="110">
        <f t="shared" si="80"/>
        <v>22.538653088824915</v>
      </c>
      <c r="BT88" s="110">
        <f t="shared" si="81"/>
        <v>8.7768946048576417</v>
      </c>
      <c r="BU88" s="110">
        <f t="shared" si="82"/>
        <v>5.4423708463027562</v>
      </c>
      <c r="BV88" s="110">
        <f t="shared" si="83"/>
        <v>0.73991240302534877</v>
      </c>
    </row>
    <row r="89" spans="54:74" x14ac:dyDescent="0.2">
      <c r="BB89" s="106">
        <v>15</v>
      </c>
      <c r="BC89" s="7">
        <f t="shared" si="68"/>
        <v>3.7499999999999999E-2</v>
      </c>
      <c r="BD89" s="7">
        <f t="shared" si="68"/>
        <v>0</v>
      </c>
      <c r="BE89" s="7">
        <f t="shared" si="68"/>
        <v>0</v>
      </c>
      <c r="BF89" s="7">
        <f t="shared" si="68"/>
        <v>0</v>
      </c>
      <c r="BG89" s="186">
        <f t="shared" si="69"/>
        <v>0</v>
      </c>
      <c r="BH89" s="186"/>
      <c r="BI89" s="186">
        <f t="shared" si="70"/>
        <v>0</v>
      </c>
      <c r="BJ89" s="186">
        <f t="shared" si="71"/>
        <v>0</v>
      </c>
      <c r="BK89" s="186">
        <f t="shared" si="72"/>
        <v>0</v>
      </c>
      <c r="BL89" s="186">
        <f t="shared" si="73"/>
        <v>0</v>
      </c>
      <c r="BM89" s="186">
        <f t="shared" si="74"/>
        <v>0</v>
      </c>
      <c r="BN89" s="7">
        <f t="shared" si="75"/>
        <v>0.96250100000000005</v>
      </c>
      <c r="BO89" s="110">
        <f t="shared" si="76"/>
        <v>2.4696692714631361</v>
      </c>
      <c r="BP89" s="110">
        <f t="shared" si="77"/>
        <v>4.0095272338734294</v>
      </c>
      <c r="BQ89" s="110">
        <f t="shared" si="78"/>
        <v>0.54896006963377197</v>
      </c>
      <c r="BR89" s="110">
        <f t="shared" si="79"/>
        <v>8.8485586765617761</v>
      </c>
      <c r="BS89" s="110">
        <f t="shared" si="80"/>
        <v>22.551057546569577</v>
      </c>
      <c r="BT89" s="110">
        <f t="shared" si="81"/>
        <v>8.7996229748683028</v>
      </c>
      <c r="BU89" s="110">
        <f t="shared" si="82"/>
        <v>5.3838234804585996</v>
      </c>
      <c r="BV89" s="110">
        <f t="shared" si="83"/>
        <v>0.74181868354744729</v>
      </c>
    </row>
    <row r="90" spans="54:74" x14ac:dyDescent="0.2">
      <c r="BB90" s="106">
        <v>16</v>
      </c>
      <c r="BC90" s="7">
        <f t="shared" si="68"/>
        <v>0.04</v>
      </c>
      <c r="BD90" s="7">
        <f t="shared" si="68"/>
        <v>0</v>
      </c>
      <c r="BE90" s="7">
        <f t="shared" si="68"/>
        <v>0</v>
      </c>
      <c r="BF90" s="7">
        <f t="shared" si="68"/>
        <v>0</v>
      </c>
      <c r="BG90" s="186">
        <f t="shared" si="69"/>
        <v>0</v>
      </c>
      <c r="BH90" s="186"/>
      <c r="BI90" s="186">
        <f t="shared" si="70"/>
        <v>0</v>
      </c>
      <c r="BJ90" s="186">
        <f t="shared" si="71"/>
        <v>0</v>
      </c>
      <c r="BK90" s="186">
        <f t="shared" si="72"/>
        <v>0</v>
      </c>
      <c r="BL90" s="186">
        <f t="shared" si="73"/>
        <v>0</v>
      </c>
      <c r="BM90" s="186">
        <f t="shared" si="74"/>
        <v>0</v>
      </c>
      <c r="BN90" s="7">
        <f t="shared" si="75"/>
        <v>0.96000099999999999</v>
      </c>
      <c r="BO90" s="110">
        <f t="shared" si="76"/>
        <v>2.4760620564390554</v>
      </c>
      <c r="BP90" s="110">
        <f t="shared" si="77"/>
        <v>3.9885603015470354</v>
      </c>
      <c r="BQ90" s="110">
        <f t="shared" si="78"/>
        <v>0.55036803318649463</v>
      </c>
      <c r="BR90" s="110">
        <f t="shared" si="79"/>
        <v>8.8708573000286179</v>
      </c>
      <c r="BS90" s="110">
        <f t="shared" si="80"/>
        <v>22.563526610797695</v>
      </c>
      <c r="BT90" s="110">
        <f t="shared" si="81"/>
        <v>8.8224697216827934</v>
      </c>
      <c r="BU90" s="110">
        <f t="shared" si="82"/>
        <v>5.324971180734976</v>
      </c>
      <c r="BV90" s="110">
        <f t="shared" si="83"/>
        <v>0.7437348926035896</v>
      </c>
    </row>
    <row r="91" spans="54:74" x14ac:dyDescent="0.2">
      <c r="BB91" s="106">
        <v>17</v>
      </c>
      <c r="BC91" s="7">
        <f t="shared" si="68"/>
        <v>4.2500000000000003E-2</v>
      </c>
      <c r="BD91" s="7">
        <f t="shared" si="68"/>
        <v>0</v>
      </c>
      <c r="BE91" s="7">
        <f t="shared" si="68"/>
        <v>0</v>
      </c>
      <c r="BF91" s="7">
        <f t="shared" si="68"/>
        <v>0</v>
      </c>
      <c r="BG91" s="186">
        <f t="shared" si="69"/>
        <v>0</v>
      </c>
      <c r="BH91" s="186"/>
      <c r="BI91" s="186">
        <f t="shared" si="70"/>
        <v>0</v>
      </c>
      <c r="BJ91" s="186">
        <f t="shared" si="71"/>
        <v>0</v>
      </c>
      <c r="BK91" s="186">
        <f t="shared" si="72"/>
        <v>0</v>
      </c>
      <c r="BL91" s="186">
        <f t="shared" si="73"/>
        <v>0</v>
      </c>
      <c r="BM91" s="186">
        <f t="shared" si="74"/>
        <v>0</v>
      </c>
      <c r="BN91" s="7">
        <f t="shared" si="75"/>
        <v>0.95750100000000005</v>
      </c>
      <c r="BO91" s="110">
        <f t="shared" si="76"/>
        <v>2.48248822406928</v>
      </c>
      <c r="BP91" s="110">
        <f t="shared" si="77"/>
        <v>3.9674838814377229</v>
      </c>
      <c r="BQ91" s="110">
        <f t="shared" si="78"/>
        <v>0.55178334902163106</v>
      </c>
      <c r="BR91" s="110">
        <f t="shared" si="79"/>
        <v>8.8932723652718462</v>
      </c>
      <c r="BS91" s="110">
        <f t="shared" si="80"/>
        <v>22.576060787564746</v>
      </c>
      <c r="BT91" s="110">
        <f t="shared" si="81"/>
        <v>8.8454357725335964</v>
      </c>
      <c r="BU91" s="110">
        <f t="shared" si="82"/>
        <v>5.2658115586183554</v>
      </c>
      <c r="BV91" s="110">
        <f t="shared" si="83"/>
        <v>0.74566110796289053</v>
      </c>
    </row>
    <row r="92" spans="54:74" x14ac:dyDescent="0.2">
      <c r="BB92" s="106">
        <v>18</v>
      </c>
      <c r="BC92" s="7">
        <f t="shared" si="68"/>
        <v>4.4999999999999998E-2</v>
      </c>
      <c r="BD92" s="7">
        <f t="shared" si="68"/>
        <v>0</v>
      </c>
      <c r="BE92" s="7">
        <f t="shared" si="68"/>
        <v>0</v>
      </c>
      <c r="BF92" s="7">
        <f t="shared" si="68"/>
        <v>0</v>
      </c>
      <c r="BG92" s="186">
        <f t="shared" si="69"/>
        <v>0</v>
      </c>
      <c r="BH92" s="186"/>
      <c r="BI92" s="186">
        <f t="shared" si="70"/>
        <v>0</v>
      </c>
      <c r="BJ92" s="186">
        <f t="shared" si="71"/>
        <v>0</v>
      </c>
      <c r="BK92" s="186">
        <f t="shared" si="72"/>
        <v>0</v>
      </c>
      <c r="BL92" s="186">
        <f t="shared" si="73"/>
        <v>0</v>
      </c>
      <c r="BM92" s="186">
        <f t="shared" si="74"/>
        <v>0</v>
      </c>
      <c r="BN92" s="7">
        <f t="shared" si="75"/>
        <v>0.95500099999999999</v>
      </c>
      <c r="BO92" s="110">
        <f t="shared" si="76"/>
        <v>2.4889480365209771</v>
      </c>
      <c r="BP92" s="110">
        <f t="shared" si="77"/>
        <v>3.9462971136946954</v>
      </c>
      <c r="BQ92" s="110">
        <f t="shared" si="78"/>
        <v>0.55320607487955886</v>
      </c>
      <c r="BR92" s="110">
        <f t="shared" si="79"/>
        <v>8.9158047867547179</v>
      </c>
      <c r="BS92" s="110">
        <f t="shared" si="80"/>
        <v>22.588660588225213</v>
      </c>
      <c r="BT92" s="110">
        <f t="shared" si="81"/>
        <v>8.8685220643624234</v>
      </c>
      <c r="BU92" s="110">
        <f t="shared" si="82"/>
        <v>5.2063422005846167</v>
      </c>
      <c r="BV92" s="110">
        <f t="shared" si="83"/>
        <v>0.7475974082088005</v>
      </c>
    </row>
    <row r="93" spans="54:74" x14ac:dyDescent="0.2">
      <c r="BB93" s="106">
        <v>19</v>
      </c>
      <c r="BC93" s="7">
        <f t="shared" si="68"/>
        <v>4.7500000000000001E-2</v>
      </c>
      <c r="BD93" s="7">
        <f t="shared" si="68"/>
        <v>0</v>
      </c>
      <c r="BE93" s="7">
        <f t="shared" si="68"/>
        <v>0</v>
      </c>
      <c r="BF93" s="7">
        <f t="shared" si="68"/>
        <v>0</v>
      </c>
      <c r="BG93" s="186">
        <f t="shared" si="69"/>
        <v>0</v>
      </c>
      <c r="BH93" s="186"/>
      <c r="BI93" s="186">
        <f t="shared" si="70"/>
        <v>0</v>
      </c>
      <c r="BJ93" s="186">
        <f t="shared" si="71"/>
        <v>0</v>
      </c>
      <c r="BK93" s="186">
        <f t="shared" si="72"/>
        <v>0</v>
      </c>
      <c r="BL93" s="186">
        <f t="shared" si="73"/>
        <v>0</v>
      </c>
      <c r="BM93" s="186">
        <f t="shared" si="74"/>
        <v>0</v>
      </c>
      <c r="BN93" s="7">
        <f t="shared" si="75"/>
        <v>0.95250100000000004</v>
      </c>
      <c r="BO93" s="110">
        <f t="shared" si="76"/>
        <v>2.4954417587137221</v>
      </c>
      <c r="BP93" s="110">
        <f t="shared" si="77"/>
        <v>3.9249991294398558</v>
      </c>
      <c r="BQ93" s="110">
        <f t="shared" si="78"/>
        <v>0.55463626910685282</v>
      </c>
      <c r="BR93" s="110">
        <f t="shared" si="79"/>
        <v>8.9384554885411429</v>
      </c>
      <c r="BS93" s="110">
        <f t="shared" si="80"/>
        <v>22.601326529502121</v>
      </c>
      <c r="BT93" s="110">
        <f t="shared" si="81"/>
        <v>8.8917295439476334</v>
      </c>
      <c r="BU93" s="110">
        <f t="shared" si="82"/>
        <v>5.1465606677708315</v>
      </c>
      <c r="BV93" s="110">
        <f t="shared" si="83"/>
        <v>0.74954387274979217</v>
      </c>
    </row>
    <row r="94" spans="54:74" x14ac:dyDescent="0.2">
      <c r="BB94" s="63">
        <v>20</v>
      </c>
      <c r="BC94" s="7">
        <f t="shared" si="68"/>
        <v>0.05</v>
      </c>
      <c r="BD94" s="7">
        <f t="shared" si="68"/>
        <v>0</v>
      </c>
      <c r="BE94" s="7">
        <f t="shared" si="68"/>
        <v>0</v>
      </c>
      <c r="BF94" s="7">
        <f t="shared" si="68"/>
        <v>0</v>
      </c>
      <c r="BG94" s="186">
        <f t="shared" si="69"/>
        <v>0</v>
      </c>
      <c r="BH94" s="186"/>
      <c r="BI94" s="186">
        <f t="shared" si="70"/>
        <v>0</v>
      </c>
      <c r="BJ94" s="186">
        <f t="shared" si="71"/>
        <v>0</v>
      </c>
      <c r="BK94" s="186">
        <f t="shared" si="72"/>
        <v>0</v>
      </c>
      <c r="BL94" s="186">
        <f t="shared" si="73"/>
        <v>0</v>
      </c>
      <c r="BM94" s="186">
        <f t="shared" si="74"/>
        <v>0</v>
      </c>
      <c r="BN94" s="7">
        <f t="shared" si="75"/>
        <v>0.95000099999999998</v>
      </c>
      <c r="BO94" s="110">
        <f t="shared" si="76"/>
        <v>2.5019696583557165</v>
      </c>
      <c r="BP94" s="110">
        <f t="shared" si="77"/>
        <v>3.9035890506490403</v>
      </c>
      <c r="BQ94" s="110">
        <f t="shared" si="78"/>
        <v>0.55607399066426166</v>
      </c>
      <c r="BR94" s="110">
        <f t="shared" si="79"/>
        <v>8.9612254044220094</v>
      </c>
      <c r="BS94" s="110">
        <f t="shared" si="80"/>
        <v>22.614059133557685</v>
      </c>
      <c r="BT94" s="110">
        <f t="shared" si="81"/>
        <v>8.9150591680336682</v>
      </c>
      <c r="BU94" s="110">
        <f t="shared" si="82"/>
        <v>5.0864644956418577</v>
      </c>
      <c r="BV94" s="110">
        <f t="shared" si="83"/>
        <v>0.75150058183021573</v>
      </c>
    </row>
    <row r="95" spans="54:74" x14ac:dyDescent="0.2">
      <c r="BB95" s="213" t="s">
        <v>478</v>
      </c>
      <c r="BC95" s="215">
        <f>(BC72-0)/($BB94-$BB74)</f>
        <v>2.5000000000000001E-3</v>
      </c>
      <c r="BD95" s="215">
        <f>(BD72-0)/($BB94-$BB74)</f>
        <v>0</v>
      </c>
      <c r="BE95" s="215">
        <f>(BE72-0)/($BB94-$BB74)</f>
        <v>0</v>
      </c>
      <c r="BF95" s="215">
        <f>(BF72-0)/($BB94-$BB74)</f>
        <v>0</v>
      </c>
      <c r="BI95" s="186"/>
      <c r="BJ95" s="186"/>
      <c r="BK95" s="186"/>
      <c r="BL95" s="186"/>
      <c r="BM95" s="186"/>
    </row>
    <row r="96" spans="54:74" x14ac:dyDescent="0.2">
      <c r="BB96" s="213" t="s">
        <v>479</v>
      </c>
      <c r="BC96" s="215">
        <v>0</v>
      </c>
      <c r="BD96" s="215">
        <v>0</v>
      </c>
      <c r="BE96" s="215">
        <v>0</v>
      </c>
      <c r="BF96" s="215">
        <v>0</v>
      </c>
      <c r="BI96" s="186"/>
      <c r="BJ96" s="186"/>
      <c r="BK96" s="186"/>
      <c r="BL96" s="186"/>
      <c r="BM96" s="186"/>
    </row>
    <row r="97" spans="54:74" x14ac:dyDescent="0.2">
      <c r="BB97" s="2" t="s">
        <v>480</v>
      </c>
      <c r="BC97" s="184">
        <f>BC94-BC72</f>
        <v>0</v>
      </c>
      <c r="BD97" s="184">
        <f>BD94-BD72</f>
        <v>0</v>
      </c>
      <c r="BE97" s="184">
        <f>BE94-BE72</f>
        <v>0</v>
      </c>
      <c r="BF97" s="184">
        <f>BF94-BF72</f>
        <v>0</v>
      </c>
      <c r="BI97" s="186"/>
      <c r="BJ97" s="186"/>
      <c r="BK97" s="186"/>
      <c r="BL97" s="186"/>
      <c r="BM97" s="186"/>
    </row>
    <row r="99" spans="54:74" x14ac:dyDescent="0.2">
      <c r="BC99" t="s">
        <v>470</v>
      </c>
      <c r="BN99" s="79"/>
      <c r="BO99" s="105"/>
      <c r="BT99" s="59"/>
    </row>
    <row r="100" spans="54:74" x14ac:dyDescent="0.2">
      <c r="BC100" s="1" t="s">
        <v>4</v>
      </c>
      <c r="BD100" s="4" t="s">
        <v>5</v>
      </c>
      <c r="BE100" t="s">
        <v>6</v>
      </c>
      <c r="BF100" s="4"/>
      <c r="BG100" s="4"/>
      <c r="BH100" s="4"/>
      <c r="BI100" s="4"/>
      <c r="BJ100" s="4"/>
      <c r="BK100" s="4"/>
      <c r="BL100" s="4"/>
      <c r="BM100" s="4"/>
      <c r="BN100" s="79"/>
      <c r="BO100" s="105"/>
      <c r="BS100" s="81"/>
    </row>
    <row r="101" spans="54:74" x14ac:dyDescent="0.2">
      <c r="BC101" s="79" t="s">
        <v>10</v>
      </c>
      <c r="BD101" s="229">
        <f>$AV$189</f>
        <v>1</v>
      </c>
      <c r="BE101" t="s">
        <v>11</v>
      </c>
      <c r="BF101" s="4"/>
      <c r="BG101" s="4"/>
      <c r="BH101" s="4"/>
      <c r="BI101" s="4"/>
      <c r="BJ101" s="4"/>
      <c r="BK101" s="4"/>
      <c r="BL101" s="4"/>
      <c r="BM101" s="4"/>
      <c r="BN101" s="218" t="s">
        <v>482</v>
      </c>
      <c r="BO101" s="215">
        <f>($BD$38*$G$19 + $H$56*$BD$37)/($BD$37+$BD$38)</f>
        <v>2.3776131639742282</v>
      </c>
      <c r="BP101" s="215">
        <f>($BD$38*$G$13 + $H$50*$BD$37)/($BD$37+$BD$38)</f>
        <v>4.3114510719536536</v>
      </c>
      <c r="BQ101" s="215">
        <f>($BD$38*$G$20 + $H$57*$BD$37)/($BD$37+$BD$38)</f>
        <v>0.5286853936297895</v>
      </c>
      <c r="BR101" s="215">
        <f>($BD$38*$G$14 + $H$51*$BD$37)/($BD$37+$BD$38)</f>
        <v>8.527458485260123</v>
      </c>
      <c r="BS101" s="215">
        <f>($BD$38*$G$15 + $H$52*$BD$37)/($BD$37+$BD$38)</f>
        <v>22.371503014203249</v>
      </c>
      <c r="BT101" s="215">
        <f>($BD$38*$G$16 + $H$53*$BD$37)/($BD$37+$BD$38)</f>
        <v>8.4706298070315995</v>
      </c>
      <c r="BU101" s="215">
        <f>($BD$38*$G$17 + $H$54*$BD$37)/($BD$37+$BD$38)</f>
        <v>6.2312966317901148</v>
      </c>
      <c r="BV101" s="215">
        <f>($BD$38*$G$18 + $H$55*$BD$37)/($BD$37+$BD$38)</f>
        <v>0.7142252719892741</v>
      </c>
    </row>
    <row r="102" spans="54:74" x14ac:dyDescent="0.2">
      <c r="BB102" s="80" t="s">
        <v>497</v>
      </c>
      <c r="BC102" s="79" t="s">
        <v>18</v>
      </c>
      <c r="BD102" s="229">
        <f>$AV$190</f>
        <v>9.9999999999999995E-7</v>
      </c>
      <c r="BE102" t="s">
        <v>11</v>
      </c>
      <c r="BF102" s="4"/>
      <c r="BG102" s="4"/>
      <c r="BH102" s="4"/>
      <c r="BI102" s="4"/>
      <c r="BJ102" s="4"/>
      <c r="BK102" s="4"/>
      <c r="BL102" s="4"/>
      <c r="BM102" s="4"/>
      <c r="BN102" s="4"/>
      <c r="BO102" s="4" t="s">
        <v>343</v>
      </c>
      <c r="BP102" s="4" t="s">
        <v>12</v>
      </c>
      <c r="BQ102" s="4" t="s">
        <v>343</v>
      </c>
      <c r="BR102" s="4" t="s">
        <v>13</v>
      </c>
      <c r="BS102" s="4" t="s">
        <v>14</v>
      </c>
      <c r="BT102" s="4" t="s">
        <v>15</v>
      </c>
      <c r="BU102" s="4" t="s">
        <v>16</v>
      </c>
      <c r="BV102" s="4" t="s">
        <v>17</v>
      </c>
    </row>
    <row r="103" spans="54:74" x14ac:dyDescent="0.2">
      <c r="BB103" s="214" t="s">
        <v>477</v>
      </c>
      <c r="BC103" s="212">
        <v>0</v>
      </c>
      <c r="BD103" s="216">
        <v>1</v>
      </c>
      <c r="BE103" s="212">
        <v>0</v>
      </c>
      <c r="BF103" s="212">
        <v>0</v>
      </c>
      <c r="BG103" s="59"/>
      <c r="BH103" s="59"/>
      <c r="BI103" s="59"/>
      <c r="BJ103" s="59"/>
      <c r="BK103" s="59"/>
      <c r="BL103" s="59"/>
      <c r="BM103" s="59"/>
      <c r="BN103" s="62" t="s">
        <v>481</v>
      </c>
      <c r="BO103" s="61" t="s">
        <v>5</v>
      </c>
      <c r="BP103" s="61">
        <f>O105+2*15.999+2*1.0079</f>
        <v>34.013800000000003</v>
      </c>
      <c r="BQ103" s="61" t="s">
        <v>5</v>
      </c>
      <c r="BR103" s="61">
        <f>Q105+12.011+3*15.999</f>
        <v>60.007999999999996</v>
      </c>
      <c r="BS103" s="61">
        <f>R105+2*15.999</f>
        <v>31.998000000000001</v>
      </c>
      <c r="BT103" s="61">
        <f>1*S105+2*15.999+1.0079</f>
        <v>33.005900000000004</v>
      </c>
      <c r="BU103" s="61">
        <f>1*T105+2*15.999+1.0079</f>
        <v>33.005900000000004</v>
      </c>
      <c r="BV103" s="61">
        <f>2*15.999+47.87</f>
        <v>79.867999999999995</v>
      </c>
    </row>
    <row r="104" spans="54:74" x14ac:dyDescent="0.2">
      <c r="BB104" s="225" t="s">
        <v>476</v>
      </c>
      <c r="BC104" s="226">
        <f>$BD$101*B$48*BC103</f>
        <v>0</v>
      </c>
      <c r="BD104" s="227">
        <f>$BD$101*C$48*BD103</f>
        <v>0.47303939784249532</v>
      </c>
      <c r="BE104" s="226">
        <f>$BD$101*D$48*BE103</f>
        <v>0</v>
      </c>
      <c r="BF104" s="226">
        <f>$BD$101*E$48*BF103</f>
        <v>0</v>
      </c>
      <c r="BG104" s="235" t="s">
        <v>472</v>
      </c>
      <c r="BH104" s="235"/>
      <c r="BI104" s="235"/>
      <c r="BJ104" s="235"/>
      <c r="BK104" s="235"/>
      <c r="BL104" s="235"/>
      <c r="BM104" s="235"/>
      <c r="BN104" s="62" t="s">
        <v>19</v>
      </c>
      <c r="BO104" s="61">
        <v>1</v>
      </c>
      <c r="BP104" s="61">
        <v>1</v>
      </c>
      <c r="BQ104" s="61">
        <v>1</v>
      </c>
      <c r="BR104" s="61">
        <v>1</v>
      </c>
      <c r="BS104" s="61">
        <v>1</v>
      </c>
      <c r="BT104" s="61">
        <v>1</v>
      </c>
      <c r="BU104" s="61">
        <v>1</v>
      </c>
      <c r="BV104" s="61">
        <v>1</v>
      </c>
    </row>
    <row r="105" spans="54:74" x14ac:dyDescent="0.2">
      <c r="BC105" s="4" t="s">
        <v>11</v>
      </c>
      <c r="BD105" s="4" t="s">
        <v>11</v>
      </c>
      <c r="BE105" s="4" t="s">
        <v>11</v>
      </c>
      <c r="BF105" s="64"/>
      <c r="BG105" s="4" t="s">
        <v>11</v>
      </c>
      <c r="BH105" s="4" t="s">
        <v>11</v>
      </c>
      <c r="BI105" s="4" t="s">
        <v>11</v>
      </c>
      <c r="BJ105" s="4" t="s">
        <v>11</v>
      </c>
      <c r="BK105" s="4" t="s">
        <v>11</v>
      </c>
      <c r="BL105" s="4" t="s">
        <v>11</v>
      </c>
      <c r="BM105" s="4" t="s">
        <v>11</v>
      </c>
      <c r="BN105" s="62" t="s">
        <v>23</v>
      </c>
      <c r="BO105" s="61">
        <v>0</v>
      </c>
      <c r="BP105" s="61">
        <v>0</v>
      </c>
      <c r="BQ105" s="61">
        <v>0</v>
      </c>
      <c r="BR105" s="61">
        <v>0</v>
      </c>
      <c r="BS105" s="61">
        <v>0</v>
      </c>
      <c r="BT105" s="61">
        <v>0</v>
      </c>
      <c r="BU105" s="61">
        <v>0</v>
      </c>
      <c r="BV105" s="61">
        <v>0</v>
      </c>
    </row>
    <row r="106" spans="54:74" x14ac:dyDescent="0.2">
      <c r="BB106" s="63">
        <v>0</v>
      </c>
      <c r="BC106" s="60" t="s">
        <v>471</v>
      </c>
      <c r="BD106" s="60" t="s">
        <v>473</v>
      </c>
      <c r="BE106" s="60" t="s">
        <v>474</v>
      </c>
      <c r="BF106" s="210" t="s">
        <v>475</v>
      </c>
      <c r="BG106" s="60" t="s">
        <v>63</v>
      </c>
      <c r="BH106" s="60" t="s">
        <v>64</v>
      </c>
      <c r="BI106" s="60" t="s">
        <v>65</v>
      </c>
      <c r="BJ106" s="60" t="s">
        <v>66</v>
      </c>
      <c r="BK106" s="60" t="s">
        <v>67</v>
      </c>
      <c r="BL106" s="60" t="s">
        <v>68</v>
      </c>
      <c r="BM106" s="60" t="s">
        <v>69</v>
      </c>
      <c r="BN106" s="60" t="s">
        <v>61</v>
      </c>
      <c r="BO106" s="3" t="s">
        <v>62</v>
      </c>
      <c r="BP106" s="3" t="s">
        <v>63</v>
      </c>
      <c r="BQ106" s="3" t="s">
        <v>64</v>
      </c>
      <c r="BR106" s="3" t="s">
        <v>65</v>
      </c>
      <c r="BS106" s="3" t="s">
        <v>66</v>
      </c>
      <c r="BT106" s="3" t="s">
        <v>67</v>
      </c>
      <c r="BU106" s="3" t="s">
        <v>68</v>
      </c>
      <c r="BV106" s="3" t="s">
        <v>69</v>
      </c>
    </row>
    <row r="107" spans="54:74" x14ac:dyDescent="0.2">
      <c r="BB107" s="106">
        <v>1</v>
      </c>
      <c r="BC107" s="7">
        <f>$BB107*BC$127+BC$128</f>
        <v>0</v>
      </c>
      <c r="BD107" s="7">
        <f>$BB107*BD$127+BD$128</f>
        <v>2.3651969892124765E-2</v>
      </c>
      <c r="BE107" s="7">
        <f>$BB107*BE$127+BE$128</f>
        <v>0</v>
      </c>
      <c r="BF107" s="7">
        <f>$BB107*BF$127+BF$128</f>
        <v>0</v>
      </c>
      <c r="BG107" s="186">
        <f>$BC107*$B$50/100*BP$105/O$9/BP$104*BP$103 + $BD107*$C$50/100*BP$105/O$9/BP$104*BP$103 + $BE107*$D$50/100*BP$105/O$9/BP$104*BP$103 + $BF107*$E$50/100*BP$105/O$9/BP$104*BP$103</f>
        <v>0</v>
      </c>
      <c r="BH107" s="186"/>
      <c r="BI107" s="186">
        <f>$BC107*$B$51/100*BR$105/Q$9/BR$104*BR$103 + $BD107*$C$51/100*BR$105/Q$9/BR$104*BR$103 + $BE107*$D$51/100*BR$105/Q$9/BR$104*BR$103 + $BF107*$E$51/100*BR$105/Q$9/BR$104*BR$103</f>
        <v>0</v>
      </c>
      <c r="BJ107" s="186">
        <f>$BC107*$B$52/100*BS$105/R$9/BS$104*BS$103 + $BD107*$C$52/100*BS$105/R$9/BS$104*BS$103 + $BE107*$D$52/100*BS$105/R$9/BS$104*BS$103 + $BF107*$E$52/100*BS$105/R$9/BS$104*BS$103</f>
        <v>0</v>
      </c>
      <c r="BK107" s="186">
        <f>$BC107*$B$53/100*BT$105/S$9/BT$104*BT$103 + $BD107*$C$53/100*BT$105/S$9/BT$104*BT$103 + $BE107*$D$53/100*BT$105/S$9/BT$104*BT$103 + $BF107*$E$53/100*BT$105/S$9/BT$104*BT$103</f>
        <v>0</v>
      </c>
      <c r="BL107" s="186">
        <f>$BC107*$B$54/100*BU$105/T$9/BU$104*BU$103 + $BD107*$C$54/100*BU$105/T$9/BU$104*BU$103 + $BE107*$D$54/100*BU$105/T$9/BU$104*BU$103 + $BEC107*$E$54/100*BU$105/T$9/BU$104*BU$103</f>
        <v>0</v>
      </c>
      <c r="BM107" s="186">
        <f>$BC107*$B$55/100*BV$105/U$9/BV$104*BV$103 + $BD107*$C$55/100*BV$105/U$9/BV$104*BV$103 + $BE107*$D$55/100*BV$105/U$9/BV$104*BV$103 + $BF107*$E$55/100*BV$105/U$9/BV$104*BV$103</f>
        <v>0</v>
      </c>
      <c r="BN107" s="7">
        <f>$BD$38+SUM(BG107:BM107)+($BD$37-SUM(BC107:BF107))</f>
        <v>0.97634903010787522</v>
      </c>
      <c r="BO107" s="110">
        <f>(($BD$102*$G$19/100 + $BD$101*$H$56/100) - ($BC107*$B$56/100*(1-BO$105) + $BD107*$C$56/100*(1-BO$105) + $BE107*$D$56/100*(1-BO$105) + $BF107*$E$56/100*(1-BO$105)))/($BN107)*100</f>
        <v>2.4244276780599767</v>
      </c>
      <c r="BP107" s="110">
        <f>(($BD$102*$G$13/100 + $BD$101*$H$50/100) - ($BC107*$B$50/100*(1-BP$105) + $BD107*$C$50/100*(1-BP$105) + $BE107*$D$50/100*(1-BP$105) + $BF107*$E$50/100*(1-BP$105)))/($BN107)*100</f>
        <v>4.2259833180390061</v>
      </c>
      <c r="BQ107" s="110">
        <f>(($BD$102*$G$20/100 + $BD$101*$H$57/100) - ($BC107*$B$57/100*(1-BQ$105) + $BD107*$C$57/100*(1-BQ$105) + $BE107*$D$57/100*(1-BQ$105) + $BF107*$E$57/100*(1-BQ$105)))/($BN107)*100</f>
        <v>0.54139219948495199</v>
      </c>
      <c r="BR107" s="110">
        <f>(($BD$102*$G$14/100 + $BD$101*$H$51/100) - ($BC107*$B$51/100*(1-BR$105) + $BD107*$C$51/100*(1-BR$105) + $BE107*$D$51/100*(1-BR$105) + $BF107*$E$51/100*(1-BR$105)))/($BN107)*100</f>
        <v>8.4223934144902621</v>
      </c>
      <c r="BS107" s="110">
        <f>(($BD$102*$G$15/100 + $BD$101*$H$52/100) - ($BC107*$B$52/100*(1-BS$105) + $BD107*$C$52/100*(1-BS$105) + $BE107*$D$52/100*(1-BS$105) + $BF107*$E$52/100*(1-BS$105)))/($BN107)*100</f>
        <v>22.369906964485015</v>
      </c>
      <c r="BT107" s="110">
        <f>(($BD$102*$G$16/100 + $BD$101*$H$53/100) - ($BC107*$B$53/100*(1-BT$105) + $BD107*$C$53/100*(1-BT$105) + $BE107*$D$53/100*(1-BT$105) + $BF107*$E$53/100*(1-BT$105)))/($BN107)*100</f>
        <v>8.6373661554941261</v>
      </c>
      <c r="BU107" s="110">
        <f>(($BD$102*$G$17/100 + $BD$101*$H$54/100) - ($BC107*$B$54/100*(1-BU$105) + $BD107*$C$54/100*(1-BU$105) + $BE107*$D$54/100*(1-BU$105) + $BF107*$E$54/100*(1-BU$105)))/($BN107)*100</f>
        <v>6.2127770277737842</v>
      </c>
      <c r="BV107" s="110">
        <f>(($BD$102*$G$18/100 + $BD$101*$H$55/100) - ($BC107*$B$55/100*(1-BV$105) + $BD107*$C$55/100*(1-BV$105) + $BE107*$D$55/100*(1-BV$105) + $BF107*$E$55/100*(1-BV$105)))/($BN107)*100</f>
        <v>0.69668042244112971</v>
      </c>
    </row>
    <row r="108" spans="54:74" x14ac:dyDescent="0.2">
      <c r="BB108" s="106">
        <v>2</v>
      </c>
      <c r="BC108" s="7">
        <f t="shared" ref="BC108:BF126" si="84">$BB108*BC$127+BC$128</f>
        <v>0</v>
      </c>
      <c r="BD108" s="7">
        <f t="shared" si="84"/>
        <v>4.730393978424953E-2</v>
      </c>
      <c r="BE108" s="7">
        <f t="shared" si="84"/>
        <v>0</v>
      </c>
      <c r="BF108" s="7">
        <f t="shared" si="84"/>
        <v>0</v>
      </c>
      <c r="BG108" s="186">
        <f t="shared" ref="BG108:BG126" si="85">$BC108*$B$50/100*BP$105/O$9/BP$104*BP$103 + $BD108*$C$50/100*BP$105/O$9/BP$104*BP$103 + $BE108*$D$50/100*BP$105/O$9/BP$104*BP$103 + $BF108*$E$50/100*BP$105/O$9/BP$104*BP$103</f>
        <v>0</v>
      </c>
      <c r="BH108" s="186"/>
      <c r="BI108" s="186">
        <f t="shared" ref="BI108:BI126" si="86">$BC108*$B$51/100*BR$105/Q$9/BR$104*BR$103 + $BD108*$C$51/100*BR$105/Q$9/BR$104*BR$103 + $BE108*$D$51/100*BR$105/Q$9/BR$104*BR$103 + $BF108*$E$51/100*BR$105/Q$9/BR$104*BR$103</f>
        <v>0</v>
      </c>
      <c r="BJ108" s="186">
        <f t="shared" ref="BJ108:BJ126" si="87">$BC108*$B$52/100*BS$105/R$9/BS$104*BS$103 + $BD108*$C$52/100*BS$105/R$9/BS$104*BS$103 + $BE108*$D$52/100*BS$105/R$9/BS$104*BS$103 + $BF108*$E$52/100*BS$105/R$9/BS$104*BS$103</f>
        <v>0</v>
      </c>
      <c r="BK108" s="186">
        <f t="shared" ref="BK108:BK126" si="88">$BC108*$B$53/100*BT$105/S$9/BT$104*BT$103 + $BD108*$C$53/100*BT$105/S$9/BT$104*BT$103 + $BE108*$D$53/100*BT$105/S$9/BT$104*BT$103 + $BF108*$E$53/100*BT$105/S$9/BT$104*BT$103</f>
        <v>0</v>
      </c>
      <c r="BL108" s="186">
        <f t="shared" ref="BL108:BL126" si="89">$BC108*$B$54/100*BU$105/T$9/BU$104*BU$103 + $BD108*$C$54/100*BU$105/T$9/BU$104*BU$103 + $BE108*$D$54/100*BU$105/T$9/BU$104*BU$103 + $BEC108*$E$54/100*BU$105/T$9/BU$104*BU$103</f>
        <v>0</v>
      </c>
      <c r="BM108" s="186">
        <f t="shared" ref="BM108:BM126" si="90">$BC108*$B$55/100*BV$105/U$9/BV$104*BV$103 + $BD108*$C$55/100*BV$105/U$9/BV$104*BV$103 + $BE108*$D$55/100*BV$105/U$9/BV$104*BV$103 + $BF108*$E$55/100*BV$105/U$9/BV$104*BV$103</f>
        <v>0</v>
      </c>
      <c r="BN108" s="7">
        <f t="shared" ref="BN108:BN126" si="91">$BD$38+SUM(BG108:BM108)+($BD$37-SUM(BC108:BF108))</f>
        <v>0.95269706021575051</v>
      </c>
      <c r="BO108" s="110">
        <f t="shared" ref="BO108:BO126" si="92">(($BD$102*$G$19/100 + $BD$101*$H$56/100) - ($BC108*$B$56/100*(1-BO$105) + $BD108*$C$56/100*(1-BO$105) + $BE108*$D$56/100*(1-BO$105) + $BF108*$E$56/100*(1-BO$105)))/($BN108)*100</f>
        <v>2.4735666571281616</v>
      </c>
      <c r="BP108" s="110">
        <f t="shared" ref="BP108:BP126" si="93">(($BD$102*$G$13/100 + $BD$101*$H$50/100) - ($BC108*$B$50/100*(1-BP$105) + $BD108*$C$50/100*(1-BP$105) + $BE108*$D$50/100*(1-BP$105) + $BF108*$E$50/100*(1-BP$105)))/($BN108)*100</f>
        <v>4.1362718631059474</v>
      </c>
      <c r="BQ108" s="110">
        <f t="shared" ref="BQ108:BQ126" si="94">(($BD$102*$G$20/100 + $BD$101*$H$57/100) - ($BC108*$B$57/100*(1-BQ$105) + $BD108*$C$57/100*(1-BQ$105) + $BE108*$D$57/100*(1-BQ$105) + $BF108*$E$57/100*(1-BQ$105)))/($BN108)*100</f>
        <v>0.55472993200518317</v>
      </c>
      <c r="BR108" s="110">
        <f t="shared" ref="BR108:BR126" si="95">(($BD$102*$G$14/100 + $BD$101*$H$51/100) - ($BC108*$B$51/100*(1-BR$105) + $BD108*$C$51/100*(1-BR$105) + $BE108*$D$51/100*(1-BR$105) + $BF108*$E$51/100*(1-BR$105)))/($BN108)*100</f>
        <v>8.3121115838618191</v>
      </c>
      <c r="BS108" s="110">
        <f t="shared" ref="BS108:BS126" si="96">(($BD$102*$G$15/100 + $BD$101*$H$52/100) - ($BC108*$B$52/100*(1-BS$105) + $BD108*$C$52/100*(1-BS$105) + $BE108*$D$52/100*(1-BS$105) + $BF108*$E$52/100*(1-BS$105)))/($BN108)*100</f>
        <v>22.368231666658524</v>
      </c>
      <c r="BT108" s="110">
        <f t="shared" ref="BT108:BT126" si="97">(($BD$102*$G$16/100 + $BD$101*$H$53/100) - ($BC108*$B$53/100*(1-BT$105) + $BD108*$C$53/100*(1-BT$105) + $BE108*$D$53/100*(1-BT$105) + $BF108*$E$53/100*(1-BT$105)))/($BN108)*100</f>
        <v>8.8123814065762662</v>
      </c>
      <c r="BU108" s="110">
        <f t="shared" ref="BU108:BU126" si="98">(($BD$102*$G$17/100 + $BD$101*$H$54/100) - ($BC108*$B$54/100*(1-BU$105) + $BD108*$C$54/100*(1-BU$105) + $BE108*$D$54/100*(1-BU$105) + $BF108*$E$54/100*(1-BU$105)))/($BN108)*100</f>
        <v>6.1933378762225662</v>
      </c>
      <c r="BV108" s="110">
        <f t="shared" ref="BV108:BV126" si="99">(($BD$102*$G$18/100 + $BD$101*$H$55/100) - ($BC108*$B$55/100*(1-BV$105) + $BD108*$C$55/100*(1-BV$105) + $BE108*$D$55/100*(1-BV$105) + $BF108*$E$55/100*(1-BV$105)))/($BN108)*100</f>
        <v>0.67826442450678048</v>
      </c>
    </row>
    <row r="109" spans="54:74" x14ac:dyDescent="0.2">
      <c r="BB109" s="106">
        <v>3</v>
      </c>
      <c r="BC109" s="7">
        <f t="shared" si="84"/>
        <v>0</v>
      </c>
      <c r="BD109" s="7">
        <f t="shared" si="84"/>
        <v>7.0955909676374301E-2</v>
      </c>
      <c r="BE109" s="7">
        <f t="shared" si="84"/>
        <v>0</v>
      </c>
      <c r="BF109" s="7">
        <f t="shared" si="84"/>
        <v>0</v>
      </c>
      <c r="BG109" s="186">
        <f t="shared" si="85"/>
        <v>0</v>
      </c>
      <c r="BH109" s="186"/>
      <c r="BI109" s="186">
        <f t="shared" si="86"/>
        <v>0</v>
      </c>
      <c r="BJ109" s="186">
        <f t="shared" si="87"/>
        <v>0</v>
      </c>
      <c r="BK109" s="186">
        <f t="shared" si="88"/>
        <v>0</v>
      </c>
      <c r="BL109" s="186">
        <f t="shared" si="89"/>
        <v>0</v>
      </c>
      <c r="BM109" s="186">
        <f t="shared" si="90"/>
        <v>0</v>
      </c>
      <c r="BN109" s="7">
        <f t="shared" si="91"/>
        <v>0.9290450903236257</v>
      </c>
      <c r="BO109" s="110">
        <f t="shared" si="92"/>
        <v>2.5252076324192547</v>
      </c>
      <c r="BP109" s="110">
        <f t="shared" si="93"/>
        <v>4.0419925940739727</v>
      </c>
      <c r="BQ109" s="110">
        <f t="shared" si="94"/>
        <v>0.5687467782762613</v>
      </c>
      <c r="BR109" s="110">
        <f t="shared" si="95"/>
        <v>8.1962145628301517</v>
      </c>
      <c r="BS109" s="110">
        <f t="shared" si="96"/>
        <v>22.366471068141756</v>
      </c>
      <c r="BT109" s="110">
        <f t="shared" si="97"/>
        <v>8.9963078622756445</v>
      </c>
      <c r="BU109" s="110">
        <f t="shared" si="98"/>
        <v>6.172908946603509</v>
      </c>
      <c r="BV109" s="110">
        <f t="shared" si="99"/>
        <v>0.65891074414299189</v>
      </c>
    </row>
    <row r="110" spans="54:74" x14ac:dyDescent="0.2">
      <c r="BB110" s="106">
        <v>4</v>
      </c>
      <c r="BC110" s="7">
        <f t="shared" si="84"/>
        <v>0</v>
      </c>
      <c r="BD110" s="7">
        <f t="shared" si="84"/>
        <v>9.4607879568499059E-2</v>
      </c>
      <c r="BE110" s="7">
        <f t="shared" si="84"/>
        <v>0</v>
      </c>
      <c r="BF110" s="7">
        <f t="shared" si="84"/>
        <v>0</v>
      </c>
      <c r="BG110" s="186">
        <f t="shared" si="85"/>
        <v>0</v>
      </c>
      <c r="BH110" s="186"/>
      <c r="BI110" s="186">
        <f t="shared" si="86"/>
        <v>0</v>
      </c>
      <c r="BJ110" s="186">
        <f t="shared" si="87"/>
        <v>0</v>
      </c>
      <c r="BK110" s="186">
        <f t="shared" si="88"/>
        <v>0</v>
      </c>
      <c r="BL110" s="186">
        <f t="shared" si="89"/>
        <v>0</v>
      </c>
      <c r="BM110" s="186">
        <f t="shared" si="90"/>
        <v>0</v>
      </c>
      <c r="BN110" s="7">
        <f t="shared" si="91"/>
        <v>0.905393120431501</v>
      </c>
      <c r="BO110" s="110">
        <f t="shared" si="92"/>
        <v>2.5795466860703922</v>
      </c>
      <c r="BP110" s="110">
        <f t="shared" si="93"/>
        <v>3.9427875300866888</v>
      </c>
      <c r="BQ110" s="110">
        <f t="shared" si="94"/>
        <v>0.58349596063098019</v>
      </c>
      <c r="BR110" s="110">
        <f t="shared" si="95"/>
        <v>8.074262287367743</v>
      </c>
      <c r="BS110" s="110">
        <f t="shared" si="96"/>
        <v>22.364618483895978</v>
      </c>
      <c r="BT110" s="110">
        <f t="shared" si="97"/>
        <v>9.1898438961668543</v>
      </c>
      <c r="BU110" s="110">
        <f t="shared" si="98"/>
        <v>6.1514126697352305</v>
      </c>
      <c r="BV110" s="110">
        <f t="shared" si="99"/>
        <v>0.63854589491799529</v>
      </c>
    </row>
    <row r="111" spans="54:74" x14ac:dyDescent="0.2">
      <c r="BB111" s="106">
        <v>5</v>
      </c>
      <c r="BC111" s="7">
        <f t="shared" si="84"/>
        <v>0</v>
      </c>
      <c r="BD111" s="7">
        <f t="shared" si="84"/>
        <v>0.11825984946062382</v>
      </c>
      <c r="BE111" s="7">
        <f t="shared" si="84"/>
        <v>0</v>
      </c>
      <c r="BF111" s="7">
        <f t="shared" si="84"/>
        <v>0</v>
      </c>
      <c r="BG111" s="186">
        <f t="shared" si="85"/>
        <v>0</v>
      </c>
      <c r="BH111" s="186"/>
      <c r="BI111" s="186">
        <f t="shared" si="86"/>
        <v>0</v>
      </c>
      <c r="BJ111" s="186">
        <f t="shared" si="87"/>
        <v>0</v>
      </c>
      <c r="BK111" s="186">
        <f t="shared" si="88"/>
        <v>0</v>
      </c>
      <c r="BL111" s="186">
        <f t="shared" si="89"/>
        <v>0</v>
      </c>
      <c r="BM111" s="186">
        <f t="shared" si="90"/>
        <v>0</v>
      </c>
      <c r="BN111" s="7">
        <f t="shared" si="91"/>
        <v>0.88174115053937618</v>
      </c>
      <c r="BO111" s="110">
        <f t="shared" si="92"/>
        <v>2.6368009391769189</v>
      </c>
      <c r="BP111" s="110">
        <f t="shared" si="93"/>
        <v>3.8382602801378272</v>
      </c>
      <c r="BQ111" s="110">
        <f t="shared" si="94"/>
        <v>0.59903641198062763</v>
      </c>
      <c r="BR111" s="110">
        <f t="shared" si="95"/>
        <v>7.9457674760471679</v>
      </c>
      <c r="BS111" s="110">
        <f t="shared" si="96"/>
        <v>22.362666511600146</v>
      </c>
      <c r="BT111" s="110">
        <f t="shared" si="97"/>
        <v>9.3937628149757888</v>
      </c>
      <c r="BU111" s="110">
        <f t="shared" si="98"/>
        <v>6.1287631535223435</v>
      </c>
      <c r="BV111" s="110">
        <f t="shared" si="99"/>
        <v>0.61708850555141048</v>
      </c>
    </row>
    <row r="112" spans="54:74" x14ac:dyDescent="0.2">
      <c r="BB112" s="106">
        <v>6</v>
      </c>
      <c r="BC112" s="7">
        <f t="shared" si="84"/>
        <v>0</v>
      </c>
      <c r="BD112" s="7">
        <f t="shared" si="84"/>
        <v>0.1419118193527486</v>
      </c>
      <c r="BE112" s="7">
        <f t="shared" si="84"/>
        <v>0</v>
      </c>
      <c r="BF112" s="7">
        <f t="shared" si="84"/>
        <v>0</v>
      </c>
      <c r="BG112" s="186">
        <f t="shared" si="85"/>
        <v>0</v>
      </c>
      <c r="BH112" s="186"/>
      <c r="BI112" s="186">
        <f t="shared" si="86"/>
        <v>0</v>
      </c>
      <c r="BJ112" s="186">
        <f t="shared" si="87"/>
        <v>0</v>
      </c>
      <c r="BK112" s="186">
        <f t="shared" si="88"/>
        <v>0</v>
      </c>
      <c r="BL112" s="186">
        <f t="shared" si="89"/>
        <v>0</v>
      </c>
      <c r="BM112" s="186">
        <f t="shared" si="90"/>
        <v>0</v>
      </c>
      <c r="BN112" s="7">
        <f t="shared" si="91"/>
        <v>0.85808918064725137</v>
      </c>
      <c r="BO112" s="110">
        <f t="shared" si="92"/>
        <v>2.6972114513325351</v>
      </c>
      <c r="BP112" s="110">
        <f t="shared" si="93"/>
        <v>3.7279707494739656</v>
      </c>
      <c r="BQ112" s="110">
        <f t="shared" si="94"/>
        <v>0.61543356283359418</v>
      </c>
      <c r="BR112" s="110">
        <f t="shared" si="95"/>
        <v>7.8101891226491693</v>
      </c>
      <c r="BS112" s="110">
        <f t="shared" si="96"/>
        <v>22.36060693279671</v>
      </c>
      <c r="BT112" s="110">
        <f t="shared" si="97"/>
        <v>9.6089231856917774</v>
      </c>
      <c r="BU112" s="110">
        <f t="shared" si="98"/>
        <v>6.1048650359108594</v>
      </c>
      <c r="BV112" s="110">
        <f t="shared" si="99"/>
        <v>0.59444823324280016</v>
      </c>
    </row>
    <row r="113" spans="54:74" x14ac:dyDescent="0.2">
      <c r="BB113" s="106">
        <v>7</v>
      </c>
      <c r="BC113" s="7">
        <f t="shared" si="84"/>
        <v>0</v>
      </c>
      <c r="BD113" s="7">
        <f t="shared" si="84"/>
        <v>0.16556378924487336</v>
      </c>
      <c r="BE113" s="7">
        <f t="shared" si="84"/>
        <v>0</v>
      </c>
      <c r="BF113" s="7">
        <f t="shared" si="84"/>
        <v>0</v>
      </c>
      <c r="BG113" s="186">
        <f t="shared" si="85"/>
        <v>0</v>
      </c>
      <c r="BH113" s="186"/>
      <c r="BI113" s="186">
        <f t="shared" si="86"/>
        <v>0</v>
      </c>
      <c r="BJ113" s="186">
        <f t="shared" si="87"/>
        <v>0</v>
      </c>
      <c r="BK113" s="186">
        <f t="shared" si="88"/>
        <v>0</v>
      </c>
      <c r="BL113" s="186">
        <f t="shared" si="89"/>
        <v>0</v>
      </c>
      <c r="BM113" s="186">
        <f t="shared" si="90"/>
        <v>0</v>
      </c>
      <c r="BN113" s="7">
        <f t="shared" si="91"/>
        <v>0.83443721075512667</v>
      </c>
      <c r="BO113" s="110">
        <f>(($BD$102*$G$19/100 + $BD$101*$H$56/100) - ($BC113*$B$56/100*(1-BO$105) + $BD113*$C$56/100*(1-BO$105) + $BE113*$D$56/100*(1-BO$105) + $BF113*$E$56/100*(1-BO$105)))/($BN113)*100</f>
        <v>2.7610466132910507</v>
      </c>
      <c r="BP113" s="110">
        <f>(($BD$102*$G$13/100 + $BD$101*$H$50/100) - ($BC113*$B$50/100*(1-BP$105) + $BD113*$C$50/100*(1-BP$105) + $BE113*$D$50/100*(1-BP$105) + $BF113*$E$50/100*(1-BP$105)))/($BN113)*100</f>
        <v>3.6114289457209918</v>
      </c>
      <c r="BQ113" s="110">
        <f>(($BD$102*$G$20/100 + $BD$101*$H$57/100) - ($BC113*$B$57/100*(1-BQ$105) + $BD113*$C$57/100*(1-BQ$105) + $BE113*$D$57/100*(1-BQ$105) + $BF113*$E$57/100*(1-BQ$105)))/($BN113)*100</f>
        <v>0.63276026216137038</v>
      </c>
      <c r="BR113" s="110">
        <f>(($BD$102*$G$14/100 + $BD$101*$H$51/100) - ($BC113*$B$51/100*(1-BR$105) + $BD113*$C$51/100*(1-BR$105) + $BE113*$D$51/100*(1-BR$105) + $BF113*$E$51/100*(1-BR$105)))/($BN113)*100</f>
        <v>7.6669248820657412</v>
      </c>
      <c r="BS113" s="110">
        <f>(($BD$102*$G$15/100 + $BD$101*$H$52/100) - ($BC113*$B$52/100*(1-BS$105) + $BD113*$C$52/100*(1-BS$105) + $BE113*$D$52/100*(1-BS$105) + $BF113*$E$52/100*(1-BS$105)))/($BN113)*100</f>
        <v>22.358430597225425</v>
      </c>
      <c r="BT113" s="110">
        <f>(($BD$102*$G$16/100 + $BD$101*$H$53/100) - ($BC113*$B$53/100*(1-BT$105) + $BD113*$C$53/100*(1-BT$105) + $BE113*$D$53/100*(1-BT$105) + $BF113*$E$53/100*(1-BT$105)))/($BN113)*100</f>
        <v>9.8362809190003251</v>
      </c>
      <c r="BU113" s="110">
        <f>(($BD$102*$G$17/100 + $BD$101*$H$54/100) - ($BC113*$B$54/100*(1-BU$105) + $BD113*$C$54/100*(1-BU$105) + $BE113*$D$54/100*(1-BU$105) + $BF113*$E$54/100*(1-BU$105)))/($BN113)*100</f>
        <v>6.0796121427669805</v>
      </c>
      <c r="BV113" s="110">
        <f>(($BD$102*$G$18/100 + $BD$101*$H$55/100) - ($BC113*$B$55/100*(1-BV$105) + $BD113*$C$55/100*(1-BV$105) + $BE113*$D$55/100*(1-BV$105) + $BF113*$E$55/100*(1-BV$105)))/($BN113)*100</f>
        <v>0.57052449219120771</v>
      </c>
    </row>
    <row r="114" spans="54:74" x14ac:dyDescent="0.2">
      <c r="BB114" s="106">
        <v>8</v>
      </c>
      <c r="BC114" s="7">
        <f t="shared" si="84"/>
        <v>0</v>
      </c>
      <c r="BD114" s="7">
        <f t="shared" si="84"/>
        <v>0.18921575913699812</v>
      </c>
      <c r="BE114" s="7">
        <f t="shared" si="84"/>
        <v>0</v>
      </c>
      <c r="BF114" s="7">
        <f t="shared" si="84"/>
        <v>0</v>
      </c>
      <c r="BG114" s="186">
        <f t="shared" si="85"/>
        <v>0</v>
      </c>
      <c r="BH114" s="186"/>
      <c r="BI114" s="186">
        <f t="shared" si="86"/>
        <v>0</v>
      </c>
      <c r="BJ114" s="186">
        <f t="shared" si="87"/>
        <v>0</v>
      </c>
      <c r="BK114" s="186">
        <f t="shared" si="88"/>
        <v>0</v>
      </c>
      <c r="BL114" s="186">
        <f t="shared" si="89"/>
        <v>0</v>
      </c>
      <c r="BM114" s="186">
        <f t="shared" si="90"/>
        <v>0</v>
      </c>
      <c r="BN114" s="7">
        <f t="shared" si="91"/>
        <v>0.81078524086300197</v>
      </c>
      <c r="BO114" s="110">
        <f t="shared" si="92"/>
        <v>2.8286061334460593</v>
      </c>
      <c r="BP114" s="110">
        <f t="shared" si="93"/>
        <v>3.4880877008962869</v>
      </c>
      <c r="BQ114" s="110">
        <f t="shared" si="94"/>
        <v>0.65109785944381138</v>
      </c>
      <c r="BR114" s="110">
        <f t="shared" si="95"/>
        <v>7.515302123507098</v>
      </c>
      <c r="BS114" s="110">
        <f t="shared" si="96"/>
        <v>22.356127286912088</v>
      </c>
      <c r="BT114" s="110">
        <f t="shared" si="97"/>
        <v>10.076903467680282</v>
      </c>
      <c r="BU114" s="110">
        <f t="shared" si="98"/>
        <v>6.0528859108442852</v>
      </c>
      <c r="BV114" s="110">
        <f t="shared" si="99"/>
        <v>0.54520495956734394</v>
      </c>
    </row>
    <row r="115" spans="54:74" x14ac:dyDescent="0.2">
      <c r="BB115" s="106">
        <v>9</v>
      </c>
      <c r="BC115" s="7">
        <f t="shared" si="84"/>
        <v>0</v>
      </c>
      <c r="BD115" s="7">
        <f t="shared" si="84"/>
        <v>0.21286772902912288</v>
      </c>
      <c r="BE115" s="7">
        <f t="shared" si="84"/>
        <v>0</v>
      </c>
      <c r="BF115" s="7">
        <f t="shared" si="84"/>
        <v>0</v>
      </c>
      <c r="BG115" s="186">
        <f t="shared" si="85"/>
        <v>0</v>
      </c>
      <c r="BH115" s="186"/>
      <c r="BI115" s="186">
        <f t="shared" si="86"/>
        <v>0</v>
      </c>
      <c r="BJ115" s="186">
        <f t="shared" si="87"/>
        <v>0</v>
      </c>
      <c r="BK115" s="186">
        <f t="shared" si="88"/>
        <v>0</v>
      </c>
      <c r="BL115" s="186">
        <f t="shared" si="89"/>
        <v>0</v>
      </c>
      <c r="BM115" s="186">
        <f t="shared" si="90"/>
        <v>0</v>
      </c>
      <c r="BN115" s="7">
        <f t="shared" si="91"/>
        <v>0.78713327097087715</v>
      </c>
      <c r="BO115" s="110">
        <f t="shared" si="92"/>
        <v>2.9002257430308078</v>
      </c>
      <c r="BP115" s="110">
        <f t="shared" si="93"/>
        <v>3.3573340812765156</v>
      </c>
      <c r="BQ115" s="110">
        <f t="shared" si="94"/>
        <v>0.67053748179573858</v>
      </c>
      <c r="BR115" s="110">
        <f t="shared" si="95"/>
        <v>7.3545673706962811</v>
      </c>
      <c r="BS115" s="110">
        <f t="shared" si="96"/>
        <v>22.353685555753923</v>
      </c>
      <c r="BT115" s="110">
        <f t="shared" si="97"/>
        <v>10.33198658482211</v>
      </c>
      <c r="BU115" s="110">
        <f t="shared" si="98"/>
        <v>6.0245535264285417</v>
      </c>
      <c r="BV115" s="110">
        <f t="shared" si="99"/>
        <v>0.51836381212833293</v>
      </c>
    </row>
    <row r="116" spans="54:74" x14ac:dyDescent="0.2">
      <c r="BB116" s="106">
        <v>10</v>
      </c>
      <c r="BC116" s="7">
        <f t="shared" si="84"/>
        <v>0</v>
      </c>
      <c r="BD116" s="7">
        <f t="shared" si="84"/>
        <v>0.23651969892124763</v>
      </c>
      <c r="BE116" s="7">
        <f t="shared" si="84"/>
        <v>0</v>
      </c>
      <c r="BF116" s="7">
        <f t="shared" si="84"/>
        <v>0</v>
      </c>
      <c r="BG116" s="186">
        <f t="shared" si="85"/>
        <v>0</v>
      </c>
      <c r="BH116" s="186"/>
      <c r="BI116" s="186">
        <f t="shared" si="86"/>
        <v>0</v>
      </c>
      <c r="BJ116" s="186">
        <f t="shared" si="87"/>
        <v>0</v>
      </c>
      <c r="BK116" s="186">
        <f t="shared" si="88"/>
        <v>0</v>
      </c>
      <c r="BL116" s="186">
        <f t="shared" si="89"/>
        <v>0</v>
      </c>
      <c r="BM116" s="186">
        <f t="shared" si="90"/>
        <v>0</v>
      </c>
      <c r="BN116" s="7">
        <f t="shared" si="91"/>
        <v>0.76348130107875234</v>
      </c>
      <c r="BO116" s="110">
        <f t="shared" si="92"/>
        <v>2.9762827758954473</v>
      </c>
      <c r="BP116" s="110">
        <f t="shared" si="93"/>
        <v>3.2184792005776237</v>
      </c>
      <c r="BQ116" s="110">
        <f t="shared" si="94"/>
        <v>0.69118154847900026</v>
      </c>
      <c r="BR116" s="110">
        <f t="shared" si="95"/>
        <v>7.1838737792636751</v>
      </c>
      <c r="BS116" s="110">
        <f t="shared" si="96"/>
        <v>22.351092539287905</v>
      </c>
      <c r="BT116" s="110">
        <f t="shared" si="97"/>
        <v>10.602874196974103</v>
      </c>
      <c r="BU116" s="110">
        <f t="shared" si="98"/>
        <v>5.9944657180037844</v>
      </c>
      <c r="BV116" s="110">
        <f t="shared" si="99"/>
        <v>0.48985963506384056</v>
      </c>
    </row>
    <row r="117" spans="54:74" x14ac:dyDescent="0.2">
      <c r="BB117" s="106">
        <v>11</v>
      </c>
      <c r="BC117" s="7">
        <f t="shared" si="84"/>
        <v>0</v>
      </c>
      <c r="BD117" s="7">
        <f t="shared" si="84"/>
        <v>0.26017166881337239</v>
      </c>
      <c r="BE117" s="7">
        <f t="shared" si="84"/>
        <v>0</v>
      </c>
      <c r="BF117" s="7">
        <f t="shared" si="84"/>
        <v>0</v>
      </c>
      <c r="BG117" s="186">
        <f t="shared" si="85"/>
        <v>0</v>
      </c>
      <c r="BH117" s="186"/>
      <c r="BI117" s="186">
        <f t="shared" si="86"/>
        <v>0</v>
      </c>
      <c r="BJ117" s="186">
        <f t="shared" si="87"/>
        <v>0</v>
      </c>
      <c r="BK117" s="186">
        <f t="shared" si="88"/>
        <v>0</v>
      </c>
      <c r="BL117" s="186">
        <f t="shared" si="89"/>
        <v>0</v>
      </c>
      <c r="BM117" s="186">
        <f t="shared" si="90"/>
        <v>0</v>
      </c>
      <c r="BN117" s="7">
        <f t="shared" si="91"/>
        <v>0.73982933118662764</v>
      </c>
      <c r="BO117" s="110">
        <f t="shared" si="92"/>
        <v>3.0572028185802393</v>
      </c>
      <c r="BP117" s="110">
        <f t="shared" si="93"/>
        <v>3.0707460791298895</v>
      </c>
      <c r="BQ117" s="110">
        <f t="shared" si="94"/>
        <v>0.71314557592364525</v>
      </c>
      <c r="BR117" s="110">
        <f t="shared" si="95"/>
        <v>7.0022662120932635</v>
      </c>
      <c r="BS117" s="110">
        <f t="shared" si="96"/>
        <v>22.348333727969479</v>
      </c>
      <c r="BT117" s="110">
        <f t="shared" si="97"/>
        <v>10.891082089295285</v>
      </c>
      <c r="BU117" s="110">
        <f t="shared" si="98"/>
        <v>5.9624541255142844</v>
      </c>
      <c r="BV117" s="110">
        <f t="shared" si="99"/>
        <v>0.4595329297234067</v>
      </c>
    </row>
    <row r="118" spans="54:74" x14ac:dyDescent="0.2">
      <c r="BB118" s="106">
        <v>12</v>
      </c>
      <c r="BC118" s="7">
        <f t="shared" si="84"/>
        <v>0</v>
      </c>
      <c r="BD118" s="7">
        <f t="shared" si="84"/>
        <v>0.28382363870549721</v>
      </c>
      <c r="BE118" s="7">
        <f t="shared" si="84"/>
        <v>0</v>
      </c>
      <c r="BF118" s="7">
        <f t="shared" si="84"/>
        <v>0</v>
      </c>
      <c r="BG118" s="186">
        <f t="shared" si="85"/>
        <v>0</v>
      </c>
      <c r="BH118" s="186"/>
      <c r="BI118" s="186">
        <f t="shared" si="86"/>
        <v>0</v>
      </c>
      <c r="BJ118" s="186">
        <f t="shared" si="87"/>
        <v>0</v>
      </c>
      <c r="BK118" s="186">
        <f t="shared" si="88"/>
        <v>0</v>
      </c>
      <c r="BL118" s="186">
        <f t="shared" si="89"/>
        <v>0</v>
      </c>
      <c r="BM118" s="186">
        <f t="shared" si="90"/>
        <v>0</v>
      </c>
      <c r="BN118" s="7">
        <f t="shared" si="91"/>
        <v>0.71617736129450282</v>
      </c>
      <c r="BO118" s="110">
        <f t="shared" si="92"/>
        <v>3.143467678112609</v>
      </c>
      <c r="BP118" s="110">
        <f t="shared" si="93"/>
        <v>2.9132550973269051</v>
      </c>
      <c r="BQ118" s="110">
        <f t="shared" si="94"/>
        <v>0.73656034041725715</v>
      </c>
      <c r="BR118" s="110">
        <f t="shared" si="95"/>
        <v>6.8086633573222146</v>
      </c>
      <c r="BS118" s="110">
        <f t="shared" si="96"/>
        <v>22.345392695526034</v>
      </c>
      <c r="BT118" s="110">
        <f t="shared" si="97"/>
        <v>11.19832628396351</v>
      </c>
      <c r="BU118" s="110">
        <f t="shared" si="98"/>
        <v>5.9283281483411043</v>
      </c>
      <c r="BV118" s="110">
        <f t="shared" si="99"/>
        <v>0.42720312749551254</v>
      </c>
    </row>
    <row r="119" spans="54:74" x14ac:dyDescent="0.2">
      <c r="BB119" s="106">
        <v>13</v>
      </c>
      <c r="BC119" s="7">
        <f t="shared" si="84"/>
        <v>0</v>
      </c>
      <c r="BD119" s="7">
        <f t="shared" si="84"/>
        <v>0.30747560859762196</v>
      </c>
      <c r="BE119" s="7">
        <f t="shared" si="84"/>
        <v>0</v>
      </c>
      <c r="BF119" s="7">
        <f t="shared" si="84"/>
        <v>0</v>
      </c>
      <c r="BG119" s="186">
        <f t="shared" si="85"/>
        <v>0</v>
      </c>
      <c r="BH119" s="186"/>
      <c r="BI119" s="186">
        <f t="shared" si="86"/>
        <v>0</v>
      </c>
      <c r="BJ119" s="186">
        <f t="shared" si="87"/>
        <v>0</v>
      </c>
      <c r="BK119" s="186">
        <f t="shared" si="88"/>
        <v>0</v>
      </c>
      <c r="BL119" s="186">
        <f t="shared" si="89"/>
        <v>0</v>
      </c>
      <c r="BM119" s="186">
        <f t="shared" si="90"/>
        <v>0</v>
      </c>
      <c r="BN119" s="7">
        <f t="shared" si="91"/>
        <v>0.69252539140237801</v>
      </c>
      <c r="BO119" s="110">
        <f t="shared" si="92"/>
        <v>3.2356249825596013</v>
      </c>
      <c r="BP119" s="110">
        <f t="shared" si="93"/>
        <v>2.7450064682054824</v>
      </c>
      <c r="BQ119" s="110">
        <f t="shared" si="94"/>
        <v>0.76157448397107252</v>
      </c>
      <c r="BR119" s="110">
        <f t="shared" si="95"/>
        <v>6.6018361819734004</v>
      </c>
      <c r="BS119" s="110">
        <f t="shared" si="96"/>
        <v>22.342250771644775</v>
      </c>
      <c r="BT119" s="110">
        <f t="shared" si="97"/>
        <v>11.526557233867111</v>
      </c>
      <c r="BU119" s="110">
        <f t="shared" si="98"/>
        <v>5.8918711473681906</v>
      </c>
      <c r="BV119" s="110">
        <f t="shared" si="99"/>
        <v>0.39266499177283054</v>
      </c>
    </row>
    <row r="120" spans="54:74" x14ac:dyDescent="0.2">
      <c r="BB120" s="106">
        <v>14</v>
      </c>
      <c r="BC120" s="7">
        <f t="shared" si="84"/>
        <v>0</v>
      </c>
      <c r="BD120" s="7">
        <f t="shared" si="84"/>
        <v>0.33112757848974672</v>
      </c>
      <c r="BE120" s="7">
        <f t="shared" si="84"/>
        <v>0</v>
      </c>
      <c r="BF120" s="7">
        <f t="shared" si="84"/>
        <v>0</v>
      </c>
      <c r="BG120" s="186">
        <f t="shared" si="85"/>
        <v>0</v>
      </c>
      <c r="BH120" s="186"/>
      <c r="BI120" s="186">
        <f t="shared" si="86"/>
        <v>0</v>
      </c>
      <c r="BJ120" s="186">
        <f t="shared" si="87"/>
        <v>0</v>
      </c>
      <c r="BK120" s="186">
        <f t="shared" si="88"/>
        <v>0</v>
      </c>
      <c r="BL120" s="186">
        <f t="shared" si="89"/>
        <v>0</v>
      </c>
      <c r="BM120" s="186">
        <f t="shared" si="90"/>
        <v>0</v>
      </c>
      <c r="BN120" s="7">
        <f t="shared" si="91"/>
        <v>0.66887342151025331</v>
      </c>
      <c r="BO120" s="110">
        <f t="shared" si="92"/>
        <v>3.3342998184857122</v>
      </c>
      <c r="BP120" s="110">
        <f t="shared" si="93"/>
        <v>2.5648589913128741</v>
      </c>
      <c r="BQ120" s="110">
        <f t="shared" si="94"/>
        <v>0.78835767306081661</v>
      </c>
      <c r="BR120" s="110">
        <f t="shared" si="95"/>
        <v>6.380381814193532</v>
      </c>
      <c r="BS120" s="110">
        <f t="shared" si="96"/>
        <v>22.338886645216206</v>
      </c>
      <c r="BT120" s="110">
        <f t="shared" si="97"/>
        <v>11.878001271015993</v>
      </c>
      <c r="BU120" s="110">
        <f t="shared" si="98"/>
        <v>5.8528358412581936</v>
      </c>
      <c r="BV120" s="110">
        <f t="shared" si="99"/>
        <v>0.35568425653887314</v>
      </c>
    </row>
    <row r="121" spans="54:74" x14ac:dyDescent="0.2">
      <c r="BB121" s="106">
        <v>15</v>
      </c>
      <c r="BC121" s="7">
        <f t="shared" si="84"/>
        <v>0</v>
      </c>
      <c r="BD121" s="7">
        <f t="shared" si="84"/>
        <v>0.35477954838187148</v>
      </c>
      <c r="BE121" s="7">
        <f t="shared" si="84"/>
        <v>0</v>
      </c>
      <c r="BF121" s="7">
        <f t="shared" si="84"/>
        <v>0</v>
      </c>
      <c r="BG121" s="186">
        <f t="shared" si="85"/>
        <v>0</v>
      </c>
      <c r="BH121" s="186"/>
      <c r="BI121" s="186">
        <f t="shared" si="86"/>
        <v>0</v>
      </c>
      <c r="BJ121" s="186">
        <f t="shared" si="87"/>
        <v>0</v>
      </c>
      <c r="BK121" s="186">
        <f t="shared" si="88"/>
        <v>0</v>
      </c>
      <c r="BL121" s="186">
        <f t="shared" si="89"/>
        <v>0</v>
      </c>
      <c r="BM121" s="186">
        <f t="shared" si="90"/>
        <v>0</v>
      </c>
      <c r="BN121" s="7">
        <f t="shared" si="91"/>
        <v>0.64522145161812861</v>
      </c>
      <c r="BO121" s="110">
        <f t="shared" si="92"/>
        <v>3.4402089279859016</v>
      </c>
      <c r="BP121" s="110">
        <f t="shared" si="93"/>
        <v>2.371504133639851</v>
      </c>
      <c r="BQ121" s="110">
        <f t="shared" si="94"/>
        <v>0.81710445210987492</v>
      </c>
      <c r="BR121" s="110">
        <f t="shared" si="95"/>
        <v>6.1426916810773671</v>
      </c>
      <c r="BS121" s="110">
        <f t="shared" si="96"/>
        <v>22.335275880313965</v>
      </c>
      <c r="BT121" s="110">
        <f t="shared" si="97"/>
        <v>12.255211171232711</v>
      </c>
      <c r="BU121" s="110">
        <f t="shared" si="98"/>
        <v>5.8109386901722502</v>
      </c>
      <c r="BV121" s="110">
        <f t="shared" si="99"/>
        <v>0.31599230569313269</v>
      </c>
    </row>
    <row r="122" spans="54:74" x14ac:dyDescent="0.2">
      <c r="BB122" s="106">
        <v>16</v>
      </c>
      <c r="BC122" s="7">
        <f t="shared" si="84"/>
        <v>0</v>
      </c>
      <c r="BD122" s="7">
        <f t="shared" si="84"/>
        <v>0.37843151827399624</v>
      </c>
      <c r="BE122" s="7">
        <f t="shared" si="84"/>
        <v>0</v>
      </c>
      <c r="BF122" s="7">
        <f t="shared" si="84"/>
        <v>0</v>
      </c>
      <c r="BG122" s="186">
        <f t="shared" si="85"/>
        <v>0</v>
      </c>
      <c r="BH122" s="186"/>
      <c r="BI122" s="186">
        <f t="shared" si="86"/>
        <v>0</v>
      </c>
      <c r="BJ122" s="186">
        <f t="shared" si="87"/>
        <v>0</v>
      </c>
      <c r="BK122" s="186">
        <f t="shared" si="88"/>
        <v>0</v>
      </c>
      <c r="BL122" s="186">
        <f t="shared" si="89"/>
        <v>0</v>
      </c>
      <c r="BM122" s="186">
        <f t="shared" si="90"/>
        <v>0</v>
      </c>
      <c r="BN122" s="7">
        <f t="shared" si="91"/>
        <v>0.62156948172600379</v>
      </c>
      <c r="BO122" s="110">
        <f t="shared" si="92"/>
        <v>3.5541781470726952</v>
      </c>
      <c r="BP122" s="110">
        <f t="shared" si="93"/>
        <v>2.1634341929177725</v>
      </c>
      <c r="BQ122" s="110">
        <f t="shared" si="94"/>
        <v>0.8480389767692097</v>
      </c>
      <c r="BR122" s="110">
        <f t="shared" si="95"/>
        <v>5.8869123719723557</v>
      </c>
      <c r="BS122" s="110">
        <f t="shared" si="96"/>
        <v>22.331390321666976</v>
      </c>
      <c r="BT122" s="110">
        <f t="shared" si="97"/>
        <v>12.661128263373211</v>
      </c>
      <c r="BU122" s="110">
        <f t="shared" si="98"/>
        <v>5.7658529972251511</v>
      </c>
      <c r="BV122" s="110">
        <f t="shared" si="99"/>
        <v>0.27327963760189228</v>
      </c>
    </row>
    <row r="123" spans="54:74" x14ac:dyDescent="0.2">
      <c r="BB123" s="106">
        <v>17</v>
      </c>
      <c r="BC123" s="7">
        <f t="shared" si="84"/>
        <v>0</v>
      </c>
      <c r="BD123" s="7">
        <f t="shared" si="84"/>
        <v>0.40208348816612099</v>
      </c>
      <c r="BE123" s="7">
        <f t="shared" si="84"/>
        <v>0</v>
      </c>
      <c r="BF123" s="7">
        <f t="shared" si="84"/>
        <v>0</v>
      </c>
      <c r="BG123" s="186">
        <f t="shared" si="85"/>
        <v>0</v>
      </c>
      <c r="BH123" s="186"/>
      <c r="BI123" s="186">
        <f t="shared" si="86"/>
        <v>0</v>
      </c>
      <c r="BJ123" s="186">
        <f t="shared" si="87"/>
        <v>0</v>
      </c>
      <c r="BK123" s="186">
        <f t="shared" si="88"/>
        <v>0</v>
      </c>
      <c r="BL123" s="186">
        <f t="shared" si="89"/>
        <v>0</v>
      </c>
      <c r="BM123" s="186">
        <f t="shared" si="90"/>
        <v>0</v>
      </c>
      <c r="BN123" s="7">
        <f t="shared" si="91"/>
        <v>0.59791751183387898</v>
      </c>
      <c r="BO123" s="110">
        <f t="shared" si="92"/>
        <v>3.6771639829506659</v>
      </c>
      <c r="BP123" s="110">
        <f t="shared" si="93"/>
        <v>1.9389029046819863</v>
      </c>
      <c r="BQ123" s="110">
        <f t="shared" si="94"/>
        <v>0.88142087061037577</v>
      </c>
      <c r="BR123" s="110">
        <f t="shared" si="95"/>
        <v>5.6108972129440824</v>
      </c>
      <c r="BS123" s="110">
        <f t="shared" si="96"/>
        <v>22.327197359024233</v>
      </c>
      <c r="BT123" s="110">
        <f t="shared" si="97"/>
        <v>13.099159279765773</v>
      </c>
      <c r="BU123" s="110">
        <f t="shared" si="98"/>
        <v>5.7172003726159231</v>
      </c>
      <c r="BV123" s="110">
        <f t="shared" si="99"/>
        <v>0.2271877785028226</v>
      </c>
    </row>
    <row r="124" spans="54:74" x14ac:dyDescent="0.2">
      <c r="BB124" s="106">
        <v>18</v>
      </c>
      <c r="BC124" s="7">
        <f t="shared" si="84"/>
        <v>0</v>
      </c>
      <c r="BD124" s="7">
        <f t="shared" si="84"/>
        <v>0.42573545805824575</v>
      </c>
      <c r="BE124" s="7">
        <f t="shared" si="84"/>
        <v>0</v>
      </c>
      <c r="BF124" s="7">
        <f t="shared" si="84"/>
        <v>0</v>
      </c>
      <c r="BG124" s="186">
        <f t="shared" si="85"/>
        <v>0</v>
      </c>
      <c r="BH124" s="186"/>
      <c r="BI124" s="186">
        <f t="shared" si="86"/>
        <v>0</v>
      </c>
      <c r="BJ124" s="186">
        <f t="shared" si="87"/>
        <v>0</v>
      </c>
      <c r="BK124" s="186">
        <f t="shared" si="88"/>
        <v>0</v>
      </c>
      <c r="BL124" s="186">
        <f t="shared" si="89"/>
        <v>0</v>
      </c>
      <c r="BM124" s="186">
        <f t="shared" si="90"/>
        <v>0</v>
      </c>
      <c r="BN124" s="7">
        <f t="shared" si="91"/>
        <v>0.57426554194175428</v>
      </c>
      <c r="BO124" s="110">
        <f t="shared" si="92"/>
        <v>3.8102805234413757</v>
      </c>
      <c r="BP124" s="110">
        <f t="shared" si="93"/>
        <v>1.6958763145994733</v>
      </c>
      <c r="BQ124" s="110">
        <f t="shared" si="94"/>
        <v>0.91755252911756624</v>
      </c>
      <c r="BR124" s="110">
        <f t="shared" si="95"/>
        <v>5.3121458743810512</v>
      </c>
      <c r="BS124" s="110">
        <f t="shared" si="96"/>
        <v>22.322659009730401</v>
      </c>
      <c r="BT124" s="110">
        <f t="shared" si="97"/>
        <v>13.573272197839225</v>
      </c>
      <c r="BU124" s="110">
        <f t="shared" si="98"/>
        <v>5.664540088384495</v>
      </c>
      <c r="BV124" s="110">
        <f t="shared" si="99"/>
        <v>0.1772991975597184</v>
      </c>
    </row>
    <row r="125" spans="54:74" x14ac:dyDescent="0.2">
      <c r="BB125" s="106">
        <v>19</v>
      </c>
      <c r="BC125" s="7">
        <f t="shared" si="84"/>
        <v>0</v>
      </c>
      <c r="BD125" s="7">
        <f t="shared" si="84"/>
        <v>0.44938742795037051</v>
      </c>
      <c r="BE125" s="7">
        <f t="shared" si="84"/>
        <v>0</v>
      </c>
      <c r="BF125" s="7">
        <f t="shared" si="84"/>
        <v>0</v>
      </c>
      <c r="BG125" s="186">
        <f t="shared" si="85"/>
        <v>0</v>
      </c>
      <c r="BH125" s="186"/>
      <c r="BI125" s="186">
        <f t="shared" si="86"/>
        <v>0</v>
      </c>
      <c r="BJ125" s="186">
        <f t="shared" si="87"/>
        <v>0</v>
      </c>
      <c r="BK125" s="186">
        <f t="shared" si="88"/>
        <v>0</v>
      </c>
      <c r="BL125" s="186">
        <f t="shared" si="89"/>
        <v>0</v>
      </c>
      <c r="BM125" s="186">
        <f t="shared" si="90"/>
        <v>0</v>
      </c>
      <c r="BN125" s="7">
        <f t="shared" si="91"/>
        <v>0.55061357204962957</v>
      </c>
      <c r="BO125" s="110">
        <f t="shared" si="92"/>
        <v>3.9548332818811276</v>
      </c>
      <c r="BP125" s="110">
        <f t="shared" si="93"/>
        <v>1.4319709889266981</v>
      </c>
      <c r="BQ125" s="110">
        <f t="shared" si="94"/>
        <v>0.95678830616648969</v>
      </c>
      <c r="BR125" s="110">
        <f t="shared" si="95"/>
        <v>4.9877284134279662</v>
      </c>
      <c r="BS125" s="110">
        <f t="shared" si="96"/>
        <v>22.317730764849873</v>
      </c>
      <c r="BT125" s="110">
        <f t="shared" si="97"/>
        <v>14.088116783394094</v>
      </c>
      <c r="BU125" s="110">
        <f t="shared" si="98"/>
        <v>5.6073556895275729</v>
      </c>
      <c r="BV125" s="110">
        <f t="shared" si="99"/>
        <v>0.12312462268430091</v>
      </c>
    </row>
    <row r="126" spans="54:74" x14ac:dyDescent="0.2">
      <c r="BB126" s="63">
        <v>20</v>
      </c>
      <c r="BC126" s="7">
        <f t="shared" si="84"/>
        <v>0</v>
      </c>
      <c r="BD126" s="7">
        <f t="shared" si="84"/>
        <v>0.47303939784249527</v>
      </c>
      <c r="BE126" s="7">
        <f t="shared" si="84"/>
        <v>0</v>
      </c>
      <c r="BF126" s="7">
        <f t="shared" si="84"/>
        <v>0</v>
      </c>
      <c r="BG126" s="186">
        <f t="shared" si="85"/>
        <v>0</v>
      </c>
      <c r="BH126" s="186"/>
      <c r="BI126" s="186">
        <f t="shared" si="86"/>
        <v>0</v>
      </c>
      <c r="BJ126" s="186">
        <f t="shared" si="87"/>
        <v>0</v>
      </c>
      <c r="BK126" s="186">
        <f t="shared" si="88"/>
        <v>0</v>
      </c>
      <c r="BL126" s="186">
        <f t="shared" si="89"/>
        <v>0</v>
      </c>
      <c r="BM126" s="186">
        <f t="shared" si="90"/>
        <v>0</v>
      </c>
      <c r="BN126" s="7">
        <f t="shared" si="91"/>
        <v>0.52696160215750476</v>
      </c>
      <c r="BO126" s="110">
        <f t="shared" si="92"/>
        <v>4.1123621565177437</v>
      </c>
      <c r="BP126" s="110">
        <f t="shared" si="93"/>
        <v>1.1443755849194559</v>
      </c>
      <c r="BQ126" s="110">
        <f t="shared" si="94"/>
        <v>0.99954617444048843</v>
      </c>
      <c r="BR126" s="110">
        <f t="shared" si="95"/>
        <v>4.6341888608935351</v>
      </c>
      <c r="BS126" s="110">
        <f t="shared" si="96"/>
        <v>22.312360124549802</v>
      </c>
      <c r="BT126" s="110">
        <f t="shared" si="97"/>
        <v>14.649177596419097</v>
      </c>
      <c r="BU126" s="110">
        <f t="shared" si="98"/>
        <v>5.5450379994611003</v>
      </c>
      <c r="BV126" s="110">
        <f t="shared" si="99"/>
        <v>6.408694048331727E-2</v>
      </c>
    </row>
    <row r="127" spans="54:74" x14ac:dyDescent="0.2">
      <c r="BB127" s="213" t="s">
        <v>478</v>
      </c>
      <c r="BC127" s="215">
        <f>(BC104-0)/($BB126-$BB106)</f>
        <v>0</v>
      </c>
      <c r="BD127" s="215">
        <f>(BD104-0)/($BB126-$BB106)</f>
        <v>2.3651969892124765E-2</v>
      </c>
      <c r="BE127" s="215">
        <f>(BE104-0)/($BB126-$BB106)</f>
        <v>0</v>
      </c>
      <c r="BF127" s="215">
        <f>(BF104-0)/($BB126-$BB106)</f>
        <v>0</v>
      </c>
      <c r="BI127" s="186"/>
      <c r="BJ127" s="186"/>
      <c r="BK127" s="186"/>
      <c r="BL127" s="186"/>
      <c r="BM127" s="186"/>
    </row>
    <row r="128" spans="54:74" x14ac:dyDescent="0.2">
      <c r="BB128" s="213" t="s">
        <v>479</v>
      </c>
      <c r="BC128" s="215">
        <v>0</v>
      </c>
      <c r="BD128" s="215">
        <v>0</v>
      </c>
      <c r="BE128" s="215">
        <v>0</v>
      </c>
      <c r="BF128" s="215">
        <v>0</v>
      </c>
      <c r="BI128" s="186"/>
      <c r="BJ128" s="186"/>
      <c r="BK128" s="186"/>
      <c r="BL128" s="186"/>
      <c r="BM128" s="186"/>
    </row>
    <row r="129" spans="54:74" x14ac:dyDescent="0.2">
      <c r="BB129" s="2" t="s">
        <v>480</v>
      </c>
      <c r="BC129" s="184">
        <f>BC126-BC104</f>
        <v>0</v>
      </c>
      <c r="BD129" s="184">
        <f>BD126-BD104</f>
        <v>0</v>
      </c>
      <c r="BE129" s="184">
        <f>BE126-BE104</f>
        <v>0</v>
      </c>
      <c r="BF129" s="184">
        <f>BF126-BF104</f>
        <v>0</v>
      </c>
      <c r="BI129" s="186"/>
      <c r="BJ129" s="186"/>
      <c r="BK129" s="186"/>
      <c r="BL129" s="186"/>
      <c r="BM129" s="186"/>
    </row>
    <row r="131" spans="54:74" x14ac:dyDescent="0.2">
      <c r="BC131" t="s">
        <v>470</v>
      </c>
      <c r="BN131" s="79"/>
      <c r="BO131" s="105"/>
      <c r="BT131" s="59"/>
    </row>
    <row r="132" spans="54:74" x14ac:dyDescent="0.2">
      <c r="BC132" s="1" t="s">
        <v>4</v>
      </c>
      <c r="BD132" s="4" t="s">
        <v>5</v>
      </c>
      <c r="BE132" t="s">
        <v>6</v>
      </c>
      <c r="BF132" s="4"/>
      <c r="BG132" s="4"/>
      <c r="BH132" s="4"/>
      <c r="BI132" s="4"/>
      <c r="BJ132" s="4"/>
      <c r="BK132" s="4"/>
      <c r="BL132" s="4"/>
      <c r="BM132" s="4"/>
      <c r="BN132" s="79"/>
      <c r="BO132" s="105"/>
      <c r="BS132" s="81"/>
    </row>
    <row r="133" spans="54:74" x14ac:dyDescent="0.2">
      <c r="BC133" s="79" t="s">
        <v>10</v>
      </c>
      <c r="BD133" s="229">
        <f>$AV$189</f>
        <v>1</v>
      </c>
      <c r="BE133" t="s">
        <v>11</v>
      </c>
      <c r="BF133" s="4"/>
      <c r="BG133" s="4"/>
      <c r="BH133" s="4"/>
      <c r="BI133" s="4"/>
      <c r="BJ133" s="4"/>
      <c r="BK133" s="4"/>
      <c r="BL133" s="4"/>
      <c r="BM133" s="4"/>
      <c r="BN133" s="218" t="s">
        <v>482</v>
      </c>
      <c r="BO133" s="215">
        <f>($BD$38*$G$19 + $H$56*$BD$37)/($BD$37+$BD$38)</f>
        <v>2.3776131639742282</v>
      </c>
      <c r="BP133" s="215">
        <f>($BD$38*$G$13 + $H$50*$BD$37)/($BD$37+$BD$38)</f>
        <v>4.3114510719536536</v>
      </c>
      <c r="BQ133" s="215">
        <f>($BD$38*$G$20 + $H$57*$BD$37)/($BD$37+$BD$38)</f>
        <v>0.5286853936297895</v>
      </c>
      <c r="BR133" s="215">
        <f>($BD$38*$G$14 + $H$51*$BD$37)/($BD$37+$BD$38)</f>
        <v>8.527458485260123</v>
      </c>
      <c r="BS133" s="215">
        <f>($BD$38*$G$15 + $H$52*$BD$37)/($BD$37+$BD$38)</f>
        <v>22.371503014203249</v>
      </c>
      <c r="BT133" s="215">
        <f>($BD$38*$G$16 + $H$53*$BD$37)/($BD$37+$BD$38)</f>
        <v>8.4706298070315995</v>
      </c>
      <c r="BU133" s="215">
        <f>($BD$38*$G$17 + $H$54*$BD$37)/($BD$37+$BD$38)</f>
        <v>6.2312966317901148</v>
      </c>
      <c r="BV133" s="215">
        <f>($BD$38*$G$18 + $H$55*$BD$37)/($BD$37+$BD$38)</f>
        <v>0.7142252719892741</v>
      </c>
    </row>
    <row r="134" spans="54:74" x14ac:dyDescent="0.2">
      <c r="BB134" s="80" t="s">
        <v>498</v>
      </c>
      <c r="BC134" s="79" t="s">
        <v>18</v>
      </c>
      <c r="BD134" s="229">
        <f>$AV$190</f>
        <v>9.9999999999999995E-7</v>
      </c>
      <c r="BE134" t="s">
        <v>11</v>
      </c>
      <c r="BF134" s="4"/>
      <c r="BG134" s="4"/>
      <c r="BH134" s="4"/>
      <c r="BI134" s="4"/>
      <c r="BJ134" s="4"/>
      <c r="BK134" s="4"/>
      <c r="BL134" s="4"/>
      <c r="BM134" s="4"/>
      <c r="BN134" s="4"/>
      <c r="BO134" s="4" t="s">
        <v>343</v>
      </c>
      <c r="BP134" s="4" t="s">
        <v>12</v>
      </c>
      <c r="BQ134" s="4" t="s">
        <v>343</v>
      </c>
      <c r="BR134" s="4" t="s">
        <v>13</v>
      </c>
      <c r="BS134" s="4" t="s">
        <v>14</v>
      </c>
      <c r="BT134" s="4" t="s">
        <v>15</v>
      </c>
      <c r="BU134" s="4" t="s">
        <v>16</v>
      </c>
      <c r="BV134" s="4" t="s">
        <v>17</v>
      </c>
    </row>
    <row r="135" spans="54:74" x14ac:dyDescent="0.2">
      <c r="BB135" s="214" t="s">
        <v>477</v>
      </c>
      <c r="BC135" s="212">
        <v>0</v>
      </c>
      <c r="BD135" s="212">
        <v>0</v>
      </c>
      <c r="BE135" s="212">
        <v>0</v>
      </c>
      <c r="BF135" s="216">
        <v>1</v>
      </c>
      <c r="BG135" s="59"/>
      <c r="BH135" s="59"/>
      <c r="BI135" s="59"/>
      <c r="BJ135" s="59"/>
      <c r="BK135" s="59"/>
      <c r="BL135" s="59"/>
      <c r="BM135" s="59"/>
      <c r="BN135" s="62" t="s">
        <v>481</v>
      </c>
      <c r="BO135" s="61" t="s">
        <v>5</v>
      </c>
      <c r="BP135" s="61">
        <f>O137+2*15.999+2*1.0079</f>
        <v>34.013800000000003</v>
      </c>
      <c r="BQ135" s="61" t="s">
        <v>5</v>
      </c>
      <c r="BR135" s="61">
        <f>Q137+12.011+3*15.999</f>
        <v>60.007999999999996</v>
      </c>
      <c r="BS135" s="61">
        <f>R137+2*15.999</f>
        <v>31.998000000000001</v>
      </c>
      <c r="BT135" s="61">
        <f>1*S137+2*15.999+1.0079</f>
        <v>33.005900000000004</v>
      </c>
      <c r="BU135" s="61">
        <f>1*T137+2*15.999+1.0079</f>
        <v>33.005900000000004</v>
      </c>
      <c r="BV135" s="61">
        <f>2*15.999+47.87</f>
        <v>79.867999999999995</v>
      </c>
    </row>
    <row r="136" spans="54:74" x14ac:dyDescent="0.2">
      <c r="BB136" s="225" t="s">
        <v>476</v>
      </c>
      <c r="BC136" s="226">
        <f>$BD$101*B$48*BC135</f>
        <v>0</v>
      </c>
      <c r="BD136" s="226">
        <f>$BD$101*C$48*BD135</f>
        <v>0</v>
      </c>
      <c r="BE136" s="226">
        <f>$BD$101*D$48*BE135</f>
        <v>0</v>
      </c>
      <c r="BF136" s="227">
        <f>$BD$101*E$48*BF135</f>
        <v>0.45244781152773911</v>
      </c>
      <c r="BG136" s="235" t="s">
        <v>472</v>
      </c>
      <c r="BH136" s="235"/>
      <c r="BI136" s="235"/>
      <c r="BJ136" s="235"/>
      <c r="BK136" s="235"/>
      <c r="BL136" s="235"/>
      <c r="BM136" s="235"/>
      <c r="BN136" s="62" t="s">
        <v>19</v>
      </c>
      <c r="BO136" s="61">
        <v>1</v>
      </c>
      <c r="BP136" s="61">
        <v>1</v>
      </c>
      <c r="BQ136" s="61">
        <v>1</v>
      </c>
      <c r="BR136" s="61">
        <v>1</v>
      </c>
      <c r="BS136" s="61">
        <v>1</v>
      </c>
      <c r="BT136" s="61">
        <v>1</v>
      </c>
      <c r="BU136" s="61">
        <v>1</v>
      </c>
      <c r="BV136" s="61">
        <v>1</v>
      </c>
    </row>
    <row r="137" spans="54:74" x14ac:dyDescent="0.2">
      <c r="BC137" s="4" t="s">
        <v>11</v>
      </c>
      <c r="BD137" s="4" t="s">
        <v>11</v>
      </c>
      <c r="BE137" s="4" t="s">
        <v>11</v>
      </c>
      <c r="BF137" s="64"/>
      <c r="BG137" s="4" t="s">
        <v>11</v>
      </c>
      <c r="BH137" s="4" t="s">
        <v>11</v>
      </c>
      <c r="BI137" s="4" t="s">
        <v>11</v>
      </c>
      <c r="BJ137" s="4" t="s">
        <v>11</v>
      </c>
      <c r="BK137" s="4" t="s">
        <v>11</v>
      </c>
      <c r="BL137" s="4" t="s">
        <v>11</v>
      </c>
      <c r="BM137" s="4" t="s">
        <v>11</v>
      </c>
      <c r="BN137" s="62" t="s">
        <v>23</v>
      </c>
      <c r="BO137" s="61">
        <v>0</v>
      </c>
      <c r="BP137" s="61">
        <v>0</v>
      </c>
      <c r="BQ137" s="61">
        <v>0</v>
      </c>
      <c r="BR137" s="61">
        <v>0</v>
      </c>
      <c r="BS137" s="61">
        <v>0</v>
      </c>
      <c r="BT137" s="61">
        <v>0</v>
      </c>
      <c r="BU137" s="61">
        <v>0</v>
      </c>
      <c r="BV137" s="61">
        <v>0</v>
      </c>
    </row>
    <row r="138" spans="54:74" x14ac:dyDescent="0.2">
      <c r="BB138" s="63">
        <v>0</v>
      </c>
      <c r="BC138" s="60" t="s">
        <v>471</v>
      </c>
      <c r="BD138" s="60" t="s">
        <v>473</v>
      </c>
      <c r="BE138" s="60" t="s">
        <v>474</v>
      </c>
      <c r="BF138" s="210" t="s">
        <v>475</v>
      </c>
      <c r="BG138" s="60" t="s">
        <v>63</v>
      </c>
      <c r="BH138" s="60" t="s">
        <v>64</v>
      </c>
      <c r="BI138" s="60" t="s">
        <v>65</v>
      </c>
      <c r="BJ138" s="60" t="s">
        <v>66</v>
      </c>
      <c r="BK138" s="60" t="s">
        <v>67</v>
      </c>
      <c r="BL138" s="60" t="s">
        <v>68</v>
      </c>
      <c r="BM138" s="60" t="s">
        <v>69</v>
      </c>
      <c r="BN138" s="60" t="s">
        <v>61</v>
      </c>
      <c r="BO138" s="3" t="s">
        <v>62</v>
      </c>
      <c r="BP138" s="3" t="s">
        <v>63</v>
      </c>
      <c r="BQ138" s="3" t="s">
        <v>64</v>
      </c>
      <c r="BR138" s="3" t="s">
        <v>65</v>
      </c>
      <c r="BS138" s="3" t="s">
        <v>66</v>
      </c>
      <c r="BT138" s="3" t="s">
        <v>67</v>
      </c>
      <c r="BU138" s="3" t="s">
        <v>68</v>
      </c>
      <c r="BV138" s="3" t="s">
        <v>69</v>
      </c>
    </row>
    <row r="139" spans="54:74" x14ac:dyDescent="0.2">
      <c r="BB139" s="106">
        <v>1</v>
      </c>
      <c r="BC139" s="7">
        <f>$BB139*BC$159+BC$160</f>
        <v>0</v>
      </c>
      <c r="BD139" s="7">
        <f>$BB139*BD$159+BD$160</f>
        <v>0</v>
      </c>
      <c r="BE139" s="7">
        <f>$BB139*BE$159+BE$160</f>
        <v>0</v>
      </c>
      <c r="BF139" s="7">
        <f>$BB139*BF$159+BF$160</f>
        <v>2.2622390576386955E-2</v>
      </c>
      <c r="BG139" s="186">
        <f>$BC139*$B$50/100*BP$137/O$9/BP$136*BP$135 + $BD139*$C$50/100*BP$137/O$9/BP$136*BP$135 + $BE139*$D$50/100*BP$137/O$9/BP$136*BP$135 + $BF139*$E$50/100*BP$137/O$9/BP$136*BP$135</f>
        <v>0</v>
      </c>
      <c r="BH139" s="186"/>
      <c r="BI139" s="186">
        <f>$BC139*$B$51/100*BR$137/Q$9/BR$136*BR$135 + $BD139*$C$51/100*BR$137/Q$9/BR$136*BR$135 + $BE139*$D$51/100*BR$137/Q$9/BR$136*BR$135 + $BF139*$E$51/100*BR$137/Q$9/BR$136*BR$135</f>
        <v>0</v>
      </c>
      <c r="BJ139" s="186">
        <f>$BC139*$B$52/100*BS$137/R$9/BS$136*BS$135 + $BD139*$C$52/100*BS$137/R$9/BS$136*BS$135 + $BE139*$D$52/100*BS$137/R$9/BS$136*BS$135 + $BF139*$E$52/100*BS$137/R$9/BS$136*BS$135</f>
        <v>0</v>
      </c>
      <c r="BK139" s="186">
        <f>$BC139*$B$53/100*BT$137/S$9/BT$136*BT$135 + $BD139*$C$53/100*BT$137/S$9/BT$136*BT$135 + $BE139*$D$53/100*BT$137/S$9/BT$136*BT$135 + $BF139*$E$53/100*BT$137/S$9/BT$136*BT$135</f>
        <v>0</v>
      </c>
      <c r="BL139" s="186">
        <f>$BC139*$B$54/100*BU$137/T$9/BU$136*BU$135 + $BD139*$C$54/100*BU$137/T$9/BU$136*BU$135 + $BE139*$D$54/100*BU$137/T$9/BU$136*BU$135 + $BEC139*$E$54/100*BU$137/T$9/BU$136*BU$135</f>
        <v>0</v>
      </c>
      <c r="BM139" s="186">
        <f>$BC139*$B$55/100*BV$137/U$9/BV$136*BV$135 + $BD139*$C$55/100*BV$137/U$9/BV$136*BV$135 + $BE139*$D$55/100*BV$137/U$9/BV$136*BV$135 + $BF139*$E$55/100*BV$137/U$9/BV$136*BV$135</f>
        <v>0</v>
      </c>
      <c r="BN139" s="7">
        <f>$BD$38+SUM(BG139:BM139)+($BD$37-SUM(BC139:BF139))</f>
        <v>0.9773786094236131</v>
      </c>
      <c r="BO139" s="110">
        <f>(($BD$134*$G$19/100 + $BD$133*$H$56/100) - ($BC139*$B$56/100*(1-BO$137) + $BD139*$C$56/100*(1-BO$137) + $BE139*$D$56/100*(1-BO$137) + $BF139*$E$56/100*(1-BO$137)))/($BN139)*100</f>
        <v>2.3218226466759138</v>
      </c>
      <c r="BP139" s="110">
        <f>(($BD$134*$G$13/100 + $BD$133*$H$50/100) - ($BC139*$B$50/100*(1-BP$137) + $BD139*$C$50/100*(1-BP$137) + $BE139*$D$50/100*(1-BP$137) + $BF139*$E$50/100*(1-BP$137)))/($BN139)*100</f>
        <v>4.4112438535434171</v>
      </c>
      <c r="BQ139" s="110">
        <f>(($BD$134*$G$20/100 + $BD$133*$H$57/100) - ($BC139*$B$57/100*(1-BQ$137) + $BD139*$C$57/100*(1-BQ$137) + $BE139*$D$57/100*(1-BQ$137) + $BF139*$E$57/100*(1-BQ$137)))/($BN139)*100</f>
        <v>0.51399792008060596</v>
      </c>
      <c r="BR139" s="110">
        <f>(($BD$134*$G$14/100 + $BD$133*$H$51/100) - ($BC139*$B$51/100*(1-BR$137) + $BD139*$C$51/100*(1-BR$137) + $BE139*$D$51/100*(1-BR$137) + $BF139*$E$51/100*(1-BR$137)))/($BN139)*100</f>
        <v>8.6006381321345575</v>
      </c>
      <c r="BS139" s="110">
        <f>(($BD$134*$G$15/100 + $BD$133*$H$52/100) - ($BC139*$B$52/100*(1-BS$137) + $BD139*$C$52/100*(1-BS$137) + $BE139*$D$52/100*(1-BS$137) + $BF139*$E$52/100*(1-BS$137)))/($BN139)*100</f>
        <v>22.333256222846764</v>
      </c>
      <c r="BT139" s="110">
        <f>(($BD$134*$G$16/100 + $BD$133*$H$53/100) - ($BC139*$B$53/100*(1-BT$137) + $BD139*$C$53/100*(1-BT$137) + $BE139*$D$53/100*(1-BT$137) + $BF139*$E$53/100*(1-BT$137)))/($BN139)*100</f>
        <v>8.2718475072344386</v>
      </c>
      <c r="BU139" s="110">
        <f>(($BD$134*$G$17/100 + $BD$133*$H$54/100) - ($BC139*$B$54/100*(1-BU$137) + $BD139*$C$54/100*(1-BU$137) + $BE139*$D$54/100*(1-BU$137) + $BF139*$E$54/100*(1-BU$137)))/($BN139)*100</f>
        <v>6.3755261297988879</v>
      </c>
      <c r="BV139" s="110">
        <f>(($BD$134*$G$18/100 + $BD$133*$H$55/100) - ($BC139*$B$55/100*(1-BV$137) + $BD139*$C$55/100*(1-BV$137) + $BE139*$D$55/100*(1-BV$137) + $BF139*$E$55/100*(1-BV$137)))/($BN139)*100</f>
        <v>0.73075671937995923</v>
      </c>
    </row>
    <row r="140" spans="54:74" x14ac:dyDescent="0.2">
      <c r="BB140" s="106">
        <v>2</v>
      </c>
      <c r="BC140" s="7">
        <f t="shared" ref="BC140:BF158" si="100">$BB140*BC$159+BC$160</f>
        <v>0</v>
      </c>
      <c r="BD140" s="7">
        <f t="shared" si="100"/>
        <v>0</v>
      </c>
      <c r="BE140" s="7">
        <f t="shared" si="100"/>
        <v>0</v>
      </c>
      <c r="BF140" s="7">
        <f t="shared" si="100"/>
        <v>4.5244781152773909E-2</v>
      </c>
      <c r="BG140" s="186">
        <f t="shared" ref="BG140:BG158" si="101">$BC140*$B$50/100*BP$137/O$9/BP$136*BP$135 + $BD140*$C$50/100*BP$137/O$9/BP$136*BP$135 + $BE140*$D$50/100*BP$137/O$9/BP$136*BP$135 + $BF140*$E$50/100*BP$137/O$9/BP$136*BP$135</f>
        <v>0</v>
      </c>
      <c r="BH140" s="186"/>
      <c r="BI140" s="186">
        <f t="shared" ref="BI140:BI158" si="102">$BC140*$B$51/100*BR$137/Q$9/BR$136*BR$135 + $BD140*$C$51/100*BR$137/Q$9/BR$136*BR$135 + $BE140*$D$51/100*BR$137/Q$9/BR$136*BR$135 + $BF140*$E$51/100*BR$137/Q$9/BR$136*BR$135</f>
        <v>0</v>
      </c>
      <c r="BJ140" s="186">
        <f t="shared" ref="BJ140:BJ158" si="103">$BC140*$B$52/100*BS$137/R$9/BS$136*BS$135 + $BD140*$C$52/100*BS$137/R$9/BS$136*BS$135 + $BE140*$D$52/100*BS$137/R$9/BS$136*BS$135 + $BF140*$E$52/100*BS$137/R$9/BS$136*BS$135</f>
        <v>0</v>
      </c>
      <c r="BK140" s="186">
        <f t="shared" ref="BK140:BK158" si="104">$BC140*$B$53/100*BT$137/S$9/BT$136*BT$135 + $BD140*$C$53/100*BT$137/S$9/BT$136*BT$135 + $BE140*$D$53/100*BT$137/S$9/BT$136*BT$135 + $BF140*$E$53/100*BT$137/S$9/BT$136*BT$135</f>
        <v>0</v>
      </c>
      <c r="BL140" s="186">
        <f t="shared" ref="BL140:BL158" si="105">$BC140*$B$54/100*BU$137/T$9/BU$136*BU$135 + $BD140*$C$54/100*BU$137/T$9/BU$136*BU$135 + $BE140*$D$54/100*BU$137/T$9/BU$136*BU$135 + $BEC140*$E$54/100*BU$137/T$9/BU$136*BU$135</f>
        <v>0</v>
      </c>
      <c r="BM140" s="186">
        <f t="shared" ref="BM140:BM158" si="106">$BC140*$B$55/100*BV$137/U$9/BV$136*BV$135 + $BD140*$C$55/100*BV$137/U$9/BV$136*BV$135 + $BE140*$D$55/100*BV$137/U$9/BV$136*BV$135 + $BF140*$E$55/100*BV$137/U$9/BV$136*BV$135</f>
        <v>0</v>
      </c>
      <c r="BN140" s="7">
        <f t="shared" ref="BN140:BN158" si="107">$BD$38+SUM(BG140:BM140)+($BD$37-SUM(BC140:BF140))</f>
        <v>0.95475621884722617</v>
      </c>
      <c r="BO140" s="110">
        <f t="shared" ref="BO140:BO158" si="108">(($BD$134*$G$19/100 + $BD$133*$H$56/100) - ($BC140*$B$56/100*(1-BO$137) + $BD140*$C$56/100*(1-BO$137) + $BE140*$D$56/100*(1-BO$137) + $BF140*$E$56/100*(1-BO$137)))/($BN140)*100</f>
        <v>2.2633882819789313</v>
      </c>
      <c r="BP140" s="110">
        <f t="shared" ref="BP140:BP158" si="109">(($BD$134*$G$13/100 + $BD$133*$H$50/100) - ($BC140*$B$50/100*(1-BP$137) + $BD140*$C$50/100*(1-BP$137) + $BE140*$D$50/100*(1-BP$137) + $BF140*$E$50/100*(1-BP$137)))/($BN140)*100</f>
        <v>4.5157656984003545</v>
      </c>
      <c r="BQ140" s="110">
        <f t="shared" ref="BQ140:BQ158" si="110">(($BD$134*$G$20/100 + $BD$133*$H$57/100) - ($BC140*$B$57/100*(1-BQ$137) + $BD140*$C$57/100*(1-BQ$137) + $BE140*$D$57/100*(1-BQ$137) + $BF140*$E$57/100*(1-BQ$137)))/($BN140)*100</f>
        <v>0.49861442432878905</v>
      </c>
      <c r="BR140" s="110">
        <f t="shared" ref="BR140:BR158" si="111">(($BD$134*$G$14/100 + $BD$133*$H$51/100) - ($BC140*$B$51/100*(1-BR$137) + $BD140*$C$51/100*(1-BR$137) + $BE140*$D$51/100*(1-BR$137) + $BF140*$E$51/100*(1-BR$137)))/($BN140)*100</f>
        <v>8.6772856769313247</v>
      </c>
      <c r="BS140" s="110">
        <f t="shared" ref="BS140:BS158" si="112">(($BD$134*$G$15/100 + $BD$133*$H$52/100) - ($BC140*$B$52/100*(1-BS$137) + $BD140*$C$52/100*(1-BS$137) + $BE140*$D$52/100*(1-BS$137) + $BF140*$E$52/100*(1-BS$137)))/($BN140)*100</f>
        <v>22.293196960756333</v>
      </c>
      <c r="BT140" s="110">
        <f t="shared" ref="BT140:BT158" si="113">(($BD$134*$G$16/100 + $BD$133*$H$53/100) - ($BC140*$B$53/100*(1-BT$137) + $BD140*$C$53/100*(1-BT$137) + $BE140*$D$53/100*(1-BT$137) + $BF140*$E$53/100*(1-BT$137)))/($BN140)*100</f>
        <v>8.0636451466156522</v>
      </c>
      <c r="BU140" s="110">
        <f t="shared" ref="BU140:BU158" si="114">(($BD$134*$G$17/100 + $BD$133*$H$54/100) - ($BC140*$B$54/100*(1-BU$137) + $BD140*$C$54/100*(1-BU$137) + $BE140*$D$54/100*(1-BU$137) + $BF140*$E$54/100*(1-BU$137)))/($BN140)*100</f>
        <v>6.5265904951218117</v>
      </c>
      <c r="BV140" s="110">
        <f t="shared" ref="BV140:BV158" si="115">(($BD$134*$G$18/100 + $BD$133*$H$55/100) - ($BC140*$B$55/100*(1-BV$137) + $BD140*$C$55/100*(1-BV$137) + $BE140*$D$55/100*(1-BV$137) + $BF140*$E$55/100*(1-BV$137)))/($BN140)*100</f>
        <v>0.74807157273812086</v>
      </c>
    </row>
    <row r="141" spans="54:74" x14ac:dyDescent="0.2">
      <c r="BB141" s="106">
        <v>3</v>
      </c>
      <c r="BC141" s="7">
        <f t="shared" si="100"/>
        <v>0</v>
      </c>
      <c r="BD141" s="7">
        <f t="shared" si="100"/>
        <v>0</v>
      </c>
      <c r="BE141" s="7">
        <f t="shared" si="100"/>
        <v>0</v>
      </c>
      <c r="BF141" s="7">
        <f t="shared" si="100"/>
        <v>6.7867171729160861E-2</v>
      </c>
      <c r="BG141" s="186">
        <f t="shared" si="101"/>
        <v>0</v>
      </c>
      <c r="BH141" s="186"/>
      <c r="BI141" s="186">
        <f t="shared" si="102"/>
        <v>0</v>
      </c>
      <c r="BJ141" s="186">
        <f t="shared" si="103"/>
        <v>0</v>
      </c>
      <c r="BK141" s="186">
        <f t="shared" si="104"/>
        <v>0</v>
      </c>
      <c r="BL141" s="186">
        <f t="shared" si="105"/>
        <v>0</v>
      </c>
      <c r="BM141" s="186">
        <f t="shared" si="106"/>
        <v>0</v>
      </c>
      <c r="BN141" s="7">
        <f t="shared" si="107"/>
        <v>0.93213382827083913</v>
      </c>
      <c r="BO141" s="110">
        <f t="shared" si="108"/>
        <v>2.2021175755868723</v>
      </c>
      <c r="BP141" s="110">
        <f t="shared" si="109"/>
        <v>4.6253609220499143</v>
      </c>
      <c r="BQ141" s="110">
        <f t="shared" si="110"/>
        <v>0.48248423011206748</v>
      </c>
      <c r="BR141" s="110">
        <f t="shared" si="111"/>
        <v>8.7576536117461856</v>
      </c>
      <c r="BS141" s="110">
        <f t="shared" si="112"/>
        <v>22.251193264839507</v>
      </c>
      <c r="BT141" s="110">
        <f t="shared" si="113"/>
        <v>7.8453368656279414</v>
      </c>
      <c r="BU141" s="110">
        <f t="shared" si="114"/>
        <v>6.6849873635056944</v>
      </c>
      <c r="BV141" s="110">
        <f t="shared" si="115"/>
        <v>0.76622687059805084</v>
      </c>
    </row>
    <row r="142" spans="54:74" x14ac:dyDescent="0.2">
      <c r="BB142" s="106">
        <v>4</v>
      </c>
      <c r="BC142" s="7">
        <f t="shared" si="100"/>
        <v>0</v>
      </c>
      <c r="BD142" s="7">
        <f t="shared" si="100"/>
        <v>0</v>
      </c>
      <c r="BE142" s="7">
        <f t="shared" si="100"/>
        <v>0</v>
      </c>
      <c r="BF142" s="7">
        <f t="shared" si="100"/>
        <v>9.0489562305547819E-2</v>
      </c>
      <c r="BG142" s="186">
        <f t="shared" si="101"/>
        <v>0</v>
      </c>
      <c r="BH142" s="186"/>
      <c r="BI142" s="186">
        <f t="shared" si="102"/>
        <v>0</v>
      </c>
      <c r="BJ142" s="186">
        <f t="shared" si="103"/>
        <v>0</v>
      </c>
      <c r="BK142" s="186">
        <f t="shared" si="104"/>
        <v>0</v>
      </c>
      <c r="BL142" s="186">
        <f t="shared" si="105"/>
        <v>0</v>
      </c>
      <c r="BM142" s="186">
        <f t="shared" si="106"/>
        <v>0</v>
      </c>
      <c r="BN142" s="7">
        <f t="shared" si="107"/>
        <v>0.9095114376944522</v>
      </c>
      <c r="BO142" s="110">
        <f t="shared" si="108"/>
        <v>2.1377988814654754</v>
      </c>
      <c r="BP142" s="110">
        <f t="shared" si="109"/>
        <v>4.740408096828296</v>
      </c>
      <c r="BQ142" s="110">
        <f t="shared" si="110"/>
        <v>0.46555161926039162</v>
      </c>
      <c r="BR142" s="110">
        <f t="shared" si="111"/>
        <v>8.8420195497435206</v>
      </c>
      <c r="BS142" s="110">
        <f t="shared" si="112"/>
        <v>22.207100042666486</v>
      </c>
      <c r="BT142" s="110">
        <f t="shared" si="113"/>
        <v>7.6161685668463193</v>
      </c>
      <c r="BU142" s="110">
        <f t="shared" si="114"/>
        <v>6.8512638817194675</v>
      </c>
      <c r="BV142" s="110">
        <f t="shared" si="115"/>
        <v>0.78528532640013726</v>
      </c>
    </row>
    <row r="143" spans="54:74" x14ac:dyDescent="0.2">
      <c r="BB143" s="106">
        <v>5</v>
      </c>
      <c r="BC143" s="7">
        <f t="shared" si="100"/>
        <v>0</v>
      </c>
      <c r="BD143" s="7">
        <f t="shared" si="100"/>
        <v>0</v>
      </c>
      <c r="BE143" s="7">
        <f t="shared" si="100"/>
        <v>0</v>
      </c>
      <c r="BF143" s="7">
        <f t="shared" si="100"/>
        <v>0.11311195288193478</v>
      </c>
      <c r="BG143" s="186">
        <f t="shared" si="101"/>
        <v>0</v>
      </c>
      <c r="BH143" s="186"/>
      <c r="BI143" s="186">
        <f t="shared" si="102"/>
        <v>0</v>
      </c>
      <c r="BJ143" s="186">
        <f t="shared" si="103"/>
        <v>0</v>
      </c>
      <c r="BK143" s="186">
        <f t="shared" si="104"/>
        <v>0</v>
      </c>
      <c r="BL143" s="186">
        <f t="shared" si="105"/>
        <v>0</v>
      </c>
      <c r="BM143" s="186">
        <f t="shared" si="106"/>
        <v>0</v>
      </c>
      <c r="BN143" s="7">
        <f t="shared" si="107"/>
        <v>0.88688904711806527</v>
      </c>
      <c r="BO143" s="110">
        <f t="shared" si="108"/>
        <v>2.0701989592704981</v>
      </c>
      <c r="BP143" s="110">
        <f t="shared" si="109"/>
        <v>4.8613244209236148</v>
      </c>
      <c r="BQ143" s="110">
        <f t="shared" si="110"/>
        <v>0.44775518866168107</v>
      </c>
      <c r="BR143" s="110">
        <f t="shared" si="111"/>
        <v>8.9306894290442713</v>
      </c>
      <c r="BS143" s="110">
        <f t="shared" si="112"/>
        <v>22.160757397982252</v>
      </c>
      <c r="BT143" s="110">
        <f t="shared" si="113"/>
        <v>7.3753092120535495</v>
      </c>
      <c r="BU143" s="110">
        <f t="shared" si="114"/>
        <v>7.0260230220852167</v>
      </c>
      <c r="BV143" s="110">
        <f t="shared" si="115"/>
        <v>0.80531605225638347</v>
      </c>
    </row>
    <row r="144" spans="54:74" x14ac:dyDescent="0.2">
      <c r="BB144" s="106">
        <v>6</v>
      </c>
      <c r="BC144" s="7">
        <f t="shared" si="100"/>
        <v>0</v>
      </c>
      <c r="BD144" s="7">
        <f t="shared" si="100"/>
        <v>0</v>
      </c>
      <c r="BE144" s="7">
        <f t="shared" si="100"/>
        <v>0</v>
      </c>
      <c r="BF144" s="7">
        <f t="shared" si="100"/>
        <v>0.13573434345832172</v>
      </c>
      <c r="BG144" s="186">
        <f t="shared" si="101"/>
        <v>0</v>
      </c>
      <c r="BH144" s="186"/>
      <c r="BI144" s="186">
        <f t="shared" si="102"/>
        <v>0</v>
      </c>
      <c r="BJ144" s="186">
        <f t="shared" si="103"/>
        <v>0</v>
      </c>
      <c r="BK144" s="186">
        <f t="shared" si="104"/>
        <v>0</v>
      </c>
      <c r="BL144" s="186">
        <f t="shared" si="105"/>
        <v>0</v>
      </c>
      <c r="BM144" s="186">
        <f t="shared" si="106"/>
        <v>0</v>
      </c>
      <c r="BN144" s="7">
        <f t="shared" si="107"/>
        <v>0.86426665654167834</v>
      </c>
      <c r="BO144" s="110">
        <f t="shared" si="108"/>
        <v>1.9990601481660553</v>
      </c>
      <c r="BP144" s="110">
        <f t="shared" si="109"/>
        <v>4.9885707735813947</v>
      </c>
      <c r="BQ144" s="110">
        <f t="shared" si="110"/>
        <v>0.42902710623810325</v>
      </c>
      <c r="BR144" s="110">
        <f t="shared" si="111"/>
        <v>9.024001219789179</v>
      </c>
      <c r="BS144" s="110">
        <f t="shared" si="112"/>
        <v>22.111988693237837</v>
      </c>
      <c r="BT144" s="110">
        <f t="shared" si="113"/>
        <v>7.1218407525201188</v>
      </c>
      <c r="BU144" s="110">
        <f t="shared" si="114"/>
        <v>7.209930888715534</v>
      </c>
      <c r="BV144" s="110">
        <f t="shared" si="115"/>
        <v>0.8263953963843601</v>
      </c>
    </row>
    <row r="145" spans="54:74" x14ac:dyDescent="0.2">
      <c r="BB145" s="106">
        <v>7</v>
      </c>
      <c r="BC145" s="7">
        <f t="shared" si="100"/>
        <v>0</v>
      </c>
      <c r="BD145" s="7">
        <f t="shared" si="100"/>
        <v>0</v>
      </c>
      <c r="BE145" s="7">
        <f t="shared" si="100"/>
        <v>0</v>
      </c>
      <c r="BF145" s="7">
        <f t="shared" si="100"/>
        <v>0.15835673403470868</v>
      </c>
      <c r="BG145" s="186">
        <f t="shared" si="101"/>
        <v>0</v>
      </c>
      <c r="BH145" s="186"/>
      <c r="BI145" s="186">
        <f t="shared" si="102"/>
        <v>0</v>
      </c>
      <c r="BJ145" s="186">
        <f t="shared" si="103"/>
        <v>0</v>
      </c>
      <c r="BK145" s="186">
        <f t="shared" si="104"/>
        <v>0</v>
      </c>
      <c r="BL145" s="186">
        <f t="shared" si="105"/>
        <v>0</v>
      </c>
      <c r="BM145" s="186">
        <f t="shared" si="106"/>
        <v>0</v>
      </c>
      <c r="BN145" s="7">
        <f t="shared" si="107"/>
        <v>0.84164426596529129</v>
      </c>
      <c r="BO145" s="110">
        <f t="shared" si="108"/>
        <v>1.924097084856677</v>
      </c>
      <c r="BP145" s="110">
        <f t="shared" si="109"/>
        <v>5.1226575855772856</v>
      </c>
      <c r="BQ145" s="110">
        <f t="shared" si="110"/>
        <v>0.40929224693154614</v>
      </c>
      <c r="BR145" s="110">
        <f t="shared" si="111"/>
        <v>9.1223292290505693</v>
      </c>
      <c r="BS145" s="110">
        <f t="shared" si="112"/>
        <v>22.060598299660636</v>
      </c>
      <c r="BT145" s="110">
        <f t="shared" si="113"/>
        <v>6.8547464353120455</v>
      </c>
      <c r="BU145" s="110">
        <f t="shared" si="114"/>
        <v>7.4037252020483919</v>
      </c>
      <c r="BV145" s="110">
        <f t="shared" si="115"/>
        <v>0.84860791559649273</v>
      </c>
    </row>
    <row r="146" spans="54:74" x14ac:dyDescent="0.2">
      <c r="BB146" s="106">
        <v>8</v>
      </c>
      <c r="BC146" s="7">
        <f t="shared" si="100"/>
        <v>0</v>
      </c>
      <c r="BD146" s="7">
        <f t="shared" si="100"/>
        <v>0</v>
      </c>
      <c r="BE146" s="7">
        <f t="shared" si="100"/>
        <v>0</v>
      </c>
      <c r="BF146" s="7">
        <f t="shared" si="100"/>
        <v>0.18097912461109564</v>
      </c>
      <c r="BG146" s="186">
        <f t="shared" si="101"/>
        <v>0</v>
      </c>
      <c r="BH146" s="186"/>
      <c r="BI146" s="186">
        <f t="shared" si="102"/>
        <v>0</v>
      </c>
      <c r="BJ146" s="186">
        <f t="shared" si="103"/>
        <v>0</v>
      </c>
      <c r="BK146" s="186">
        <f t="shared" si="104"/>
        <v>0</v>
      </c>
      <c r="BL146" s="186">
        <f t="shared" si="105"/>
        <v>0</v>
      </c>
      <c r="BM146" s="186">
        <f t="shared" si="106"/>
        <v>0</v>
      </c>
      <c r="BN146" s="7">
        <f t="shared" si="107"/>
        <v>0.81902187538890436</v>
      </c>
      <c r="BO146" s="110">
        <f t="shared" si="108"/>
        <v>1.844992877707442</v>
      </c>
      <c r="BP146" s="110">
        <f t="shared" si="109"/>
        <v>5.2641516825878112</v>
      </c>
      <c r="BQ146" s="110">
        <f t="shared" si="110"/>
        <v>0.38846718549823622</v>
      </c>
      <c r="BR146" s="110">
        <f t="shared" si="111"/>
        <v>9.2260891191858487</v>
      </c>
      <c r="BS146" s="110">
        <f t="shared" si="112"/>
        <v>22.006368974449703</v>
      </c>
      <c r="BT146" s="110">
        <f t="shared" si="113"/>
        <v>6.5728971716338433</v>
      </c>
      <c r="BU146" s="110">
        <f t="shared" si="114"/>
        <v>7.6082251895016535</v>
      </c>
      <c r="BV146" s="110">
        <f t="shared" si="115"/>
        <v>0.87204750895744143</v>
      </c>
    </row>
    <row r="147" spans="54:74" x14ac:dyDescent="0.2">
      <c r="BB147" s="106">
        <v>9</v>
      </c>
      <c r="BC147" s="7">
        <f t="shared" si="100"/>
        <v>0</v>
      </c>
      <c r="BD147" s="7">
        <f t="shared" si="100"/>
        <v>0</v>
      </c>
      <c r="BE147" s="7">
        <f t="shared" si="100"/>
        <v>0</v>
      </c>
      <c r="BF147" s="7">
        <f t="shared" si="100"/>
        <v>0.2036015151874826</v>
      </c>
      <c r="BG147" s="186">
        <f t="shared" si="101"/>
        <v>0</v>
      </c>
      <c r="BH147" s="186"/>
      <c r="BI147" s="186">
        <f t="shared" si="102"/>
        <v>0</v>
      </c>
      <c r="BJ147" s="186">
        <f t="shared" si="103"/>
        <v>0</v>
      </c>
      <c r="BK147" s="186">
        <f t="shared" si="104"/>
        <v>0</v>
      </c>
      <c r="BL147" s="186">
        <f t="shared" si="105"/>
        <v>0</v>
      </c>
      <c r="BM147" s="186">
        <f t="shared" si="106"/>
        <v>0</v>
      </c>
      <c r="BN147" s="7">
        <f t="shared" si="107"/>
        <v>0.79639948481251743</v>
      </c>
      <c r="BO147" s="110">
        <f t="shared" si="108"/>
        <v>1.7613946288002902</v>
      </c>
      <c r="BP147" s="110">
        <f t="shared" si="109"/>
        <v>5.4136842949109854</v>
      </c>
      <c r="BQ147" s="110">
        <f t="shared" si="110"/>
        <v>0.36645901764030958</v>
      </c>
      <c r="BR147" s="110">
        <f t="shared" si="111"/>
        <v>9.3357437814940525</v>
      </c>
      <c r="BS147" s="110">
        <f t="shared" si="112"/>
        <v>21.949058790953423</v>
      </c>
      <c r="BT147" s="110">
        <f t="shared" si="113"/>
        <v>6.275035581860033</v>
      </c>
      <c r="BU147" s="110">
        <f t="shared" si="114"/>
        <v>7.8243431618412895</v>
      </c>
      <c r="BV147" s="110">
        <f t="shared" si="115"/>
        <v>0.89681874465637534</v>
      </c>
    </row>
    <row r="148" spans="54:74" x14ac:dyDescent="0.2">
      <c r="BB148" s="106">
        <v>10</v>
      </c>
      <c r="BC148" s="7">
        <f t="shared" si="100"/>
        <v>0</v>
      </c>
      <c r="BD148" s="7">
        <f t="shared" si="100"/>
        <v>0</v>
      </c>
      <c r="BE148" s="7">
        <f t="shared" si="100"/>
        <v>0</v>
      </c>
      <c r="BF148" s="7">
        <f t="shared" si="100"/>
        <v>0.22622390576386955</v>
      </c>
      <c r="BG148" s="186">
        <f t="shared" si="101"/>
        <v>0</v>
      </c>
      <c r="BH148" s="186"/>
      <c r="BI148" s="186">
        <f t="shared" si="102"/>
        <v>0</v>
      </c>
      <c r="BJ148" s="186">
        <f t="shared" si="103"/>
        <v>0</v>
      </c>
      <c r="BK148" s="186">
        <f t="shared" si="104"/>
        <v>0</v>
      </c>
      <c r="BL148" s="186">
        <f t="shared" si="105"/>
        <v>0</v>
      </c>
      <c r="BM148" s="186">
        <f t="shared" si="106"/>
        <v>0</v>
      </c>
      <c r="BN148" s="7">
        <f t="shared" si="107"/>
        <v>0.7737770942361305</v>
      </c>
      <c r="BO148" s="110">
        <f t="shared" si="108"/>
        <v>1.6729081704789106</v>
      </c>
      <c r="BP148" s="110">
        <f t="shared" si="109"/>
        <v>5.5719604722351939</v>
      </c>
      <c r="BQ148" s="110">
        <f t="shared" si="110"/>
        <v>0.34316397434277274</v>
      </c>
      <c r="BR148" s="110">
        <f t="shared" si="111"/>
        <v>9.4518102402168491</v>
      </c>
      <c r="BS148" s="110">
        <f t="shared" si="112"/>
        <v>21.888397530345362</v>
      </c>
      <c r="BT148" s="110">
        <f t="shared" si="113"/>
        <v>5.9597572417798093</v>
      </c>
      <c r="BU148" s="110">
        <f t="shared" si="114"/>
        <v>8.0530981202516241</v>
      </c>
      <c r="BV148" s="110">
        <f t="shared" si="115"/>
        <v>0.92303841963637723</v>
      </c>
    </row>
    <row r="149" spans="54:74" x14ac:dyDescent="0.2">
      <c r="BB149" s="106">
        <v>11</v>
      </c>
      <c r="BC149" s="7">
        <f t="shared" si="100"/>
        <v>0</v>
      </c>
      <c r="BD149" s="7">
        <f t="shared" si="100"/>
        <v>0</v>
      </c>
      <c r="BE149" s="7">
        <f t="shared" si="100"/>
        <v>0</v>
      </c>
      <c r="BF149" s="7">
        <f t="shared" si="100"/>
        <v>0.24884629634025651</v>
      </c>
      <c r="BG149" s="186">
        <f t="shared" si="101"/>
        <v>0</v>
      </c>
      <c r="BH149" s="186"/>
      <c r="BI149" s="186">
        <f t="shared" si="102"/>
        <v>0</v>
      </c>
      <c r="BJ149" s="186">
        <f t="shared" si="103"/>
        <v>0</v>
      </c>
      <c r="BK149" s="186">
        <f t="shared" si="104"/>
        <v>0</v>
      </c>
      <c r="BL149" s="186">
        <f t="shared" si="105"/>
        <v>0</v>
      </c>
      <c r="BM149" s="186">
        <f t="shared" si="106"/>
        <v>0</v>
      </c>
      <c r="BN149" s="7">
        <f t="shared" si="107"/>
        <v>0.75115470365974357</v>
      </c>
      <c r="BO149" s="110">
        <f t="shared" si="108"/>
        <v>1.5790918507824654</v>
      </c>
      <c r="BP149" s="110">
        <f t="shared" si="109"/>
        <v>5.739770199665446</v>
      </c>
      <c r="BQ149" s="110">
        <f t="shared" si="110"/>
        <v>0.31846578581988316</v>
      </c>
      <c r="BR149" s="110">
        <f t="shared" si="111"/>
        <v>9.5748678040988153</v>
      </c>
      <c r="BS149" s="110">
        <f t="shared" si="112"/>
        <v>21.824082421272674</v>
      </c>
      <c r="BT149" s="110">
        <f t="shared" si="113"/>
        <v>5.6254885400209069</v>
      </c>
      <c r="BU149" s="110">
        <f t="shared" si="114"/>
        <v>8.2956318222156646</v>
      </c>
      <c r="BV149" s="110">
        <f t="shared" si="115"/>
        <v>0.95083740105030945</v>
      </c>
    </row>
    <row r="150" spans="54:74" x14ac:dyDescent="0.2">
      <c r="BB150" s="106">
        <v>12</v>
      </c>
      <c r="BC150" s="7">
        <f t="shared" si="100"/>
        <v>0</v>
      </c>
      <c r="BD150" s="7">
        <f t="shared" si="100"/>
        <v>0</v>
      </c>
      <c r="BE150" s="7">
        <f t="shared" si="100"/>
        <v>0</v>
      </c>
      <c r="BF150" s="7">
        <f t="shared" si="100"/>
        <v>0.27146868691664344</v>
      </c>
      <c r="BG150" s="186">
        <f t="shared" si="101"/>
        <v>0</v>
      </c>
      <c r="BH150" s="186"/>
      <c r="BI150" s="186">
        <f t="shared" si="102"/>
        <v>0</v>
      </c>
      <c r="BJ150" s="186">
        <f t="shared" si="103"/>
        <v>0</v>
      </c>
      <c r="BK150" s="186">
        <f t="shared" si="104"/>
        <v>0</v>
      </c>
      <c r="BL150" s="186">
        <f t="shared" si="105"/>
        <v>0</v>
      </c>
      <c r="BM150" s="186">
        <f t="shared" si="106"/>
        <v>0</v>
      </c>
      <c r="BN150" s="7">
        <f t="shared" si="107"/>
        <v>0.72853231308335664</v>
      </c>
      <c r="BO150" s="110">
        <f t="shared" si="108"/>
        <v>1.4794491610307792</v>
      </c>
      <c r="BP150" s="110">
        <f t="shared" si="109"/>
        <v>5.9180015847991916</v>
      </c>
      <c r="BQ150" s="110">
        <f t="shared" si="110"/>
        <v>0.29223374064503727</v>
      </c>
      <c r="BR150" s="110">
        <f t="shared" si="111"/>
        <v>9.7055677366815836</v>
      </c>
      <c r="BS150" s="110">
        <f t="shared" si="112"/>
        <v>21.755773085749695</v>
      </c>
      <c r="BT150" s="110">
        <f t="shared" si="113"/>
        <v>5.2704604100448895</v>
      </c>
      <c r="BU150" s="110">
        <f t="shared" si="114"/>
        <v>8.5532278406624052</v>
      </c>
      <c r="BV150" s="110">
        <f t="shared" si="115"/>
        <v>0.98036281080208754</v>
      </c>
    </row>
    <row r="151" spans="54:74" x14ac:dyDescent="0.2">
      <c r="BB151" s="106">
        <v>13</v>
      </c>
      <c r="BC151" s="7">
        <f t="shared" si="100"/>
        <v>0</v>
      </c>
      <c r="BD151" s="7">
        <f t="shared" si="100"/>
        <v>0</v>
      </c>
      <c r="BE151" s="7">
        <f t="shared" si="100"/>
        <v>0</v>
      </c>
      <c r="BF151" s="7">
        <f t="shared" si="100"/>
        <v>0.29409107749303043</v>
      </c>
      <c r="BG151" s="186">
        <f t="shared" si="101"/>
        <v>0</v>
      </c>
      <c r="BH151" s="186"/>
      <c r="BI151" s="186">
        <f t="shared" si="102"/>
        <v>0</v>
      </c>
      <c r="BJ151" s="186">
        <f t="shared" si="103"/>
        <v>0</v>
      </c>
      <c r="BK151" s="186">
        <f t="shared" si="104"/>
        <v>0</v>
      </c>
      <c r="BL151" s="186">
        <f t="shared" si="105"/>
        <v>0</v>
      </c>
      <c r="BM151" s="186">
        <f t="shared" si="106"/>
        <v>0</v>
      </c>
      <c r="BN151" s="7">
        <f t="shared" si="107"/>
        <v>0.7059099225069696</v>
      </c>
      <c r="BO151" s="110">
        <f t="shared" si="108"/>
        <v>1.3734199458208898</v>
      </c>
      <c r="BP151" s="110">
        <f t="shared" si="109"/>
        <v>6.1076565804501177</v>
      </c>
      <c r="BQ151" s="110">
        <f t="shared" si="110"/>
        <v>0.26432037168469963</v>
      </c>
      <c r="BR151" s="110">
        <f t="shared" si="111"/>
        <v>9.844644786029324</v>
      </c>
      <c r="BS151" s="110">
        <f t="shared" si="112"/>
        <v>21.683085513233745</v>
      </c>
      <c r="BT151" s="110">
        <f t="shared" si="113"/>
        <v>4.8926770112566738</v>
      </c>
      <c r="BU151" s="110">
        <f t="shared" si="114"/>
        <v>8.8273342878605359</v>
      </c>
      <c r="BV151" s="110">
        <f t="shared" si="115"/>
        <v>1.0117806301376848</v>
      </c>
    </row>
    <row r="152" spans="54:74" x14ac:dyDescent="0.2">
      <c r="BB152" s="106">
        <v>14</v>
      </c>
      <c r="BC152" s="7">
        <f t="shared" si="100"/>
        <v>0</v>
      </c>
      <c r="BD152" s="7">
        <f t="shared" si="100"/>
        <v>0</v>
      </c>
      <c r="BE152" s="7">
        <f t="shared" si="100"/>
        <v>0</v>
      </c>
      <c r="BF152" s="7">
        <f t="shared" si="100"/>
        <v>0.31671346806941736</v>
      </c>
      <c r="BG152" s="186">
        <f t="shared" si="101"/>
        <v>0</v>
      </c>
      <c r="BH152" s="186"/>
      <c r="BI152" s="186">
        <f t="shared" si="102"/>
        <v>0</v>
      </c>
      <c r="BJ152" s="186">
        <f t="shared" si="103"/>
        <v>0</v>
      </c>
      <c r="BK152" s="186">
        <f t="shared" si="104"/>
        <v>0</v>
      </c>
      <c r="BL152" s="186">
        <f t="shared" si="105"/>
        <v>0</v>
      </c>
      <c r="BM152" s="186">
        <f t="shared" si="106"/>
        <v>0</v>
      </c>
      <c r="BN152" s="7">
        <f t="shared" si="107"/>
        <v>0.68328753193058267</v>
      </c>
      <c r="BO152" s="110">
        <f t="shared" si="108"/>
        <v>1.2603698668987402</v>
      </c>
      <c r="BP152" s="110">
        <f t="shared" si="109"/>
        <v>6.3098698306743586</v>
      </c>
      <c r="BQ152" s="110">
        <f t="shared" si="110"/>
        <v>0.23455868234556207</v>
      </c>
      <c r="BR152" s="110">
        <f t="shared" si="111"/>
        <v>9.9929310048219246</v>
      </c>
      <c r="BS152" s="110">
        <f t="shared" si="112"/>
        <v>21.605584837657478</v>
      </c>
      <c r="BT152" s="110">
        <f t="shared" si="113"/>
        <v>4.4898781886496906</v>
      </c>
      <c r="BU152" s="110">
        <f t="shared" si="114"/>
        <v>9.1195910533895184</v>
      </c>
      <c r="BV152" s="110">
        <f t="shared" si="115"/>
        <v>1.0452788216353792</v>
      </c>
    </row>
    <row r="153" spans="54:74" x14ac:dyDescent="0.2">
      <c r="BB153" s="106">
        <v>15</v>
      </c>
      <c r="BC153" s="7">
        <f t="shared" si="100"/>
        <v>0</v>
      </c>
      <c r="BD153" s="7">
        <f t="shared" si="100"/>
        <v>0</v>
      </c>
      <c r="BE153" s="7">
        <f t="shared" si="100"/>
        <v>0</v>
      </c>
      <c r="BF153" s="7">
        <f t="shared" si="100"/>
        <v>0.33933585864580434</v>
      </c>
      <c r="BG153" s="186">
        <f t="shared" si="101"/>
        <v>0</v>
      </c>
      <c r="BH153" s="186"/>
      <c r="BI153" s="186">
        <f t="shared" si="102"/>
        <v>0</v>
      </c>
      <c r="BJ153" s="186">
        <f t="shared" si="103"/>
        <v>0</v>
      </c>
      <c r="BK153" s="186">
        <f t="shared" si="104"/>
        <v>0</v>
      </c>
      <c r="BL153" s="186">
        <f t="shared" si="105"/>
        <v>0</v>
      </c>
      <c r="BM153" s="186">
        <f t="shared" si="106"/>
        <v>0</v>
      </c>
      <c r="BN153" s="7">
        <f t="shared" si="107"/>
        <v>0.66066514135419563</v>
      </c>
      <c r="BO153" s="110">
        <f t="shared" si="108"/>
        <v>1.1395777023722966</v>
      </c>
      <c r="BP153" s="110">
        <f t="shared" si="109"/>
        <v>6.5259313887324799</v>
      </c>
      <c r="BQ153" s="110">
        <f t="shared" si="110"/>
        <v>0.2027588029512841</v>
      </c>
      <c r="BR153" s="110">
        <f t="shared" si="111"/>
        <v>10.151372409800819</v>
      </c>
      <c r="BS153" s="110">
        <f t="shared" si="112"/>
        <v>21.522776630495009</v>
      </c>
      <c r="BT153" s="110">
        <f t="shared" si="113"/>
        <v>4.0594942197459112</v>
      </c>
      <c r="BU153" s="110">
        <f t="shared" si="114"/>
        <v>9.4318626381803021</v>
      </c>
      <c r="BV153" s="110">
        <f t="shared" si="115"/>
        <v>1.0810710926121578</v>
      </c>
    </row>
    <row r="154" spans="54:74" x14ac:dyDescent="0.2">
      <c r="BB154" s="106">
        <v>16</v>
      </c>
      <c r="BC154" s="7">
        <f t="shared" si="100"/>
        <v>0</v>
      </c>
      <c r="BD154" s="7">
        <f t="shared" si="100"/>
        <v>0</v>
      </c>
      <c r="BE154" s="7">
        <f t="shared" si="100"/>
        <v>0</v>
      </c>
      <c r="BF154" s="7">
        <f t="shared" si="100"/>
        <v>0.36195824922219128</v>
      </c>
      <c r="BG154" s="186">
        <f t="shared" si="101"/>
        <v>0</v>
      </c>
      <c r="BH154" s="186"/>
      <c r="BI154" s="186">
        <f t="shared" si="102"/>
        <v>0</v>
      </c>
      <c r="BJ154" s="186">
        <f t="shared" si="103"/>
        <v>0</v>
      </c>
      <c r="BK154" s="186">
        <f t="shared" si="104"/>
        <v>0</v>
      </c>
      <c r="BL154" s="186">
        <f t="shared" si="105"/>
        <v>0</v>
      </c>
      <c r="BM154" s="186">
        <f t="shared" si="106"/>
        <v>0</v>
      </c>
      <c r="BN154" s="7">
        <f t="shared" si="107"/>
        <v>0.6380427507778087</v>
      </c>
      <c r="BO154" s="110">
        <f t="shared" si="108"/>
        <v>1.0102199440164334</v>
      </c>
      <c r="BP154" s="110">
        <f t="shared" si="109"/>
        <v>6.7573142679684519</v>
      </c>
      <c r="BQ154" s="110">
        <f t="shared" si="110"/>
        <v>0.16870393581186713</v>
      </c>
      <c r="BR154" s="110">
        <f t="shared" si="111"/>
        <v>10.321049185270276</v>
      </c>
      <c r="BS154" s="110">
        <f t="shared" si="112"/>
        <v>21.434096341554078</v>
      </c>
      <c r="BT154" s="110">
        <f t="shared" si="113"/>
        <v>3.5985909346035641</v>
      </c>
      <c r="BU154" s="110">
        <f t="shared" si="114"/>
        <v>9.7662779735220724</v>
      </c>
      <c r="BV154" s="110">
        <f t="shared" si="115"/>
        <v>1.1194014591402628</v>
      </c>
    </row>
    <row r="155" spans="54:74" x14ac:dyDescent="0.2">
      <c r="BB155" s="106">
        <v>17</v>
      </c>
      <c r="BC155" s="7">
        <f t="shared" si="100"/>
        <v>0</v>
      </c>
      <c r="BD155" s="7">
        <f t="shared" si="100"/>
        <v>0</v>
      </c>
      <c r="BE155" s="7">
        <f t="shared" si="100"/>
        <v>0</v>
      </c>
      <c r="BF155" s="7">
        <f t="shared" si="100"/>
        <v>0.38458063979857821</v>
      </c>
      <c r="BG155" s="186">
        <f t="shared" si="101"/>
        <v>0</v>
      </c>
      <c r="BH155" s="186"/>
      <c r="BI155" s="186">
        <f t="shared" si="102"/>
        <v>0</v>
      </c>
      <c r="BJ155" s="186">
        <f t="shared" si="103"/>
        <v>0</v>
      </c>
      <c r="BK155" s="186">
        <f t="shared" si="104"/>
        <v>0</v>
      </c>
      <c r="BL155" s="186">
        <f t="shared" si="105"/>
        <v>0</v>
      </c>
      <c r="BM155" s="186">
        <f t="shared" si="106"/>
        <v>0</v>
      </c>
      <c r="BN155" s="7">
        <f t="shared" si="107"/>
        <v>0.61542036020142177</v>
      </c>
      <c r="BO155" s="110">
        <f t="shared" si="108"/>
        <v>0.87135199742872704</v>
      </c>
      <c r="BP155" s="110">
        <f t="shared" si="109"/>
        <v>7.0057080691864391</v>
      </c>
      <c r="BQ155" s="110">
        <f t="shared" si="110"/>
        <v>0.13214540595579036</v>
      </c>
      <c r="BR155" s="110">
        <f t="shared" si="111"/>
        <v>10.50320034259202</v>
      </c>
      <c r="BS155" s="110">
        <f t="shared" si="112"/>
        <v>21.33889641087692</v>
      </c>
      <c r="BT155" s="110">
        <f t="shared" si="113"/>
        <v>3.1038027317408581</v>
      </c>
      <c r="BU155" s="110">
        <f t="shared" si="114"/>
        <v>10.125279022369838</v>
      </c>
      <c r="BV155" s="110">
        <f t="shared" si="115"/>
        <v>1.1605498166826753</v>
      </c>
    </row>
    <row r="156" spans="54:74" x14ac:dyDescent="0.2">
      <c r="BB156" s="106">
        <v>18</v>
      </c>
      <c r="BC156" s="7">
        <f t="shared" si="100"/>
        <v>0</v>
      </c>
      <c r="BD156" s="7">
        <f t="shared" si="100"/>
        <v>0</v>
      </c>
      <c r="BE156" s="7">
        <f t="shared" si="100"/>
        <v>0</v>
      </c>
      <c r="BF156" s="7">
        <f t="shared" si="100"/>
        <v>0.40720303037496519</v>
      </c>
      <c r="BG156" s="186">
        <f t="shared" si="101"/>
        <v>0</v>
      </c>
      <c r="BH156" s="186"/>
      <c r="BI156" s="186">
        <f t="shared" si="102"/>
        <v>0</v>
      </c>
      <c r="BJ156" s="186">
        <f t="shared" si="103"/>
        <v>0</v>
      </c>
      <c r="BK156" s="186">
        <f t="shared" si="104"/>
        <v>0</v>
      </c>
      <c r="BL156" s="186">
        <f t="shared" si="105"/>
        <v>0</v>
      </c>
      <c r="BM156" s="186">
        <f t="shared" si="106"/>
        <v>0</v>
      </c>
      <c r="BN156" s="7">
        <f t="shared" si="107"/>
        <v>0.59279796962503484</v>
      </c>
      <c r="BO156" s="110">
        <f t="shared" si="108"/>
        <v>0.72188507754077313</v>
      </c>
      <c r="BP156" s="110">
        <f t="shared" si="109"/>
        <v>7.2730603077670288</v>
      </c>
      <c r="BQ156" s="110">
        <f t="shared" si="110"/>
        <v>9.279657861665748E-2</v>
      </c>
      <c r="BR156" s="110">
        <f t="shared" si="111"/>
        <v>10.69925402602221</v>
      </c>
      <c r="BS156" s="110">
        <f t="shared" si="112"/>
        <v>21.23643042962274</v>
      </c>
      <c r="BT156" s="110">
        <f t="shared" si="113"/>
        <v>2.571250256558427</v>
      </c>
      <c r="BU156" s="110">
        <f t="shared" si="114"/>
        <v>10.511680509007579</v>
      </c>
      <c r="BV156" s="110">
        <f t="shared" si="115"/>
        <v>1.2048387862500922</v>
      </c>
    </row>
    <row r="157" spans="54:74" x14ac:dyDescent="0.2">
      <c r="BB157" s="106">
        <v>19</v>
      </c>
      <c r="BC157" s="7">
        <f t="shared" si="100"/>
        <v>0</v>
      </c>
      <c r="BD157" s="7">
        <f t="shared" si="100"/>
        <v>0</v>
      </c>
      <c r="BE157" s="7">
        <f t="shared" si="100"/>
        <v>0</v>
      </c>
      <c r="BF157" s="7">
        <f t="shared" si="100"/>
        <v>0.42982542095135212</v>
      </c>
      <c r="BG157" s="186">
        <f t="shared" si="101"/>
        <v>0</v>
      </c>
      <c r="BH157" s="186"/>
      <c r="BI157" s="186">
        <f t="shared" si="102"/>
        <v>0</v>
      </c>
      <c r="BJ157" s="186">
        <f t="shared" si="103"/>
        <v>0</v>
      </c>
      <c r="BK157" s="186">
        <f t="shared" si="104"/>
        <v>0</v>
      </c>
      <c r="BL157" s="186">
        <f t="shared" si="105"/>
        <v>0</v>
      </c>
      <c r="BM157" s="186">
        <f t="shared" si="106"/>
        <v>0</v>
      </c>
      <c r="BN157" s="7">
        <f t="shared" si="107"/>
        <v>0.57017557904864791</v>
      </c>
      <c r="BO157" s="110">
        <f t="shared" si="108"/>
        <v>0.56055760394199117</v>
      </c>
      <c r="BP157" s="110">
        <f t="shared" si="109"/>
        <v>7.5616275789967986</v>
      </c>
      <c r="BQ157" s="110">
        <f t="shared" si="110"/>
        <v>5.0325328734370962E-2</v>
      </c>
      <c r="BR157" s="110">
        <f t="shared" si="111"/>
        <v>10.91086503306804</v>
      </c>
      <c r="BS157" s="110">
        <f t="shared" si="112"/>
        <v>21.125833530335932</v>
      </c>
      <c r="BT157" s="110">
        <f t="shared" si="113"/>
        <v>1.9964384825259851</v>
      </c>
      <c r="BU157" s="110">
        <f t="shared" si="114"/>
        <v>10.928743867781622</v>
      </c>
      <c r="BV157" s="110">
        <f t="shared" si="115"/>
        <v>1.2526421903341594</v>
      </c>
    </row>
    <row r="158" spans="54:74" x14ac:dyDescent="0.2">
      <c r="BB158" s="63">
        <v>20</v>
      </c>
      <c r="BC158" s="7">
        <f t="shared" si="100"/>
        <v>0</v>
      </c>
      <c r="BD158" s="7">
        <f t="shared" si="100"/>
        <v>0</v>
      </c>
      <c r="BE158" s="7">
        <f t="shared" si="100"/>
        <v>0</v>
      </c>
      <c r="BF158" s="7">
        <f t="shared" si="100"/>
        <v>0.45244781152773911</v>
      </c>
      <c r="BG158" s="186">
        <f t="shared" si="101"/>
        <v>0</v>
      </c>
      <c r="BH158" s="186"/>
      <c r="BI158" s="186">
        <f t="shared" si="102"/>
        <v>0</v>
      </c>
      <c r="BJ158" s="186">
        <f t="shared" si="103"/>
        <v>0</v>
      </c>
      <c r="BK158" s="186">
        <f t="shared" si="104"/>
        <v>0</v>
      </c>
      <c r="BL158" s="186">
        <f t="shared" si="105"/>
        <v>0</v>
      </c>
      <c r="BM158" s="186">
        <f t="shared" si="106"/>
        <v>0</v>
      </c>
      <c r="BN158" s="7">
        <f t="shared" si="107"/>
        <v>0.54755318847226098</v>
      </c>
      <c r="BO158" s="110">
        <f t="shared" si="108"/>
        <v>0.38589950531795308</v>
      </c>
      <c r="BP158" s="110">
        <f t="shared" si="109"/>
        <v>7.8740394069007307</v>
      </c>
      <c r="BQ158" s="110">
        <f t="shared" si="110"/>
        <v>4.3446437019203062E-3</v>
      </c>
      <c r="BR158" s="110">
        <f t="shared" si="111"/>
        <v>11.139961635860322</v>
      </c>
      <c r="BS158" s="110">
        <f t="shared" si="112"/>
        <v>21.006097916108267</v>
      </c>
      <c r="BT158" s="110">
        <f t="shared" si="113"/>
        <v>1.3741295274567542</v>
      </c>
      <c r="BU158" s="110">
        <f t="shared" si="114"/>
        <v>11.380269523172402</v>
      </c>
      <c r="BV158" s="110">
        <f t="shared" si="115"/>
        <v>1.3043956299612136</v>
      </c>
    </row>
    <row r="159" spans="54:74" x14ac:dyDescent="0.2">
      <c r="BB159" s="213" t="s">
        <v>478</v>
      </c>
      <c r="BC159" s="215">
        <f>(BC136-0)/($BB158-$BB138)</f>
        <v>0</v>
      </c>
      <c r="BD159" s="215">
        <f>(BD136-0)/($BB158-$BB138)</f>
        <v>0</v>
      </c>
      <c r="BE159" s="215">
        <f>(BE136-0)/($BB158-$BB138)</f>
        <v>0</v>
      </c>
      <c r="BF159" s="215">
        <f>(BF136-0)/($BB158-$BB138)</f>
        <v>2.2622390576386955E-2</v>
      </c>
      <c r="BI159" s="186"/>
      <c r="BJ159" s="186"/>
      <c r="BK159" s="186"/>
      <c r="BL159" s="186"/>
      <c r="BM159" s="186"/>
    </row>
    <row r="160" spans="54:74" x14ac:dyDescent="0.2">
      <c r="BB160" s="213" t="s">
        <v>479</v>
      </c>
      <c r="BC160" s="215">
        <v>0</v>
      </c>
      <c r="BD160" s="215">
        <v>0</v>
      </c>
      <c r="BE160" s="215">
        <v>0</v>
      </c>
      <c r="BF160" s="215">
        <v>0</v>
      </c>
      <c r="BI160" s="186"/>
      <c r="BJ160" s="186"/>
      <c r="BK160" s="186"/>
      <c r="BL160" s="186"/>
      <c r="BM160" s="186"/>
    </row>
    <row r="161" spans="47:65" x14ac:dyDescent="0.2">
      <c r="BB161" s="2" t="s">
        <v>480</v>
      </c>
      <c r="BC161" s="184">
        <f>BC158-BC136</f>
        <v>0</v>
      </c>
      <c r="BD161" s="184">
        <f>BD158-BD136</f>
        <v>0</v>
      </c>
      <c r="BE161" s="184">
        <f>BE158-BE136</f>
        <v>0</v>
      </c>
      <c r="BF161" s="184">
        <f>BF158-BF136</f>
        <v>0</v>
      </c>
      <c r="BI161" s="186"/>
      <c r="BJ161" s="186"/>
      <c r="BK161" s="186"/>
      <c r="BL161" s="186"/>
      <c r="BM161" s="186"/>
    </row>
    <row r="163" spans="47:65" x14ac:dyDescent="0.2">
      <c r="AV163" s="75" t="s">
        <v>499</v>
      </c>
      <c r="AW163" s="75" t="s">
        <v>431</v>
      </c>
      <c r="AX163" s="75" t="s">
        <v>433</v>
      </c>
    </row>
    <row r="164" spans="47:65" x14ac:dyDescent="0.2">
      <c r="AU164" s="188" t="s">
        <v>63</v>
      </c>
      <c r="AV164" s="7">
        <f>AVERAGE(BF210:BF211)</f>
        <v>5.195205810837634</v>
      </c>
      <c r="AW164" s="4"/>
      <c r="AX164" s="4"/>
    </row>
    <row r="165" spans="47:65" x14ac:dyDescent="0.2">
      <c r="AU165" s="188" t="s">
        <v>65</v>
      </c>
      <c r="AV165" s="7">
        <f>AVERAGE(BC210:BC211)</f>
        <v>8.2904720295308234</v>
      </c>
      <c r="AW165" s="4"/>
      <c r="AX165" s="4"/>
    </row>
    <row r="166" spans="47:65" x14ac:dyDescent="0.2">
      <c r="AU166" s="188" t="s">
        <v>66</v>
      </c>
      <c r="AV166" s="7">
        <f>AVERAGE(BJ210:BJ211)</f>
        <v>21.501730910059251</v>
      </c>
      <c r="AW166" s="4"/>
      <c r="AX166" s="4"/>
    </row>
    <row r="167" spans="47:65" x14ac:dyDescent="0.2">
      <c r="AU167" s="188" t="s">
        <v>67</v>
      </c>
      <c r="AV167" s="7">
        <f>AVERAGE(BA210:BA211)</f>
        <v>7.7272133462794601</v>
      </c>
      <c r="AW167" s="4"/>
      <c r="AX167" s="4"/>
    </row>
    <row r="168" spans="47:65" x14ac:dyDescent="0.2">
      <c r="AU168" s="188" t="s">
        <v>68</v>
      </c>
      <c r="AV168" s="7">
        <f>AVERAGE(BD210:BD211)</f>
        <v>8.0784252944823312</v>
      </c>
      <c r="AW168" s="4"/>
      <c r="AX168" s="4"/>
    </row>
    <row r="169" spans="47:65" x14ac:dyDescent="0.2">
      <c r="AU169" s="188" t="s">
        <v>69</v>
      </c>
      <c r="AV169" s="7">
        <f>AVERAGE(BL210:BL211)</f>
        <v>0.94697126400801346</v>
      </c>
      <c r="AW169" s="4"/>
      <c r="AX169" s="4"/>
    </row>
    <row r="170" spans="47:65" x14ac:dyDescent="0.2">
      <c r="AU170" s="188" t="s">
        <v>62</v>
      </c>
      <c r="AV170" s="7">
        <f>AVERAGE(BH210:BH211)</f>
        <v>2.2662964875199663</v>
      </c>
      <c r="AW170" s="4"/>
      <c r="AX170" s="4"/>
    </row>
    <row r="171" spans="47:65" x14ac:dyDescent="0.2">
      <c r="AU171" s="188" t="s">
        <v>64</v>
      </c>
      <c r="AV171" s="7">
        <f>AVERAGE(BE210:BE211)</f>
        <v>0.4482811189553586</v>
      </c>
      <c r="AW171" s="4"/>
      <c r="AX171" s="4"/>
    </row>
    <row r="172" spans="47:65" x14ac:dyDescent="0.2">
      <c r="AW172" s="72" t="s">
        <v>432</v>
      </c>
      <c r="AX172" s="77">
        <f>SUM(AX164:AX171)</f>
        <v>0</v>
      </c>
    </row>
    <row r="174" spans="47:65" x14ac:dyDescent="0.2">
      <c r="AU174" s="218" t="str">
        <f>B49</f>
        <v>ol</v>
      </c>
      <c r="AV174" s="218" t="str">
        <f t="shared" ref="AV174:AX174" si="116">C49</f>
        <v>cpx</v>
      </c>
      <c r="AW174" s="218" t="str">
        <f t="shared" si="116"/>
        <v>FeTiO3</v>
      </c>
      <c r="AX174" s="218" t="str">
        <f t="shared" si="116"/>
        <v>plag</v>
      </c>
    </row>
    <row r="175" spans="47:65" x14ac:dyDescent="0.2">
      <c r="AU175" s="7">
        <v>0.05</v>
      </c>
      <c r="AV175" s="7">
        <v>0.47303939784249532</v>
      </c>
      <c r="AW175" s="7">
        <v>2.4512790629765545E-2</v>
      </c>
      <c r="AX175" s="205">
        <f>IF((1-AV175-AU175-AW175)&gt;0,(1-AV175-AU175-AW175),0)</f>
        <v>0.45244781152773911</v>
      </c>
    </row>
    <row r="178" spans="47:50" x14ac:dyDescent="0.2">
      <c r="AV178" s="1" t="s">
        <v>463</v>
      </c>
      <c r="AW178" s="1"/>
    </row>
    <row r="179" spans="47:50" x14ac:dyDescent="0.2">
      <c r="AU179" s="81" t="s">
        <v>466</v>
      </c>
      <c r="AV179" t="s">
        <v>462</v>
      </c>
    </row>
    <row r="180" spans="47:50" x14ac:dyDescent="0.2">
      <c r="AU180" s="188" t="s">
        <v>65</v>
      </c>
      <c r="AV180" s="7">
        <v>0.36</v>
      </c>
      <c r="AW180" s="7"/>
    </row>
    <row r="181" spans="47:50" x14ac:dyDescent="0.2">
      <c r="AU181" s="188" t="s">
        <v>66</v>
      </c>
      <c r="AV181" s="8">
        <v>2.2999999999999998</v>
      </c>
      <c r="AW181" s="8"/>
    </row>
    <row r="182" spans="47:50" x14ac:dyDescent="0.2">
      <c r="AU182" s="188" t="s">
        <v>67</v>
      </c>
      <c r="AV182" s="207">
        <f>1-(AV181-2)+1</f>
        <v>1.7000000000000002</v>
      </c>
      <c r="AW182" s="207"/>
      <c r="AX182" s="194" t="s">
        <v>467</v>
      </c>
    </row>
    <row r="183" spans="47:50" x14ac:dyDescent="0.2">
      <c r="AU183" s="188" t="s">
        <v>62</v>
      </c>
      <c r="AV183" s="208">
        <f>1-AV180-AV184</f>
        <v>0.56000000000000005</v>
      </c>
      <c r="AW183" s="208"/>
      <c r="AX183" s="194" t="s">
        <v>467</v>
      </c>
    </row>
    <row r="184" spans="47:50" x14ac:dyDescent="0.2">
      <c r="AU184" s="188" t="s">
        <v>64</v>
      </c>
      <c r="AV184" s="7">
        <v>0.08</v>
      </c>
      <c r="AW184" s="7"/>
    </row>
    <row r="185" spans="47:50" x14ac:dyDescent="0.2">
      <c r="AU185" s="188" t="s">
        <v>468</v>
      </c>
      <c r="AV185" s="8">
        <v>8</v>
      </c>
      <c r="AW185" s="8"/>
    </row>
    <row r="187" spans="47:50" x14ac:dyDescent="0.2">
      <c r="AU187" s="188" t="s">
        <v>483</v>
      </c>
      <c r="AV187" s="4">
        <v>0.05</v>
      </c>
    </row>
    <row r="189" spans="47:50" x14ac:dyDescent="0.2">
      <c r="AU189" s="79" t="s">
        <v>10</v>
      </c>
      <c r="AV189" s="211">
        <v>1</v>
      </c>
      <c r="AW189" t="s">
        <v>11</v>
      </c>
    </row>
    <row r="190" spans="47:50" x14ac:dyDescent="0.2">
      <c r="AU190" s="79" t="s">
        <v>18</v>
      </c>
      <c r="AV190" s="219">
        <v>9.9999999999999995E-7</v>
      </c>
      <c r="AW190" t="s">
        <v>11</v>
      </c>
    </row>
    <row r="208" spans="51:64" x14ac:dyDescent="0.2">
      <c r="AY208" s="4"/>
      <c r="AZ208" s="4"/>
      <c r="BA208" s="4" t="s">
        <v>35</v>
      </c>
      <c r="BB208" s="4" t="s">
        <v>35</v>
      </c>
      <c r="BC208" s="4" t="s">
        <v>35</v>
      </c>
      <c r="BD208" s="4" t="s">
        <v>35</v>
      </c>
      <c r="BE208" s="4" t="s">
        <v>35</v>
      </c>
      <c r="BF208" s="4" t="s">
        <v>35</v>
      </c>
      <c r="BG208" s="4" t="s">
        <v>35</v>
      </c>
      <c r="BH208" s="4" t="s">
        <v>35</v>
      </c>
      <c r="BI208" s="4" t="s">
        <v>35</v>
      </c>
      <c r="BJ208" s="4" t="s">
        <v>35</v>
      </c>
      <c r="BK208" s="4" t="s">
        <v>35</v>
      </c>
      <c r="BL208" s="4" t="s">
        <v>35</v>
      </c>
    </row>
    <row r="209" spans="51:64" x14ac:dyDescent="0.2">
      <c r="AY209" s="4"/>
      <c r="AZ209" s="75" t="s">
        <v>128</v>
      </c>
      <c r="BA209" s="75" t="s">
        <v>48</v>
      </c>
      <c r="BB209" s="75" t="s">
        <v>129</v>
      </c>
      <c r="BC209" s="75" t="s">
        <v>46</v>
      </c>
      <c r="BD209" s="75" t="s">
        <v>49</v>
      </c>
      <c r="BE209" s="75" t="s">
        <v>45</v>
      </c>
      <c r="BF209" s="75" t="s">
        <v>44</v>
      </c>
      <c r="BG209" s="75" t="s">
        <v>130</v>
      </c>
      <c r="BH209" s="75" t="s">
        <v>43</v>
      </c>
      <c r="BI209" s="75" t="s">
        <v>131</v>
      </c>
      <c r="BJ209" s="75" t="s">
        <v>47</v>
      </c>
      <c r="BK209" s="75" t="s">
        <v>132</v>
      </c>
      <c r="BL209" s="75" t="s">
        <v>50</v>
      </c>
    </row>
    <row r="210" spans="51:64" x14ac:dyDescent="0.2">
      <c r="AY210" s="77" t="s">
        <v>137</v>
      </c>
      <c r="AZ210" s="77" t="s">
        <v>116</v>
      </c>
      <c r="BA210" s="78">
        <v>7.7272133462794601</v>
      </c>
      <c r="BB210" s="78">
        <v>1.7912723620450141E-2</v>
      </c>
      <c r="BC210" s="78">
        <v>8.2904720295308234</v>
      </c>
      <c r="BD210" s="78">
        <v>8.4631122132672036</v>
      </c>
      <c r="BE210" s="78">
        <v>0.41507511014385057</v>
      </c>
      <c r="BF210" s="78">
        <v>5.523863636363636</v>
      </c>
      <c r="BG210" s="78">
        <v>0.13165851389260894</v>
      </c>
      <c r="BH210" s="78">
        <v>2.2551690088578389</v>
      </c>
      <c r="BI210" s="78">
        <v>7.8554631084308477E-2</v>
      </c>
      <c r="BJ210" s="78">
        <v>21.735445376472935</v>
      </c>
      <c r="BK210" s="78">
        <v>5.9191847055076782E-2</v>
      </c>
      <c r="BL210" s="78">
        <v>1.006906154135103</v>
      </c>
    </row>
    <row r="211" spans="51:64" x14ac:dyDescent="0.2">
      <c r="AY211" s="77" t="s">
        <v>137</v>
      </c>
      <c r="AZ211" s="77" t="s">
        <v>124</v>
      </c>
      <c r="BA211" s="78">
        <v>7.7272133462794601</v>
      </c>
      <c r="BB211" s="78">
        <v>1.7912723620450141E-2</v>
      </c>
      <c r="BC211" s="78">
        <v>8.2904720295308234</v>
      </c>
      <c r="BD211" s="78">
        <v>7.6937383756974578</v>
      </c>
      <c r="BE211" s="78">
        <v>0.48148712776686658</v>
      </c>
      <c r="BF211" s="78">
        <v>4.866547985311632</v>
      </c>
      <c r="BG211" s="78">
        <v>0.12391389542833783</v>
      </c>
      <c r="BH211" s="78">
        <v>2.2774239661820936</v>
      </c>
      <c r="BI211" s="78">
        <v>8.2918777255658951E-2</v>
      </c>
      <c r="BJ211" s="78">
        <v>21.268016443645564</v>
      </c>
      <c r="BK211" s="78">
        <v>5.0735868904351514E-2</v>
      </c>
      <c r="BL211" s="78">
        <v>0.88703637388092405</v>
      </c>
    </row>
    <row r="212" spans="51:64" x14ac:dyDescent="0.2">
      <c r="AY212" s="4"/>
      <c r="AZ212" s="4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</row>
    <row r="213" spans="51:64" x14ac:dyDescent="0.2">
      <c r="AY213" s="4"/>
      <c r="AZ213" s="4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</row>
    <row r="214" spans="51:64" x14ac:dyDescent="0.2">
      <c r="AY214" s="4"/>
      <c r="AZ214" s="4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</row>
    <row r="215" spans="51:64" x14ac:dyDescent="0.2">
      <c r="AY215" s="4"/>
      <c r="AZ215" s="4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</row>
    <row r="216" spans="51:64" x14ac:dyDescent="0.2">
      <c r="AY216" s="4"/>
      <c r="AZ216" s="4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</row>
    <row r="219" spans="51:64" x14ac:dyDescent="0.2">
      <c r="AY219" s="4"/>
      <c r="AZ219" s="4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</row>
    <row r="220" spans="51:64" x14ac:dyDescent="0.2">
      <c r="AY220" s="4"/>
      <c r="AZ220" s="4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</row>
    <row r="221" spans="51:64" x14ac:dyDescent="0.2">
      <c r="AY221" s="4"/>
      <c r="AZ221" s="4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</row>
    <row r="222" spans="51:64" x14ac:dyDescent="0.2">
      <c r="AY222" s="4"/>
      <c r="AZ222" s="4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</row>
    <row r="223" spans="51:64" x14ac:dyDescent="0.2">
      <c r="AY223" s="4"/>
      <c r="AZ223" s="4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</row>
    <row r="224" spans="51:64" x14ac:dyDescent="0.2">
      <c r="AY224" s="4"/>
      <c r="AZ224" s="4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</row>
  </sheetData>
  <mergeCells count="14">
    <mergeCell ref="BG104:BM104"/>
    <mergeCell ref="BG136:BM136"/>
    <mergeCell ref="CW10:DC10"/>
    <mergeCell ref="BG40:BM40"/>
    <mergeCell ref="B46:C46"/>
    <mergeCell ref="B47:E47"/>
    <mergeCell ref="B58:C58"/>
    <mergeCell ref="BG72:BM72"/>
    <mergeCell ref="L10:M10"/>
    <mergeCell ref="O10:U10"/>
    <mergeCell ref="X10:AK10"/>
    <mergeCell ref="BF10:BM10"/>
    <mergeCell ref="BO10:BV10"/>
    <mergeCell ref="BY10:CE10"/>
  </mergeCells>
  <conditionalFormatting sqref="H34:H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0:I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05C3-5AB1-DF42-A762-AA78DF4D8261}">
  <dimension ref="A2:AO59"/>
  <sheetViews>
    <sheetView workbookViewId="0">
      <selection activeCell="C10" sqref="C10:Q27"/>
    </sheetView>
  </sheetViews>
  <sheetFormatPr baseColWidth="10" defaultColWidth="11" defaultRowHeight="16" x14ac:dyDescent="0.2"/>
  <cols>
    <col min="3" max="3" width="19.6640625" customWidth="1"/>
  </cols>
  <sheetData>
    <row r="2" spans="2:19" x14ac:dyDescent="0.2">
      <c r="B2" t="s">
        <v>75</v>
      </c>
      <c r="C2" t="s">
        <v>76</v>
      </c>
      <c r="S2" t="s">
        <v>77</v>
      </c>
    </row>
    <row r="3" spans="2:19" x14ac:dyDescent="0.2">
      <c r="B3" t="s">
        <v>78</v>
      </c>
      <c r="C3" t="s">
        <v>79</v>
      </c>
      <c r="S3" t="s">
        <v>80</v>
      </c>
    </row>
    <row r="4" spans="2:19" x14ac:dyDescent="0.2">
      <c r="B4" t="s">
        <v>81</v>
      </c>
      <c r="C4" s="69">
        <v>45729</v>
      </c>
    </row>
    <row r="5" spans="2:19" x14ac:dyDescent="0.2">
      <c r="B5" t="s">
        <v>82</v>
      </c>
      <c r="C5" t="s">
        <v>83</v>
      </c>
    </row>
    <row r="6" spans="2:19" x14ac:dyDescent="0.2">
      <c r="B6" t="s">
        <v>84</v>
      </c>
      <c r="C6" t="s">
        <v>85</v>
      </c>
    </row>
    <row r="7" spans="2:19" x14ac:dyDescent="0.2">
      <c r="B7" t="s">
        <v>86</v>
      </c>
      <c r="C7" t="s">
        <v>87</v>
      </c>
    </row>
    <row r="8" spans="2:19" x14ac:dyDescent="0.2">
      <c r="B8" t="s">
        <v>88</v>
      </c>
      <c r="C8" t="s">
        <v>89</v>
      </c>
    </row>
    <row r="9" spans="2:19" x14ac:dyDescent="0.2">
      <c r="B9" t="s">
        <v>90</v>
      </c>
      <c r="C9" t="s">
        <v>91</v>
      </c>
    </row>
    <row r="10" spans="2:19" x14ac:dyDescent="0.2">
      <c r="B10" s="4"/>
      <c r="C10" s="70" t="s">
        <v>92</v>
      </c>
      <c r="D10" s="4">
        <v>101.961</v>
      </c>
      <c r="E10" s="4">
        <v>153.32900000000001</v>
      </c>
      <c r="F10" s="4">
        <v>56.076999999999998</v>
      </c>
      <c r="G10" s="4">
        <v>159.68700000000001</v>
      </c>
      <c r="H10" s="4">
        <v>94.194999999999993</v>
      </c>
      <c r="I10" s="4">
        <v>40.304000000000002</v>
      </c>
      <c r="J10" s="4">
        <v>70.936999999999998</v>
      </c>
      <c r="K10" s="4">
        <v>61.978999999999999</v>
      </c>
      <c r="L10" s="4">
        <v>141.94300000000001</v>
      </c>
      <c r="M10" s="4">
        <v>60.084000000000003</v>
      </c>
      <c r="N10" s="4">
        <v>103.619</v>
      </c>
      <c r="O10" s="4">
        <v>79.864999999999995</v>
      </c>
      <c r="P10" s="4"/>
      <c r="Q10" s="4"/>
      <c r="R10" s="4"/>
      <c r="S10" s="4">
        <v>91.224000000000004</v>
      </c>
    </row>
    <row r="11" spans="2:19" x14ac:dyDescent="0.2">
      <c r="B11" s="4"/>
      <c r="C11" s="60" t="s">
        <v>93</v>
      </c>
      <c r="D11" s="60" t="s">
        <v>94</v>
      </c>
      <c r="E11" s="60" t="s">
        <v>95</v>
      </c>
      <c r="F11" s="60" t="s">
        <v>96</v>
      </c>
      <c r="G11" s="60" t="s">
        <v>97</v>
      </c>
      <c r="H11" s="60" t="s">
        <v>98</v>
      </c>
      <c r="I11" s="60" t="s">
        <v>99</v>
      </c>
      <c r="J11" s="60" t="s">
        <v>100</v>
      </c>
      <c r="K11" s="60" t="s">
        <v>101</v>
      </c>
      <c r="L11" s="60" t="s">
        <v>102</v>
      </c>
      <c r="M11" s="60" t="s">
        <v>103</v>
      </c>
      <c r="N11" s="60" t="s">
        <v>104</v>
      </c>
      <c r="O11" s="60" t="s">
        <v>105</v>
      </c>
      <c r="P11" s="60" t="s">
        <v>106</v>
      </c>
      <c r="Q11" s="60" t="s">
        <v>107</v>
      </c>
      <c r="R11" s="60"/>
      <c r="S11" s="60" t="s">
        <v>108</v>
      </c>
    </row>
    <row r="12" spans="2:19" x14ac:dyDescent="0.2">
      <c r="B12" s="4"/>
      <c r="C12" s="4" t="s">
        <v>109</v>
      </c>
      <c r="D12" s="4">
        <v>11.4</v>
      </c>
      <c r="E12" s="4">
        <v>0.02</v>
      </c>
      <c r="F12" s="4">
        <v>6.78</v>
      </c>
      <c r="G12" s="4">
        <v>6.83</v>
      </c>
      <c r="H12" s="4">
        <v>1.1100000000000001</v>
      </c>
      <c r="I12" s="4">
        <v>4.45</v>
      </c>
      <c r="J12" s="4">
        <v>0.14000000000000001</v>
      </c>
      <c r="K12" s="4">
        <v>1.83</v>
      </c>
      <c r="L12" s="4">
        <v>0.19</v>
      </c>
      <c r="M12" s="4">
        <v>60.7</v>
      </c>
      <c r="N12" s="4">
        <v>0.05</v>
      </c>
      <c r="O12" s="4">
        <v>0.93</v>
      </c>
      <c r="P12" s="4">
        <v>4.1399999999999997</v>
      </c>
      <c r="Q12" s="4">
        <v>98.6</v>
      </c>
      <c r="R12" s="4"/>
      <c r="S12" s="4">
        <v>91.5</v>
      </c>
    </row>
    <row r="13" spans="2:19" x14ac:dyDescent="0.2">
      <c r="B13" s="4"/>
      <c r="C13" s="4" t="s">
        <v>110</v>
      </c>
      <c r="D13" s="4">
        <v>9.1</v>
      </c>
      <c r="E13" s="4">
        <v>0.02</v>
      </c>
      <c r="F13" s="4">
        <v>5.64</v>
      </c>
      <c r="G13" s="4">
        <v>6.55</v>
      </c>
      <c r="H13" s="4">
        <v>1.03</v>
      </c>
      <c r="I13" s="4">
        <v>4.4800000000000004</v>
      </c>
      <c r="J13" s="4">
        <v>0.14000000000000001</v>
      </c>
      <c r="K13" s="4">
        <v>1.47</v>
      </c>
      <c r="L13" s="4">
        <v>0.12</v>
      </c>
      <c r="M13" s="4">
        <v>61.6</v>
      </c>
      <c r="N13" s="4">
        <v>0.03</v>
      </c>
      <c r="O13" s="4">
        <v>0.99</v>
      </c>
      <c r="P13" s="4">
        <v>3.84</v>
      </c>
      <c r="Q13" s="4">
        <v>95.1</v>
      </c>
      <c r="R13" s="4"/>
      <c r="S13" s="4">
        <v>89.2</v>
      </c>
    </row>
    <row r="14" spans="2:19" x14ac:dyDescent="0.2">
      <c r="B14" s="4"/>
      <c r="C14" s="4" t="s">
        <v>111</v>
      </c>
      <c r="D14" s="4">
        <v>11.8</v>
      </c>
      <c r="E14" s="4">
        <v>0.02</v>
      </c>
      <c r="F14" s="4">
        <v>6.43</v>
      </c>
      <c r="G14" s="4">
        <v>7.28</v>
      </c>
      <c r="H14" s="4">
        <v>1.18</v>
      </c>
      <c r="I14" s="4">
        <v>4.96</v>
      </c>
      <c r="J14" s="4">
        <v>0.14000000000000001</v>
      </c>
      <c r="K14" s="4">
        <v>1.99</v>
      </c>
      <c r="L14" s="4">
        <v>0.14000000000000001</v>
      </c>
      <c r="M14" s="4">
        <v>61.1</v>
      </c>
      <c r="N14" s="4">
        <v>0.04</v>
      </c>
      <c r="O14" s="4">
        <v>1.05</v>
      </c>
      <c r="P14" s="4">
        <v>4.3099999999999996</v>
      </c>
      <c r="Q14" s="4">
        <v>100</v>
      </c>
      <c r="R14" s="4"/>
      <c r="S14" s="4">
        <v>90.3</v>
      </c>
    </row>
    <row r="15" spans="2:19" x14ac:dyDescent="0.2">
      <c r="B15" s="4"/>
      <c r="C15" s="4" t="s">
        <v>112</v>
      </c>
      <c r="D15" s="4">
        <v>12.5</v>
      </c>
      <c r="E15" s="4">
        <v>0.03</v>
      </c>
      <c r="F15" s="4">
        <v>7.91</v>
      </c>
      <c r="G15" s="4">
        <v>7.16</v>
      </c>
      <c r="H15" s="4">
        <v>1.1499999999999999</v>
      </c>
      <c r="I15" s="4">
        <v>4.37</v>
      </c>
      <c r="J15" s="4">
        <v>0.16</v>
      </c>
      <c r="K15" s="4">
        <v>1.87</v>
      </c>
      <c r="L15" s="4">
        <v>0.26</v>
      </c>
      <c r="M15" s="4">
        <v>55.5</v>
      </c>
      <c r="N15" s="4">
        <v>0.05</v>
      </c>
      <c r="O15" s="4">
        <v>0.87</v>
      </c>
      <c r="P15" s="4">
        <v>3.34</v>
      </c>
      <c r="Q15" s="4">
        <v>95.2</v>
      </c>
      <c r="R15" s="4"/>
      <c r="S15" s="4">
        <v>75.900000000000006</v>
      </c>
    </row>
    <row r="16" spans="2:19" x14ac:dyDescent="0.2">
      <c r="B16" s="4"/>
      <c r="C16" s="4" t="s">
        <v>113</v>
      </c>
      <c r="D16" s="4">
        <v>11.3</v>
      </c>
      <c r="E16" s="4">
        <v>0.03</v>
      </c>
      <c r="F16" s="4">
        <v>6.92</v>
      </c>
      <c r="G16" s="4">
        <v>6.87</v>
      </c>
      <c r="H16" s="4">
        <v>1.05</v>
      </c>
      <c r="I16" s="4">
        <v>4.8899999999999997</v>
      </c>
      <c r="J16" s="4">
        <v>0.15</v>
      </c>
      <c r="K16" s="4">
        <v>1.65</v>
      </c>
      <c r="L16" s="4">
        <v>0.22</v>
      </c>
      <c r="M16" s="4">
        <v>53.1</v>
      </c>
      <c r="N16" s="4">
        <v>0.05</v>
      </c>
      <c r="O16" s="4">
        <v>0.99</v>
      </c>
      <c r="P16" s="4">
        <v>4.96</v>
      </c>
      <c r="Q16" s="4">
        <v>92.1</v>
      </c>
      <c r="R16" s="4"/>
      <c r="S16" s="4">
        <v>71.7</v>
      </c>
    </row>
    <row r="17" spans="2:19" x14ac:dyDescent="0.2">
      <c r="B17" s="4"/>
      <c r="C17" s="4" t="s">
        <v>114</v>
      </c>
      <c r="D17" s="4">
        <v>9.2100000000000009</v>
      </c>
      <c r="E17" s="4">
        <v>0.02</v>
      </c>
      <c r="F17" s="4">
        <v>5.69</v>
      </c>
      <c r="G17" s="4">
        <v>6.69</v>
      </c>
      <c r="H17" s="4">
        <v>1.01</v>
      </c>
      <c r="I17" s="4">
        <v>4.63</v>
      </c>
      <c r="J17" s="4">
        <v>0.13</v>
      </c>
      <c r="K17" s="4">
        <v>1.57</v>
      </c>
      <c r="L17" s="4">
        <v>0.13</v>
      </c>
      <c r="M17" s="4">
        <v>57.8</v>
      </c>
      <c r="N17" s="4">
        <v>0.03</v>
      </c>
      <c r="O17" s="4">
        <v>0.99</v>
      </c>
      <c r="P17" s="4">
        <v>3.22</v>
      </c>
      <c r="Q17" s="4">
        <v>91.1</v>
      </c>
      <c r="R17" s="4"/>
      <c r="S17" s="4">
        <v>68.2</v>
      </c>
    </row>
    <row r="18" spans="2:19" x14ac:dyDescent="0.2">
      <c r="B18" s="4"/>
      <c r="C18" s="4" t="s">
        <v>115</v>
      </c>
      <c r="D18" s="4">
        <v>9.2899999999999991</v>
      </c>
      <c r="E18" s="4">
        <v>0.02</v>
      </c>
      <c r="F18" s="4">
        <v>5.99</v>
      </c>
      <c r="G18" s="4">
        <v>7.03</v>
      </c>
      <c r="H18" s="4">
        <v>1.01</v>
      </c>
      <c r="I18" s="4">
        <v>4.92</v>
      </c>
      <c r="J18" s="4">
        <v>0.13</v>
      </c>
      <c r="K18" s="4">
        <v>1.6</v>
      </c>
      <c r="L18" s="4">
        <v>0.12</v>
      </c>
      <c r="M18" s="4">
        <v>57.1</v>
      </c>
      <c r="N18" s="4">
        <v>0.03</v>
      </c>
      <c r="O18" s="4">
        <v>1.03</v>
      </c>
      <c r="P18" s="4">
        <v>6.28</v>
      </c>
      <c r="Q18" s="4">
        <v>94.5</v>
      </c>
      <c r="R18" s="4"/>
      <c r="S18" s="4">
        <v>75</v>
      </c>
    </row>
    <row r="19" spans="2:19" x14ac:dyDescent="0.2">
      <c r="B19" s="4"/>
      <c r="C19" s="4" t="s">
        <v>116</v>
      </c>
      <c r="D19" s="4">
        <v>14.6</v>
      </c>
      <c r="E19" s="4">
        <v>0.02</v>
      </c>
      <c r="F19" s="4">
        <v>11.6</v>
      </c>
      <c r="G19" s="4">
        <v>12.1</v>
      </c>
      <c r="H19" s="4">
        <v>0.5</v>
      </c>
      <c r="I19" s="4">
        <v>9.16</v>
      </c>
      <c r="J19" s="4">
        <v>0.17</v>
      </c>
      <c r="K19" s="4">
        <v>3.04</v>
      </c>
      <c r="L19" s="4">
        <v>0.18</v>
      </c>
      <c r="M19" s="4">
        <v>46.5</v>
      </c>
      <c r="N19" s="4">
        <v>7.0000000000000007E-2</v>
      </c>
      <c r="O19" s="4">
        <v>1.68</v>
      </c>
      <c r="P19" s="4">
        <v>2.61</v>
      </c>
      <c r="Q19" s="4">
        <v>102</v>
      </c>
      <c r="R19" s="4"/>
      <c r="S19" s="4">
        <v>83.1</v>
      </c>
    </row>
    <row r="20" spans="2:19" x14ac:dyDescent="0.2">
      <c r="B20" s="4"/>
      <c r="C20" s="4" t="s">
        <v>117</v>
      </c>
      <c r="D20" s="4">
        <v>9.07</v>
      </c>
      <c r="E20" s="4">
        <v>0.02</v>
      </c>
      <c r="F20" s="4">
        <v>5.8</v>
      </c>
      <c r="G20" s="4">
        <v>6.6</v>
      </c>
      <c r="H20" s="4">
        <v>0.98</v>
      </c>
      <c r="I20" s="4">
        <v>4.51</v>
      </c>
      <c r="J20" s="4">
        <v>0.13</v>
      </c>
      <c r="K20" s="4">
        <v>1.46</v>
      </c>
      <c r="L20" s="4">
        <v>0.15</v>
      </c>
      <c r="M20" s="4">
        <v>61.2</v>
      </c>
      <c r="N20" s="4">
        <v>0.03</v>
      </c>
      <c r="O20" s="4">
        <v>0.94</v>
      </c>
      <c r="P20" s="4">
        <v>4.8600000000000003</v>
      </c>
      <c r="Q20" s="4">
        <v>95.7</v>
      </c>
      <c r="R20" s="4"/>
      <c r="S20" s="4">
        <v>104</v>
      </c>
    </row>
    <row r="21" spans="2:19" x14ac:dyDescent="0.2">
      <c r="B21" s="4"/>
      <c r="C21" s="4" t="s">
        <v>118</v>
      </c>
      <c r="D21" s="4">
        <v>12.9</v>
      </c>
      <c r="E21" s="4">
        <v>0.03</v>
      </c>
      <c r="F21" s="4">
        <v>7.82</v>
      </c>
      <c r="G21" s="4">
        <v>7</v>
      </c>
      <c r="H21" s="4">
        <v>1.24</v>
      </c>
      <c r="I21" s="4">
        <v>4.1500000000000004</v>
      </c>
      <c r="J21" s="4">
        <v>0.16</v>
      </c>
      <c r="K21" s="4">
        <v>1.86</v>
      </c>
      <c r="L21" s="4">
        <v>0.26</v>
      </c>
      <c r="M21" s="4">
        <v>58.2</v>
      </c>
      <c r="N21" s="4">
        <v>0.05</v>
      </c>
      <c r="O21" s="4">
        <v>0.84</v>
      </c>
      <c r="P21" s="4">
        <v>6</v>
      </c>
      <c r="Q21" s="4">
        <v>101</v>
      </c>
      <c r="R21" s="4"/>
      <c r="S21" s="4">
        <v>104</v>
      </c>
    </row>
    <row r="22" spans="2:19" x14ac:dyDescent="0.2">
      <c r="B22" s="4"/>
      <c r="C22" s="4" t="s">
        <v>119</v>
      </c>
      <c r="D22" s="4">
        <v>9.77</v>
      </c>
      <c r="E22" s="4">
        <v>0.02</v>
      </c>
      <c r="F22" s="4">
        <v>6.6</v>
      </c>
      <c r="G22" s="4">
        <v>6.43</v>
      </c>
      <c r="H22" s="4">
        <v>0.98</v>
      </c>
      <c r="I22" s="4">
        <v>4.37</v>
      </c>
      <c r="J22" s="4">
        <v>0.14000000000000001</v>
      </c>
      <c r="K22" s="4">
        <v>1.51</v>
      </c>
      <c r="L22" s="4">
        <v>0.21</v>
      </c>
      <c r="M22" s="4">
        <v>60.8</v>
      </c>
      <c r="N22" s="4">
        <v>0.03</v>
      </c>
      <c r="O22" s="4">
        <v>0.91</v>
      </c>
      <c r="P22" s="4">
        <v>3.84</v>
      </c>
      <c r="Q22" s="4">
        <v>95.6</v>
      </c>
      <c r="R22" s="4"/>
      <c r="S22" s="4">
        <v>83.8</v>
      </c>
    </row>
    <row r="23" spans="2:19" x14ac:dyDescent="0.2">
      <c r="B23" s="4"/>
      <c r="C23" s="4" t="s">
        <v>120</v>
      </c>
      <c r="D23" s="4">
        <v>9.2799999999999994</v>
      </c>
      <c r="E23" s="4">
        <v>0.02</v>
      </c>
      <c r="F23" s="4">
        <v>5.61</v>
      </c>
      <c r="G23" s="4">
        <v>6.41</v>
      </c>
      <c r="H23" s="4">
        <v>0.99</v>
      </c>
      <c r="I23" s="4">
        <v>4.4000000000000004</v>
      </c>
      <c r="J23" s="4">
        <v>0.12</v>
      </c>
      <c r="K23" s="4">
        <v>1.54</v>
      </c>
      <c r="L23" s="4">
        <v>0.12</v>
      </c>
      <c r="M23" s="4">
        <v>61.8</v>
      </c>
      <c r="N23" s="4">
        <v>0.03</v>
      </c>
      <c r="O23" s="4">
        <v>0.91</v>
      </c>
      <c r="P23" s="4">
        <v>5.04</v>
      </c>
      <c r="Q23" s="4">
        <v>96.3</v>
      </c>
      <c r="R23" s="4"/>
      <c r="S23" s="4">
        <v>77.099999999999994</v>
      </c>
    </row>
    <row r="24" spans="2:19" x14ac:dyDescent="0.2">
      <c r="B24" s="4"/>
      <c r="C24" s="4" t="s">
        <v>121</v>
      </c>
      <c r="D24" s="4">
        <v>9.25</v>
      </c>
      <c r="E24" s="4">
        <v>0.02</v>
      </c>
      <c r="F24" s="4">
        <v>5.88</v>
      </c>
      <c r="G24" s="4">
        <v>6.74</v>
      </c>
      <c r="H24" s="4">
        <v>0.99</v>
      </c>
      <c r="I24" s="4">
        <v>4.6900000000000004</v>
      </c>
      <c r="J24" s="4">
        <v>0.12</v>
      </c>
      <c r="K24" s="4">
        <v>1.57</v>
      </c>
      <c r="L24" s="4">
        <v>0.12</v>
      </c>
      <c r="M24" s="4">
        <v>61.4</v>
      </c>
      <c r="N24" s="4">
        <v>0.03</v>
      </c>
      <c r="O24" s="4">
        <v>1</v>
      </c>
      <c r="P24" s="4">
        <v>3.44</v>
      </c>
      <c r="Q24" s="4">
        <v>95.2</v>
      </c>
      <c r="R24" s="4"/>
      <c r="S24" s="4">
        <v>74.5</v>
      </c>
    </row>
    <row r="25" spans="2:19" x14ac:dyDescent="0.2">
      <c r="B25" s="4"/>
      <c r="C25" s="4" t="s">
        <v>122</v>
      </c>
      <c r="D25" s="4">
        <v>16.100000000000001</v>
      </c>
      <c r="E25" s="4">
        <v>0.03</v>
      </c>
      <c r="F25" s="4">
        <v>9.14</v>
      </c>
      <c r="G25" s="4">
        <v>8.5</v>
      </c>
      <c r="H25" s="4">
        <v>1.47</v>
      </c>
      <c r="I25" s="4">
        <v>5.23</v>
      </c>
      <c r="J25" s="4">
        <v>0.19</v>
      </c>
      <c r="K25" s="4">
        <v>2.63</v>
      </c>
      <c r="L25" s="4">
        <v>0.28999999999999998</v>
      </c>
      <c r="M25" s="4">
        <v>51.7</v>
      </c>
      <c r="N25" s="4">
        <v>0.06</v>
      </c>
      <c r="O25" s="4">
        <v>1.0900000000000001</v>
      </c>
      <c r="P25" s="4">
        <v>4.7699999999999996</v>
      </c>
      <c r="Q25" s="4">
        <v>101</v>
      </c>
      <c r="R25" s="4"/>
      <c r="S25" s="4">
        <v>104</v>
      </c>
    </row>
    <row r="26" spans="2:19" x14ac:dyDescent="0.2">
      <c r="B26" s="4"/>
      <c r="C26" s="4" t="s">
        <v>123</v>
      </c>
      <c r="D26" s="4">
        <v>10.3</v>
      </c>
      <c r="E26" s="4">
        <v>0.02</v>
      </c>
      <c r="F26" s="4">
        <v>5.97</v>
      </c>
      <c r="G26" s="4">
        <v>6.64</v>
      </c>
      <c r="H26" s="4">
        <v>1.02</v>
      </c>
      <c r="I26" s="4">
        <v>4.6500000000000004</v>
      </c>
      <c r="J26" s="4">
        <v>0.15</v>
      </c>
      <c r="K26" s="4">
        <v>1.59</v>
      </c>
      <c r="L26" s="4">
        <v>0.2</v>
      </c>
      <c r="M26" s="4">
        <v>60.4</v>
      </c>
      <c r="N26" s="4">
        <v>0.04</v>
      </c>
      <c r="O26" s="4">
        <v>0.97</v>
      </c>
      <c r="P26" s="4">
        <v>4.09</v>
      </c>
      <c r="Q26" s="4">
        <v>96</v>
      </c>
      <c r="R26" s="4"/>
      <c r="S26" s="4">
        <v>70.3</v>
      </c>
    </row>
    <row r="27" spans="2:19" x14ac:dyDescent="0.2">
      <c r="B27" s="4"/>
      <c r="C27" s="4" t="s">
        <v>124</v>
      </c>
      <c r="D27" s="4">
        <v>14.6</v>
      </c>
      <c r="E27" s="4">
        <v>0.02</v>
      </c>
      <c r="F27" s="4">
        <v>11.6</v>
      </c>
      <c r="G27" s="4">
        <v>11</v>
      </c>
      <c r="H27" s="4">
        <v>0.57999999999999996</v>
      </c>
      <c r="I27" s="4">
        <v>8.07</v>
      </c>
      <c r="J27" s="4">
        <v>0.16</v>
      </c>
      <c r="K27" s="4">
        <v>3.07</v>
      </c>
      <c r="L27" s="4">
        <v>0.19</v>
      </c>
      <c r="M27" s="4">
        <v>45.5</v>
      </c>
      <c r="N27" s="4">
        <v>0.06</v>
      </c>
      <c r="O27" s="4">
        <v>1.48</v>
      </c>
      <c r="P27" s="4">
        <v>2.62</v>
      </c>
      <c r="Q27" s="4">
        <v>98.9</v>
      </c>
      <c r="R27" s="4"/>
      <c r="S27" s="4">
        <v>93.5</v>
      </c>
    </row>
    <row r="28" spans="2:19" x14ac:dyDescent="0.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2:19" x14ac:dyDescent="0.2">
      <c r="B29" s="4"/>
      <c r="C29" s="71" t="s">
        <v>125</v>
      </c>
      <c r="D29" s="4">
        <v>26.981999999999999</v>
      </c>
      <c r="E29" s="4">
        <v>137.327</v>
      </c>
      <c r="F29" s="4">
        <v>40.078000000000003</v>
      </c>
      <c r="G29" s="4">
        <v>55.844999999999999</v>
      </c>
      <c r="H29" s="4">
        <v>39.097999999999999</v>
      </c>
      <c r="I29" s="4">
        <v>24.305</v>
      </c>
      <c r="J29" s="4">
        <v>54.938000000000002</v>
      </c>
      <c r="K29" s="4">
        <v>22.989000000000001</v>
      </c>
      <c r="L29" s="4">
        <v>30.972999999999999</v>
      </c>
      <c r="M29" s="4">
        <v>28.085000000000001</v>
      </c>
      <c r="N29" s="4">
        <v>87.62</v>
      </c>
      <c r="O29" s="4">
        <v>47.866999999999997</v>
      </c>
      <c r="P29" s="4"/>
      <c r="Q29" s="4"/>
      <c r="R29" s="4"/>
      <c r="S29" s="4">
        <v>91.224000000000004</v>
      </c>
    </row>
    <row r="30" spans="2:19" x14ac:dyDescent="0.2">
      <c r="B30" s="4"/>
      <c r="C30" s="48" t="s">
        <v>126</v>
      </c>
      <c r="D30" s="4">
        <v>2</v>
      </c>
      <c r="E30" s="4">
        <v>1</v>
      </c>
      <c r="F30" s="4">
        <v>1</v>
      </c>
      <c r="G30" s="4">
        <v>2</v>
      </c>
      <c r="H30" s="4">
        <v>2</v>
      </c>
      <c r="I30" s="4">
        <v>1</v>
      </c>
      <c r="J30" s="4">
        <v>1</v>
      </c>
      <c r="K30" s="4">
        <v>2</v>
      </c>
      <c r="L30" s="4">
        <v>2</v>
      </c>
      <c r="M30" s="4">
        <v>1</v>
      </c>
      <c r="N30" s="4">
        <v>1</v>
      </c>
      <c r="O30" s="4">
        <v>1</v>
      </c>
      <c r="P30" s="4"/>
      <c r="Q30" s="4"/>
      <c r="R30" s="4"/>
      <c r="S30" s="4">
        <v>1</v>
      </c>
    </row>
    <row r="31" spans="2:19" x14ac:dyDescent="0.2">
      <c r="B31" s="4"/>
      <c r="C31" s="4" t="s">
        <v>127</v>
      </c>
      <c r="D31" s="4">
        <v>3</v>
      </c>
      <c r="E31" s="4">
        <v>1</v>
      </c>
      <c r="F31" s="4">
        <v>1</v>
      </c>
      <c r="G31" s="4">
        <v>3</v>
      </c>
      <c r="H31" s="4">
        <v>1</v>
      </c>
      <c r="I31" s="4">
        <v>1</v>
      </c>
      <c r="J31" s="4">
        <v>1</v>
      </c>
      <c r="K31" s="4">
        <v>1</v>
      </c>
      <c r="L31" s="4">
        <v>5</v>
      </c>
      <c r="M31" s="4">
        <v>2</v>
      </c>
      <c r="N31" s="4">
        <v>1</v>
      </c>
      <c r="O31" s="4">
        <v>2</v>
      </c>
      <c r="P31" s="4"/>
      <c r="Q31" s="4"/>
      <c r="R31" s="4"/>
      <c r="S31" s="4"/>
    </row>
    <row r="33" spans="1:41" x14ac:dyDescent="0.2">
      <c r="A33" s="4"/>
      <c r="B33" s="4"/>
      <c r="C33" s="4"/>
      <c r="D33" s="4" t="s">
        <v>35</v>
      </c>
      <c r="E33" s="4" t="s">
        <v>35</v>
      </c>
      <c r="F33" s="4" t="s">
        <v>35</v>
      </c>
      <c r="G33" s="4" t="s">
        <v>35</v>
      </c>
      <c r="H33" s="4" t="s">
        <v>35</v>
      </c>
      <c r="I33" s="4" t="s">
        <v>35</v>
      </c>
      <c r="J33" s="4" t="s">
        <v>35</v>
      </c>
      <c r="K33" s="4" t="s">
        <v>35</v>
      </c>
      <c r="L33" s="4" t="s">
        <v>35</v>
      </c>
      <c r="M33" s="4" t="s">
        <v>35</v>
      </c>
      <c r="N33" s="4" t="s">
        <v>35</v>
      </c>
      <c r="O33" s="4" t="s">
        <v>35</v>
      </c>
      <c r="P33" s="4"/>
      <c r="Q33" s="4"/>
      <c r="R33" s="4" t="s">
        <v>36</v>
      </c>
      <c r="S33" s="4" t="s">
        <v>36</v>
      </c>
      <c r="T33" s="4" t="s">
        <v>36</v>
      </c>
      <c r="U33" s="4" t="s">
        <v>36</v>
      </c>
      <c r="V33" s="4" t="s">
        <v>36</v>
      </c>
      <c r="W33" s="4" t="s">
        <v>36</v>
      </c>
      <c r="X33" s="4" t="s">
        <v>36</v>
      </c>
      <c r="Y33" s="4" t="s">
        <v>36</v>
      </c>
      <c r="Z33" s="4" t="s">
        <v>36</v>
      </c>
      <c r="AA33" s="4" t="s">
        <v>36</v>
      </c>
      <c r="AB33" s="4" t="s">
        <v>36</v>
      </c>
      <c r="AD33" s="4"/>
      <c r="AE33" s="4" t="s">
        <v>36</v>
      </c>
      <c r="AF33" s="4" t="s">
        <v>36</v>
      </c>
      <c r="AG33" s="4" t="s">
        <v>36</v>
      </c>
      <c r="AH33" s="4" t="s">
        <v>36</v>
      </c>
      <c r="AI33" s="4" t="s">
        <v>36</v>
      </c>
      <c r="AJ33" s="4" t="s">
        <v>36</v>
      </c>
      <c r="AK33" s="4" t="s">
        <v>36</v>
      </c>
      <c r="AL33" s="4" t="s">
        <v>36</v>
      </c>
      <c r="AM33" s="4" t="s">
        <v>36</v>
      </c>
      <c r="AN33" s="4" t="s">
        <v>36</v>
      </c>
      <c r="AO33" s="4" t="s">
        <v>36</v>
      </c>
    </row>
    <row r="34" spans="1:41" x14ac:dyDescent="0.2">
      <c r="A34" s="4"/>
      <c r="B34" s="4"/>
      <c r="C34" s="75" t="s">
        <v>128</v>
      </c>
      <c r="D34" s="75" t="s">
        <v>48</v>
      </c>
      <c r="E34" s="75" t="s">
        <v>129</v>
      </c>
      <c r="F34" s="75" t="s">
        <v>46</v>
      </c>
      <c r="G34" s="75" t="s">
        <v>49</v>
      </c>
      <c r="H34" s="75" t="s">
        <v>45</v>
      </c>
      <c r="I34" s="75" t="s">
        <v>44</v>
      </c>
      <c r="J34" s="75" t="s">
        <v>130</v>
      </c>
      <c r="K34" s="75" t="s">
        <v>43</v>
      </c>
      <c r="L34" s="75" t="s">
        <v>131</v>
      </c>
      <c r="M34" s="75" t="s">
        <v>47</v>
      </c>
      <c r="N34" s="75" t="s">
        <v>132</v>
      </c>
      <c r="O34" s="75" t="s">
        <v>50</v>
      </c>
      <c r="P34" s="4"/>
      <c r="Q34" s="75"/>
      <c r="R34" s="75" t="s">
        <v>56</v>
      </c>
      <c r="S34" s="75" t="s">
        <v>133</v>
      </c>
      <c r="T34" s="75" t="s">
        <v>54</v>
      </c>
      <c r="U34" s="75" t="s">
        <v>57</v>
      </c>
      <c r="V34" s="75" t="s">
        <v>53</v>
      </c>
      <c r="W34" s="75" t="s">
        <v>52</v>
      </c>
      <c r="X34" s="75" t="s">
        <v>134</v>
      </c>
      <c r="Y34" s="75" t="s">
        <v>51</v>
      </c>
      <c r="Z34" s="75" t="s">
        <v>135</v>
      </c>
      <c r="AA34" s="75" t="s">
        <v>55</v>
      </c>
      <c r="AB34" s="75" t="s">
        <v>136</v>
      </c>
      <c r="AD34" s="75"/>
      <c r="AE34" s="75" t="s">
        <v>422</v>
      </c>
      <c r="AF34" s="75" t="s">
        <v>425</v>
      </c>
      <c r="AG34" s="75" t="s">
        <v>424</v>
      </c>
      <c r="AH34" s="75" t="s">
        <v>423</v>
      </c>
      <c r="AI34" s="75" t="s">
        <v>420</v>
      </c>
      <c r="AJ34" s="75" t="s">
        <v>419</v>
      </c>
      <c r="AK34" s="75" t="s">
        <v>426</v>
      </c>
      <c r="AL34" s="75" t="s">
        <v>418</v>
      </c>
      <c r="AM34" s="75" t="s">
        <v>427</v>
      </c>
      <c r="AN34" s="75" t="s">
        <v>428</v>
      </c>
      <c r="AO34" s="75" t="s">
        <v>429</v>
      </c>
    </row>
    <row r="35" spans="1:41" x14ac:dyDescent="0.2">
      <c r="A35" s="4"/>
      <c r="B35" s="4"/>
      <c r="C35" s="4" t="s">
        <v>109</v>
      </c>
      <c r="D35" s="7">
        <f>D12/100/D$10*D$30*D$29*100</f>
        <v>6.0335775443551949</v>
      </c>
      <c r="E35" s="7">
        <f t="shared" ref="E35:N35" si="0">E12/100/E$10*E$30*E$29*100</f>
        <v>1.7912723620450141E-2</v>
      </c>
      <c r="F35" s="7">
        <f t="shared" si="0"/>
        <v>4.845637962087844</v>
      </c>
      <c r="G35" s="7">
        <f t="shared" si="0"/>
        <v>4.7771121005466943</v>
      </c>
      <c r="H35" s="7">
        <f>H12/100/H$10*H$30*H$29*100</f>
        <v>0.92146674451934818</v>
      </c>
      <c r="I35" s="7">
        <f t="shared" si="0"/>
        <v>2.683536373560937</v>
      </c>
      <c r="J35" s="7">
        <f t="shared" si="0"/>
        <v>0.10842465849979561</v>
      </c>
      <c r="K35" s="7">
        <f t="shared" si="0"/>
        <v>1.3575523967795546</v>
      </c>
      <c r="L35" s="7">
        <f t="shared" si="0"/>
        <v>8.2918777255658951E-2</v>
      </c>
      <c r="M35" s="7">
        <f t="shared" si="0"/>
        <v>28.372936222621657</v>
      </c>
      <c r="N35" s="7">
        <f t="shared" si="0"/>
        <v>4.2279890753626266E-2</v>
      </c>
      <c r="O35" s="7">
        <f>O12/100/O$10*O$30*O$29*100</f>
        <v>0.55739447818193211</v>
      </c>
      <c r="P35" s="4"/>
      <c r="Q35" s="4"/>
      <c r="R35" s="7">
        <f>(D35/100/D$29)/($O35/100/$O$29)</f>
        <v>19.203231089939194</v>
      </c>
      <c r="S35" s="7">
        <f>(E35/100/E$29)/($O35/100/$O$29)</f>
        <v>1.1201578838448238E-2</v>
      </c>
      <c r="T35" s="7">
        <f t="shared" ref="T35:AB50" si="1">(F35/100/F$29)/($O35/100/$O$29)</f>
        <v>10.382895178116264</v>
      </c>
      <c r="U35" s="7">
        <f t="shared" si="1"/>
        <v>7.346063613287579</v>
      </c>
      <c r="V35" s="7">
        <f>(H35/100/H$29)/($O35/100/$O$29)</f>
        <v>2.0239448364665611</v>
      </c>
      <c r="W35" s="7">
        <f t="shared" si="1"/>
        <v>9.481682492625934</v>
      </c>
      <c r="X35" s="7">
        <f t="shared" si="1"/>
        <v>0.16948402345804039</v>
      </c>
      <c r="Y35" s="7">
        <f t="shared" si="1"/>
        <v>5.0711921675864193</v>
      </c>
      <c r="Z35" s="7">
        <f t="shared" si="1"/>
        <v>0.22990221957185747</v>
      </c>
      <c r="AA35" s="7">
        <f t="shared" si="1"/>
        <v>86.75677528163078</v>
      </c>
      <c r="AB35" s="7">
        <f t="shared" si="1"/>
        <v>4.1438512283471896E-2</v>
      </c>
      <c r="AE35" s="105">
        <f>R35/$AA35</f>
        <v>0.22134560704453871</v>
      </c>
      <c r="AF35" s="105">
        <f t="shared" ref="AF35:AO50" si="2">S35/$AA35</f>
        <v>1.2911474408869569E-4</v>
      </c>
      <c r="AG35" s="105">
        <f t="shared" si="2"/>
        <v>0.11967820547053758</v>
      </c>
      <c r="AH35" s="105">
        <f t="shared" si="2"/>
        <v>8.4674235406291987E-2</v>
      </c>
      <c r="AI35" s="105">
        <f t="shared" si="2"/>
        <v>2.332895419287323E-2</v>
      </c>
      <c r="AJ35" s="105">
        <f t="shared" si="2"/>
        <v>0.10929039791816136</v>
      </c>
      <c r="AK35" s="105">
        <f t="shared" si="2"/>
        <v>1.9535537473339636E-3</v>
      </c>
      <c r="AL35" s="105">
        <f t="shared" si="2"/>
        <v>5.8452981350727483E-2</v>
      </c>
      <c r="AM35" s="105">
        <f t="shared" si="2"/>
        <v>2.649962712716631E-3</v>
      </c>
      <c r="AN35" s="105">
        <f t="shared" si="2"/>
        <v>1</v>
      </c>
      <c r="AO35" s="105">
        <f t="shared" si="2"/>
        <v>4.7764007074898473E-4</v>
      </c>
    </row>
    <row r="36" spans="1:41" x14ac:dyDescent="0.2">
      <c r="A36" s="4"/>
      <c r="B36" s="4"/>
      <c r="C36" s="4" t="s">
        <v>110</v>
      </c>
      <c r="D36" s="7">
        <f t="shared" ref="D36:O50" si="3">D13/100/D$10*D$30*D$29*100</f>
        <v>4.8162768117221288</v>
      </c>
      <c r="E36" s="7">
        <f t="shared" si="3"/>
        <v>1.7912723620450141E-2</v>
      </c>
      <c r="F36" s="7">
        <f t="shared" si="3"/>
        <v>4.0308846764270561</v>
      </c>
      <c r="G36" s="7">
        <f t="shared" si="3"/>
        <v>4.5812714873471228</v>
      </c>
      <c r="H36" s="7">
        <f t="shared" si="3"/>
        <v>0.85505472689633211</v>
      </c>
      <c r="I36" s="7">
        <f t="shared" si="3"/>
        <v>2.7016276300119095</v>
      </c>
      <c r="J36" s="7">
        <f t="shared" si="3"/>
        <v>0.10842465849979561</v>
      </c>
      <c r="K36" s="7">
        <f t="shared" si="3"/>
        <v>1.0904929088884945</v>
      </c>
      <c r="L36" s="7">
        <f t="shared" si="3"/>
        <v>5.2369754056205656E-2</v>
      </c>
      <c r="M36" s="7">
        <f t="shared" si="3"/>
        <v>28.793622262166302</v>
      </c>
      <c r="N36" s="7">
        <f t="shared" si="3"/>
        <v>2.5367934452175757E-2</v>
      </c>
      <c r="O36" s="7">
        <f t="shared" si="3"/>
        <v>0.59335541225818567</v>
      </c>
      <c r="P36" s="4"/>
      <c r="Q36" s="4"/>
      <c r="R36" s="7">
        <f t="shared" ref="R36:S50" si="4">(D36/100/D$29)/($O36/100/$O$29)</f>
        <v>14.399871053885825</v>
      </c>
      <c r="S36" s="7">
        <f t="shared" si="4"/>
        <v>1.052269527248168E-2</v>
      </c>
      <c r="T36" s="7">
        <f t="shared" si="1"/>
        <v>8.1136381198795373</v>
      </c>
      <c r="U36" s="7">
        <f t="shared" si="1"/>
        <v>6.6179431948091896</v>
      </c>
      <c r="V36" s="7">
        <f t="shared" si="1"/>
        <v>1.7642522148069151</v>
      </c>
      <c r="W36" s="7">
        <f t="shared" si="1"/>
        <v>8.9670824962607423</v>
      </c>
      <c r="X36" s="7">
        <f t="shared" si="1"/>
        <v>0.15921226446058342</v>
      </c>
      <c r="Y36" s="7">
        <f t="shared" si="1"/>
        <v>3.826696921293478</v>
      </c>
      <c r="Z36" s="7">
        <f t="shared" si="1"/>
        <v>0.13640131687516904</v>
      </c>
      <c r="AA36" s="7">
        <f t="shared" si="1"/>
        <v>82.707172920873745</v>
      </c>
      <c r="AB36" s="7">
        <f t="shared" si="1"/>
        <v>2.3356252377956889E-2</v>
      </c>
      <c r="AE36" s="105">
        <f t="shared" ref="AE36:AE50" si="5">R36/$AA36</f>
        <v>0.17410667715195915</v>
      </c>
      <c r="AF36" s="105">
        <f t="shared" si="2"/>
        <v>1.2722832737311406E-4</v>
      </c>
      <c r="AG36" s="105">
        <f t="shared" si="2"/>
        <v>9.8100779331943611E-2</v>
      </c>
      <c r="AH36" s="105">
        <f t="shared" si="2"/>
        <v>8.0016556739771538E-2</v>
      </c>
      <c r="AI36" s="105">
        <f t="shared" si="2"/>
        <v>2.1331308428288096E-2</v>
      </c>
      <c r="AJ36" s="105">
        <f t="shared" si="2"/>
        <v>0.10841964704608612</v>
      </c>
      <c r="AK36" s="105">
        <f t="shared" si="2"/>
        <v>1.9250115659605774E-3</v>
      </c>
      <c r="AL36" s="105">
        <f t="shared" si="2"/>
        <v>4.6268017466326569E-2</v>
      </c>
      <c r="AM36" s="105">
        <f t="shared" si="2"/>
        <v>1.6492078263352645E-3</v>
      </c>
      <c r="AN36" s="105">
        <f t="shared" si="2"/>
        <v>1</v>
      </c>
      <c r="AO36" s="105">
        <f t="shared" si="2"/>
        <v>2.8239693793308474E-4</v>
      </c>
    </row>
    <row r="37" spans="1:41" x14ac:dyDescent="0.2">
      <c r="A37" s="4"/>
      <c r="B37" s="4"/>
      <c r="C37" s="4" t="s">
        <v>111</v>
      </c>
      <c r="D37" s="7">
        <f t="shared" si="3"/>
        <v>6.2452820195957282</v>
      </c>
      <c r="E37" s="7">
        <f t="shared" si="3"/>
        <v>1.7912723620450141E-2</v>
      </c>
      <c r="F37" s="7">
        <f t="shared" si="3"/>
        <v>4.5954944094726891</v>
      </c>
      <c r="G37" s="7">
        <f t="shared" si="3"/>
        <v>5.0918559431888628</v>
      </c>
      <c r="H37" s="7">
        <f t="shared" si="3"/>
        <v>0.97957725993948719</v>
      </c>
      <c r="I37" s="7">
        <f t="shared" si="3"/>
        <v>2.991087733227471</v>
      </c>
      <c r="J37" s="7">
        <f t="shared" si="3"/>
        <v>0.10842465849979561</v>
      </c>
      <c r="K37" s="7">
        <f t="shared" si="3"/>
        <v>1.4762455025089143</v>
      </c>
      <c r="L37" s="7">
        <f t="shared" si="3"/>
        <v>6.1098046398906605E-2</v>
      </c>
      <c r="M37" s="7">
        <f t="shared" si="3"/>
        <v>28.559907795752615</v>
      </c>
      <c r="N37" s="7">
        <f t="shared" si="3"/>
        <v>3.3823912602901018E-2</v>
      </c>
      <c r="O37" s="7">
        <f t="shared" si="3"/>
        <v>0.62931634633443934</v>
      </c>
      <c r="P37" s="4"/>
      <c r="Q37" s="4"/>
      <c r="R37" s="7">
        <f t="shared" si="4"/>
        <v>17.605368252380345</v>
      </c>
      <c r="S37" s="7">
        <f t="shared" si="4"/>
        <v>9.9213983997684402E-3</v>
      </c>
      <c r="T37" s="7">
        <f t="shared" si="1"/>
        <v>8.7215444410194483</v>
      </c>
      <c r="U37" s="7">
        <f t="shared" si="1"/>
        <v>6.9352003189572935</v>
      </c>
      <c r="V37" s="7">
        <f t="shared" si="1"/>
        <v>1.905686026201977</v>
      </c>
      <c r="W37" s="7">
        <f t="shared" si="1"/>
        <v>9.3605361159946305</v>
      </c>
      <c r="X37" s="7">
        <f t="shared" si="1"/>
        <v>0.1501144207771215</v>
      </c>
      <c r="Y37" s="7">
        <f t="shared" si="1"/>
        <v>4.884337936274882</v>
      </c>
      <c r="Z37" s="7">
        <f t="shared" si="1"/>
        <v>0.15004144856268595</v>
      </c>
      <c r="AA37" s="7">
        <f t="shared" si="1"/>
        <v>77.348085695898746</v>
      </c>
      <c r="AB37" s="7">
        <f t="shared" si="1"/>
        <v>2.9362145846574379E-2</v>
      </c>
      <c r="AE37" s="105">
        <f t="shared" si="5"/>
        <v>0.22761220389600204</v>
      </c>
      <c r="AF37" s="105">
        <f t="shared" si="2"/>
        <v>1.2826947571495625E-4</v>
      </c>
      <c r="AG37" s="105">
        <f t="shared" si="2"/>
        <v>0.11275708199565557</v>
      </c>
      <c r="AH37" s="105">
        <f t="shared" si="2"/>
        <v>8.9662210209360368E-2</v>
      </c>
      <c r="AI37" s="105">
        <f t="shared" si="2"/>
        <v>2.4637791731450993E-2</v>
      </c>
      <c r="AJ37" s="105">
        <f t="shared" si="2"/>
        <v>0.12101832943605684</v>
      </c>
      <c r="AK37" s="105">
        <f t="shared" si="2"/>
        <v>1.9407645247654923E-3</v>
      </c>
      <c r="AL37" s="105">
        <f t="shared" si="2"/>
        <v>6.314749605411199E-2</v>
      </c>
      <c r="AM37" s="105">
        <f t="shared" si="2"/>
        <v>1.9398210985154562E-3</v>
      </c>
      <c r="AN37" s="105">
        <f t="shared" si="2"/>
        <v>1</v>
      </c>
      <c r="AO37" s="105">
        <f t="shared" si="2"/>
        <v>3.7961050467382487E-4</v>
      </c>
    </row>
    <row r="38" spans="1:41" x14ac:dyDescent="0.2">
      <c r="A38" s="4"/>
      <c r="B38" s="4"/>
      <c r="C38" s="4" t="s">
        <v>112</v>
      </c>
      <c r="D38" s="7">
        <f t="shared" si="3"/>
        <v>6.6157648512666603</v>
      </c>
      <c r="E38" s="7">
        <f t="shared" si="3"/>
        <v>2.6869085430675212E-2</v>
      </c>
      <c r="F38" s="7">
        <f t="shared" si="3"/>
        <v>5.653244289102485</v>
      </c>
      <c r="G38" s="7">
        <f t="shared" si="3"/>
        <v>5.0079242518176175</v>
      </c>
      <c r="H38" s="7">
        <f t="shared" si="3"/>
        <v>0.95467275333085622</v>
      </c>
      <c r="I38" s="7">
        <f t="shared" si="3"/>
        <v>2.6352930230250102</v>
      </c>
      <c r="J38" s="7">
        <f t="shared" si="3"/>
        <v>0.12391389542833783</v>
      </c>
      <c r="K38" s="7">
        <f t="shared" si="3"/>
        <v>1.3872256732118944</v>
      </c>
      <c r="L38" s="7">
        <f t="shared" si="3"/>
        <v>0.11346780045511226</v>
      </c>
      <c r="M38" s="7">
        <f t="shared" si="3"/>
        <v>25.942305771919312</v>
      </c>
      <c r="N38" s="7">
        <f t="shared" si="3"/>
        <v>4.2279890753626266E-2</v>
      </c>
      <c r="O38" s="7">
        <f t="shared" si="3"/>
        <v>0.52143354410567833</v>
      </c>
      <c r="P38" s="4"/>
      <c r="Q38" s="4"/>
      <c r="R38" s="7">
        <f t="shared" si="4"/>
        <v>22.50832440215196</v>
      </c>
      <c r="S38" s="7">
        <f t="shared" si="4"/>
        <v>1.7961152275442861E-2</v>
      </c>
      <c r="T38" s="7">
        <f t="shared" si="1"/>
        <v>12.94878306696109</v>
      </c>
      <c r="U38" s="7">
        <f t="shared" si="1"/>
        <v>8.2321011743591193</v>
      </c>
      <c r="V38" s="7">
        <f t="shared" si="1"/>
        <v>2.241492184530379</v>
      </c>
      <c r="W38" s="7">
        <f t="shared" si="1"/>
        <v>9.9533787468115893</v>
      </c>
      <c r="X38" s="7">
        <f t="shared" si="1"/>
        <v>0.20705437348568481</v>
      </c>
      <c r="Y38" s="7">
        <f t="shared" si="1"/>
        <v>5.5394198220272219</v>
      </c>
      <c r="Z38" s="7">
        <f t="shared" si="1"/>
        <v>0.33629979850257191</v>
      </c>
      <c r="AA38" s="7">
        <f t="shared" si="1"/>
        <v>84.795223468752923</v>
      </c>
      <c r="AB38" s="7">
        <f t="shared" si="1"/>
        <v>4.4296340716814792E-2</v>
      </c>
      <c r="AE38" s="105">
        <f t="shared" si="5"/>
        <v>0.26544330542918243</v>
      </c>
      <c r="AF38" s="105">
        <f t="shared" si="2"/>
        <v>2.1181797205902233E-4</v>
      </c>
      <c r="AG38" s="105">
        <f t="shared" si="2"/>
        <v>0.15270651502832258</v>
      </c>
      <c r="AH38" s="105">
        <f t="shared" si="2"/>
        <v>9.7082133139169705E-2</v>
      </c>
      <c r="AI38" s="105">
        <f t="shared" si="2"/>
        <v>2.6434179813870883E-2</v>
      </c>
      <c r="AJ38" s="105">
        <f t="shared" si="2"/>
        <v>0.11738136111498561</v>
      </c>
      <c r="AK38" s="105">
        <f t="shared" si="2"/>
        <v>2.4418164728581019E-3</v>
      </c>
      <c r="AL38" s="105">
        <f t="shared" si="2"/>
        <v>6.5327026634566285E-2</v>
      </c>
      <c r="AM38" s="105">
        <f t="shared" si="2"/>
        <v>3.9660229048927333E-3</v>
      </c>
      <c r="AN38" s="105">
        <f t="shared" si="2"/>
        <v>1</v>
      </c>
      <c r="AO38" s="105">
        <f t="shared" si="2"/>
        <v>5.2239193323357427E-4</v>
      </c>
    </row>
    <row r="39" spans="1:41" x14ac:dyDescent="0.2">
      <c r="A39" s="4"/>
      <c r="B39" s="4"/>
      <c r="C39" s="4" t="s">
        <v>113</v>
      </c>
      <c r="D39" s="7">
        <f t="shared" si="3"/>
        <v>5.9806514255450614</v>
      </c>
      <c r="E39" s="7">
        <f t="shared" si="3"/>
        <v>2.6869085430675212E-2</v>
      </c>
      <c r="F39" s="7">
        <f t="shared" si="3"/>
        <v>4.9456953831339048</v>
      </c>
      <c r="G39" s="7">
        <f t="shared" si="3"/>
        <v>4.8050893310037761</v>
      </c>
      <c r="H39" s="7">
        <f t="shared" si="3"/>
        <v>0.87165773130208624</v>
      </c>
      <c r="I39" s="7">
        <f t="shared" si="3"/>
        <v>2.9488748015085346</v>
      </c>
      <c r="J39" s="7">
        <f t="shared" si="3"/>
        <v>0.11616927696406672</v>
      </c>
      <c r="K39" s="7">
        <f t="shared" si="3"/>
        <v>1.2240226528340246</v>
      </c>
      <c r="L39" s="7">
        <f t="shared" si="3"/>
        <v>9.6011215769710376E-2</v>
      </c>
      <c r="M39" s="7">
        <f t="shared" si="3"/>
        <v>24.820476333133616</v>
      </c>
      <c r="N39" s="7">
        <f t="shared" si="3"/>
        <v>4.2279890753626266E-2</v>
      </c>
      <c r="O39" s="7">
        <f t="shared" si="3"/>
        <v>0.59335541225818567</v>
      </c>
      <c r="P39" s="4"/>
      <c r="Q39" s="4"/>
      <c r="R39" s="7">
        <f t="shared" si="4"/>
        <v>17.881158561418658</v>
      </c>
      <c r="S39" s="7">
        <f t="shared" si="4"/>
        <v>1.5784042908722516E-2</v>
      </c>
      <c r="T39" s="7">
        <f t="shared" si="1"/>
        <v>9.9550311683628365</v>
      </c>
      <c r="U39" s="7">
        <f t="shared" si="1"/>
        <v>6.9412625569983408</v>
      </c>
      <c r="V39" s="7">
        <f t="shared" si="1"/>
        <v>1.7985095393662729</v>
      </c>
      <c r="W39" s="7">
        <f t="shared" si="1"/>
        <v>9.7877306711417447</v>
      </c>
      <c r="X39" s="7">
        <f t="shared" si="1"/>
        <v>0.17058456906491079</v>
      </c>
      <c r="Y39" s="7">
        <f t="shared" si="1"/>
        <v>4.295272054513088</v>
      </c>
      <c r="Z39" s="7">
        <f t="shared" si="1"/>
        <v>0.25006908093780994</v>
      </c>
      <c r="AA39" s="7">
        <f t="shared" si="1"/>
        <v>71.294657176922016</v>
      </c>
      <c r="AB39" s="7">
        <f t="shared" si="1"/>
        <v>3.8927087296594817E-2</v>
      </c>
      <c r="AE39" s="105">
        <f t="shared" si="5"/>
        <v>0.25080643163828503</v>
      </c>
      <c r="AF39" s="105">
        <f t="shared" si="2"/>
        <v>2.2139166571140745E-4</v>
      </c>
      <c r="AG39" s="105">
        <f t="shared" si="2"/>
        <v>0.13963221877424592</v>
      </c>
      <c r="AH39" s="105">
        <f t="shared" si="2"/>
        <v>9.7360206667004193E-2</v>
      </c>
      <c r="AI39" s="105">
        <f t="shared" si="2"/>
        <v>2.5226428046398519E-2</v>
      </c>
      <c r="AJ39" s="105">
        <f t="shared" si="2"/>
        <v>0.13728561239663301</v>
      </c>
      <c r="AK39" s="105">
        <f t="shared" si="2"/>
        <v>2.3926697430018472E-3</v>
      </c>
      <c r="AL39" s="105">
        <f t="shared" si="2"/>
        <v>6.0246759358897117E-2</v>
      </c>
      <c r="AM39" s="105">
        <f t="shared" si="2"/>
        <v>3.5075430732102175E-3</v>
      </c>
      <c r="AN39" s="105">
        <f t="shared" si="2"/>
        <v>1</v>
      </c>
      <c r="AO39" s="105">
        <f t="shared" si="2"/>
        <v>5.4600286806898992E-4</v>
      </c>
    </row>
    <row r="40" spans="1:41" x14ac:dyDescent="0.2">
      <c r="A40" s="4"/>
      <c r="B40" s="4"/>
      <c r="C40" s="4" t="s">
        <v>114</v>
      </c>
      <c r="D40" s="7">
        <f t="shared" si="3"/>
        <v>4.8744955424132765</v>
      </c>
      <c r="E40" s="7">
        <f t="shared" si="3"/>
        <v>1.7912723620450141E-2</v>
      </c>
      <c r="F40" s="7">
        <f t="shared" si="3"/>
        <v>4.066619469657792</v>
      </c>
      <c r="G40" s="7">
        <f t="shared" si="3"/>
        <v>4.6791917939469085</v>
      </c>
      <c r="H40" s="7">
        <f t="shared" si="3"/>
        <v>0.83845172249057809</v>
      </c>
      <c r="I40" s="7">
        <f t="shared" si="3"/>
        <v>2.7920839122667727</v>
      </c>
      <c r="J40" s="7">
        <f t="shared" si="3"/>
        <v>0.10068004003552448</v>
      </c>
      <c r="K40" s="7">
        <f t="shared" si="3"/>
        <v>1.1646760999693446</v>
      </c>
      <c r="L40" s="7">
        <f t="shared" si="3"/>
        <v>5.673390022755613E-2</v>
      </c>
      <c r="M40" s="7">
        <f t="shared" si="3"/>
        <v>27.017392317422274</v>
      </c>
      <c r="N40" s="7">
        <f t="shared" si="3"/>
        <v>2.5367934452175757E-2</v>
      </c>
      <c r="O40" s="7">
        <f t="shared" si="3"/>
        <v>0.59335541225818567</v>
      </c>
      <c r="P40" s="4"/>
      <c r="Q40" s="4"/>
      <c r="R40" s="7">
        <f t="shared" si="4"/>
        <v>14.573935429262468</v>
      </c>
      <c r="S40" s="7">
        <f t="shared" si="4"/>
        <v>1.052269527248168E-2</v>
      </c>
      <c r="T40" s="7">
        <f t="shared" si="1"/>
        <v>8.1855675358359168</v>
      </c>
      <c r="U40" s="7">
        <f t="shared" si="1"/>
        <v>6.7593954157669423</v>
      </c>
      <c r="V40" s="7">
        <f t="shared" si="1"/>
        <v>1.7299948902475577</v>
      </c>
      <c r="W40" s="7">
        <f t="shared" si="1"/>
        <v>9.2673196334123293</v>
      </c>
      <c r="X40" s="7">
        <f t="shared" si="1"/>
        <v>0.147839959856256</v>
      </c>
      <c r="Y40" s="7">
        <f t="shared" si="1"/>
        <v>4.0870164397488171</v>
      </c>
      <c r="Z40" s="7">
        <f t="shared" si="1"/>
        <v>0.14776809328143314</v>
      </c>
      <c r="AA40" s="7">
        <f t="shared" si="1"/>
        <v>77.605107058871766</v>
      </c>
      <c r="AB40" s="7">
        <f t="shared" si="1"/>
        <v>2.3356252377956889E-2</v>
      </c>
      <c r="AE40" s="105">
        <f t="shared" si="5"/>
        <v>0.18779608690194294</v>
      </c>
      <c r="AF40" s="105">
        <f t="shared" si="2"/>
        <v>1.3559281948414929E-4</v>
      </c>
      <c r="AG40" s="105">
        <f t="shared" si="2"/>
        <v>0.10547717600113983</v>
      </c>
      <c r="AH40" s="105">
        <f t="shared" si="2"/>
        <v>8.709987875719595E-2</v>
      </c>
      <c r="AI40" s="105">
        <f t="shared" si="2"/>
        <v>2.2292281472341399E-2</v>
      </c>
      <c r="AJ40" s="105">
        <f t="shared" si="2"/>
        <v>0.11941636297701487</v>
      </c>
      <c r="AK40" s="105">
        <f t="shared" si="2"/>
        <v>1.9050287469367653E-3</v>
      </c>
      <c r="AL40" s="105">
        <f t="shared" si="2"/>
        <v>5.2664271652230032E-2</v>
      </c>
      <c r="AM40" s="105">
        <f t="shared" si="2"/>
        <v>1.904102692227913E-3</v>
      </c>
      <c r="AN40" s="105">
        <f t="shared" si="2"/>
        <v>1</v>
      </c>
      <c r="AO40" s="105">
        <f t="shared" si="2"/>
        <v>3.0096282658612501E-4</v>
      </c>
    </row>
    <row r="41" spans="1:41" x14ac:dyDescent="0.2">
      <c r="A41" s="4"/>
      <c r="B41" s="4"/>
      <c r="C41" s="4" t="s">
        <v>115</v>
      </c>
      <c r="D41" s="7">
        <f t="shared" si="3"/>
        <v>4.9168364374613827</v>
      </c>
      <c r="E41" s="7">
        <f t="shared" si="3"/>
        <v>1.7912723620450141E-2</v>
      </c>
      <c r="F41" s="7">
        <f t="shared" si="3"/>
        <v>4.281028229042211</v>
      </c>
      <c r="G41" s="7">
        <f t="shared" si="3"/>
        <v>4.9169982528321023</v>
      </c>
      <c r="H41" s="7">
        <f t="shared" si="3"/>
        <v>0.83845172249057809</v>
      </c>
      <c r="I41" s="7">
        <f t="shared" si="3"/>
        <v>2.9669660579595076</v>
      </c>
      <c r="J41" s="7">
        <f t="shared" si="3"/>
        <v>0.10068004003552448</v>
      </c>
      <c r="K41" s="7">
        <f t="shared" si="3"/>
        <v>1.1869310572935996</v>
      </c>
      <c r="L41" s="7">
        <f t="shared" si="3"/>
        <v>5.2369754056205656E-2</v>
      </c>
      <c r="M41" s="7">
        <f t="shared" si="3"/>
        <v>26.690192064443114</v>
      </c>
      <c r="N41" s="7">
        <f t="shared" si="3"/>
        <v>2.5367934452175757E-2</v>
      </c>
      <c r="O41" s="7">
        <f t="shared" si="3"/>
        <v>0.61732936830902141</v>
      </c>
      <c r="P41" s="4"/>
      <c r="Q41" s="4"/>
      <c r="R41" s="7">
        <f t="shared" si="4"/>
        <v>14.129633422564099</v>
      </c>
      <c r="S41" s="7">
        <f t="shared" si="4"/>
        <v>1.0114046912385303E-2</v>
      </c>
      <c r="T41" s="7">
        <f t="shared" si="1"/>
        <v>8.2824976614159702</v>
      </c>
      <c r="U41" s="7">
        <f t="shared" si="1"/>
        <v>6.8270805977786271</v>
      </c>
      <c r="V41" s="7">
        <f t="shared" si="1"/>
        <v>1.6628106226651282</v>
      </c>
      <c r="W41" s="7">
        <f t="shared" si="1"/>
        <v>9.4653401141614975</v>
      </c>
      <c r="X41" s="7">
        <f t="shared" si="1"/>
        <v>0.14209860219193537</v>
      </c>
      <c r="Y41" s="7">
        <f t="shared" si="1"/>
        <v>4.0033603614879265</v>
      </c>
      <c r="Z41" s="7">
        <f t="shared" si="1"/>
        <v>0.13110417835574498</v>
      </c>
      <c r="AA41" s="7">
        <f t="shared" si="1"/>
        <v>73.687961449440039</v>
      </c>
      <c r="AB41" s="7">
        <f t="shared" si="1"/>
        <v>2.244921345065759E-2</v>
      </c>
      <c r="AE41" s="105">
        <f t="shared" si="5"/>
        <v>0.19174954965010058</v>
      </c>
      <c r="AF41" s="105">
        <f t="shared" si="2"/>
        <v>1.3725507821687961E-4</v>
      </c>
      <c r="AG41" s="105">
        <f t="shared" si="2"/>
        <v>0.11239960365980391</v>
      </c>
      <c r="AH41" s="105">
        <f t="shared" si="2"/>
        <v>9.2648520375515242E-2</v>
      </c>
      <c r="AI41" s="105">
        <f t="shared" si="2"/>
        <v>2.2565566884436644E-2</v>
      </c>
      <c r="AJ41" s="105">
        <f t="shared" si="2"/>
        <v>0.12845164838297241</v>
      </c>
      <c r="AK41" s="105">
        <f t="shared" si="2"/>
        <v>1.9283828646750438E-3</v>
      </c>
      <c r="AL41" s="105">
        <f t="shared" si="2"/>
        <v>5.4328553575671595E-2</v>
      </c>
      <c r="AM41" s="105">
        <f t="shared" si="2"/>
        <v>1.7791804221059945E-3</v>
      </c>
      <c r="AN41" s="105">
        <f t="shared" si="2"/>
        <v>1</v>
      </c>
      <c r="AO41" s="105">
        <f t="shared" si="2"/>
        <v>3.0465238838315272E-4</v>
      </c>
    </row>
    <row r="42" spans="1:41" x14ac:dyDescent="0.2">
      <c r="A42" s="4"/>
      <c r="B42" s="77" t="s">
        <v>137</v>
      </c>
      <c r="C42" s="77" t="s">
        <v>116</v>
      </c>
      <c r="D42" s="78">
        <f t="shared" si="3"/>
        <v>7.7272133462794601</v>
      </c>
      <c r="E42" s="78">
        <f t="shared" si="3"/>
        <v>1.7912723620450141E-2</v>
      </c>
      <c r="F42" s="78">
        <f t="shared" si="3"/>
        <v>8.2904720295308234</v>
      </c>
      <c r="G42" s="78">
        <f t="shared" si="3"/>
        <v>8.4631122132672036</v>
      </c>
      <c r="H42" s="78">
        <f t="shared" si="3"/>
        <v>0.41507511014385057</v>
      </c>
      <c r="I42" s="78">
        <f t="shared" si="3"/>
        <v>5.523863636363636</v>
      </c>
      <c r="J42" s="78">
        <f t="shared" si="3"/>
        <v>0.13165851389260894</v>
      </c>
      <c r="K42" s="78">
        <f t="shared" si="3"/>
        <v>2.2551690088578389</v>
      </c>
      <c r="L42" s="78">
        <f t="shared" si="3"/>
        <v>7.8554631084308477E-2</v>
      </c>
      <c r="M42" s="78">
        <f t="shared" si="3"/>
        <v>21.735445376472935</v>
      </c>
      <c r="N42" s="78">
        <f t="shared" si="3"/>
        <v>5.9191847055076782E-2</v>
      </c>
      <c r="O42" s="78">
        <f t="shared" si="3"/>
        <v>1.006906154135103</v>
      </c>
      <c r="P42" s="77"/>
      <c r="Q42" s="77"/>
      <c r="R42" s="78">
        <f t="shared" si="4"/>
        <v>13.614320788387344</v>
      </c>
      <c r="S42" s="78">
        <f t="shared" si="4"/>
        <v>6.2008739998552749E-3</v>
      </c>
      <c r="T42" s="78">
        <f t="shared" si="1"/>
        <v>9.833778724322082</v>
      </c>
      <c r="U42" s="78">
        <f t="shared" si="1"/>
        <v>7.204320386279468</v>
      </c>
      <c r="V42" s="78">
        <f t="shared" si="1"/>
        <v>0.50468379931196428</v>
      </c>
      <c r="W42" s="78">
        <f t="shared" si="1"/>
        <v>10.804247835497835</v>
      </c>
      <c r="X42" s="78">
        <f t="shared" si="1"/>
        <v>0.11392612291120825</v>
      </c>
      <c r="Y42" s="78">
        <f t="shared" si="1"/>
        <v>4.6634382306142088</v>
      </c>
      <c r="Z42" s="78">
        <f t="shared" si="1"/>
        <v>0.12056902116644405</v>
      </c>
      <c r="AA42" s="78">
        <f t="shared" si="1"/>
        <v>36.790977750197328</v>
      </c>
      <c r="AB42" s="78">
        <f t="shared" si="1"/>
        <v>3.2114847019690723E-2</v>
      </c>
      <c r="AE42" s="105">
        <f t="shared" si="5"/>
        <v>0.37004509314282424</v>
      </c>
      <c r="AF42" s="105">
        <f t="shared" si="2"/>
        <v>1.6854333260610385E-4</v>
      </c>
      <c r="AG42" s="105">
        <f t="shared" si="2"/>
        <v>0.26728777884326105</v>
      </c>
      <c r="AH42" s="105">
        <f t="shared" si="2"/>
        <v>0.1958175842782767</v>
      </c>
      <c r="AI42" s="105">
        <f t="shared" si="2"/>
        <v>1.3717596817857265E-2</v>
      </c>
      <c r="AJ42" s="105">
        <f t="shared" si="2"/>
        <v>0.29366568914956021</v>
      </c>
      <c r="AK42" s="105">
        <f t="shared" si="2"/>
        <v>3.0965777448140044E-3</v>
      </c>
      <c r="AL42" s="105">
        <f t="shared" si="2"/>
        <v>0.12675494144999166</v>
      </c>
      <c r="AM42" s="105">
        <f t="shared" si="2"/>
        <v>3.2771355516855592E-3</v>
      </c>
      <c r="AN42" s="105">
        <f t="shared" si="2"/>
        <v>1</v>
      </c>
      <c r="AO42" s="105">
        <f t="shared" si="2"/>
        <v>8.7290006908061788E-4</v>
      </c>
    </row>
    <row r="43" spans="1:41" x14ac:dyDescent="0.2">
      <c r="A43" s="4"/>
      <c r="B43" s="4"/>
      <c r="C43" s="4" t="s">
        <v>117</v>
      </c>
      <c r="D43" s="7">
        <f t="shared" si="3"/>
        <v>4.8003989760790891</v>
      </c>
      <c r="E43" s="7">
        <f t="shared" si="3"/>
        <v>1.7912723620450141E-2</v>
      </c>
      <c r="F43" s="7">
        <f t="shared" si="3"/>
        <v>4.1452360147654117</v>
      </c>
      <c r="G43" s="7">
        <f t="shared" si="3"/>
        <v>4.6162430254184743</v>
      </c>
      <c r="H43" s="7">
        <f t="shared" si="3"/>
        <v>0.81354721588194712</v>
      </c>
      <c r="I43" s="7">
        <f t="shared" si="3"/>
        <v>2.7197188864628816</v>
      </c>
      <c r="J43" s="7">
        <f t="shared" si="3"/>
        <v>0.10068004003552448</v>
      </c>
      <c r="K43" s="7">
        <f t="shared" si="3"/>
        <v>1.0830745897804095</v>
      </c>
      <c r="L43" s="7">
        <f t="shared" si="3"/>
        <v>6.5462192570257066E-2</v>
      </c>
      <c r="M43" s="7">
        <f t="shared" si="3"/>
        <v>28.606650689035344</v>
      </c>
      <c r="N43" s="7">
        <f t="shared" si="3"/>
        <v>2.5367934452175757E-2</v>
      </c>
      <c r="O43" s="7">
        <f t="shared" si="3"/>
        <v>0.5633879671946409</v>
      </c>
      <c r="P43" s="4"/>
      <c r="Q43" s="4"/>
      <c r="R43" s="7">
        <f t="shared" si="4"/>
        <v>15.115824427654548</v>
      </c>
      <c r="S43" s="7">
        <f t="shared" si="4"/>
        <v>1.1082413106124322E-2</v>
      </c>
      <c r="T43" s="7">
        <f t="shared" si="1"/>
        <v>8.7876320515218627</v>
      </c>
      <c r="U43" s="7">
        <f t="shared" si="1"/>
        <v>7.0231672624465213</v>
      </c>
      <c r="V43" s="7">
        <f t="shared" si="1"/>
        <v>1.7678966110366343</v>
      </c>
      <c r="W43" s="7">
        <f t="shared" si="1"/>
        <v>9.5072964089937742</v>
      </c>
      <c r="X43" s="7">
        <f t="shared" si="1"/>
        <v>0.15570378750818453</v>
      </c>
      <c r="Y43" s="7">
        <f t="shared" si="1"/>
        <v>4.0028279997377281</v>
      </c>
      <c r="Z43" s="7">
        <f t="shared" si="1"/>
        <v>0.17957088258832096</v>
      </c>
      <c r="AA43" s="7">
        <f t="shared" si="1"/>
        <v>86.54086406690206</v>
      </c>
      <c r="AB43" s="7">
        <f t="shared" si="1"/>
        <v>2.4598606227848215E-2</v>
      </c>
      <c r="AE43" s="105">
        <f t="shared" si="5"/>
        <v>0.17466689974309677</v>
      </c>
      <c r="AF43" s="105">
        <f t="shared" si="2"/>
        <v>1.2805988506836322E-4</v>
      </c>
      <c r="AG43" s="105">
        <f t="shared" si="2"/>
        <v>0.10154315127623889</v>
      </c>
      <c r="AH43" s="105">
        <f t="shared" si="2"/>
        <v>8.115434642548898E-2</v>
      </c>
      <c r="AI43" s="105">
        <f t="shared" si="2"/>
        <v>2.0428460359142336E-2</v>
      </c>
      <c r="AJ43" s="105">
        <f t="shared" si="2"/>
        <v>0.10985904187002314</v>
      </c>
      <c r="AK43" s="105">
        <f t="shared" si="2"/>
        <v>1.7991938165513896E-3</v>
      </c>
      <c r="AL43" s="105">
        <f t="shared" si="2"/>
        <v>4.6253617211901951E-2</v>
      </c>
      <c r="AM43" s="105">
        <f t="shared" si="2"/>
        <v>2.0749837030688795E-3</v>
      </c>
      <c r="AN43" s="105">
        <f t="shared" si="2"/>
        <v>1</v>
      </c>
      <c r="AO43" s="105">
        <f t="shared" si="2"/>
        <v>2.8424266955356253E-4</v>
      </c>
    </row>
    <row r="44" spans="1:41" x14ac:dyDescent="0.2">
      <c r="A44" s="4"/>
      <c r="B44" s="4"/>
      <c r="C44" s="4" t="s">
        <v>118</v>
      </c>
      <c r="D44" s="7">
        <f t="shared" si="3"/>
        <v>6.8274693265071935</v>
      </c>
      <c r="E44" s="7">
        <f t="shared" si="3"/>
        <v>2.6869085430675212E-2</v>
      </c>
      <c r="F44" s="7">
        <f t="shared" si="3"/>
        <v>5.5889216612871602</v>
      </c>
      <c r="G44" s="7">
        <f t="shared" si="3"/>
        <v>4.8960153299892912</v>
      </c>
      <c r="H44" s="7">
        <f t="shared" si="3"/>
        <v>1.0293862731567494</v>
      </c>
      <c r="I44" s="7">
        <f t="shared" si="3"/>
        <v>2.5026238090512103</v>
      </c>
      <c r="J44" s="7">
        <f t="shared" si="3"/>
        <v>0.12391389542833783</v>
      </c>
      <c r="K44" s="7">
        <f t="shared" si="3"/>
        <v>1.3798073541038094</v>
      </c>
      <c r="L44" s="7">
        <f t="shared" si="3"/>
        <v>0.11346780045511226</v>
      </c>
      <c r="M44" s="7">
        <f t="shared" si="3"/>
        <v>27.204363890553228</v>
      </c>
      <c r="N44" s="7">
        <f t="shared" si="3"/>
        <v>4.2279890753626266E-2</v>
      </c>
      <c r="O44" s="7">
        <f t="shared" si="3"/>
        <v>0.50345307706755149</v>
      </c>
      <c r="P44" s="4"/>
      <c r="Q44" s="4"/>
      <c r="R44" s="7">
        <f t="shared" si="4"/>
        <v>24.05818331098585</v>
      </c>
      <c r="S44" s="7">
        <f t="shared" si="4"/>
        <v>1.8602621999565822E-2</v>
      </c>
      <c r="T44" s="7">
        <f t="shared" si="1"/>
        <v>13.258646486930811</v>
      </c>
      <c r="U44" s="7">
        <f t="shared" si="1"/>
        <v>8.3355773064390544</v>
      </c>
      <c r="V44" s="7">
        <f t="shared" si="1"/>
        <v>2.5032316445873426</v>
      </c>
      <c r="W44" s="7">
        <f t="shared" si="1"/>
        <v>9.7898752221213989</v>
      </c>
      <c r="X44" s="7">
        <f t="shared" si="1"/>
        <v>0.21444917253874499</v>
      </c>
      <c r="Y44" s="7">
        <f t="shared" si="1"/>
        <v>5.7065757295673878</v>
      </c>
      <c r="Z44" s="7">
        <f t="shared" si="1"/>
        <v>0.34831050559194948</v>
      </c>
      <c r="AA44" s="7">
        <f t="shared" si="1"/>
        <v>92.096124948881098</v>
      </c>
      <c r="AB44" s="7">
        <f t="shared" si="1"/>
        <v>4.5878352885272464E-2</v>
      </c>
      <c r="AE44" s="105">
        <f t="shared" si="5"/>
        <v>0.26122905088937881</v>
      </c>
      <c r="AF44" s="105">
        <f t="shared" si="2"/>
        <v>2.0199136510783052E-4</v>
      </c>
      <c r="AG44" s="105">
        <f t="shared" si="2"/>
        <v>0.14396530249551931</v>
      </c>
      <c r="AH44" s="105">
        <f t="shared" si="2"/>
        <v>9.0509533501716852E-2</v>
      </c>
      <c r="AI44" s="105">
        <f t="shared" si="2"/>
        <v>2.7180640292702729E-2</v>
      </c>
      <c r="AJ44" s="105">
        <f t="shared" si="2"/>
        <v>0.10630062043930046</v>
      </c>
      <c r="AK44" s="105">
        <f t="shared" si="2"/>
        <v>2.3285363272100451E-3</v>
      </c>
      <c r="AL44" s="105">
        <f t="shared" si="2"/>
        <v>6.1963255595551728E-2</v>
      </c>
      <c r="AM44" s="105">
        <f t="shared" si="2"/>
        <v>3.7820321515729658E-3</v>
      </c>
      <c r="AN44" s="105">
        <f t="shared" si="2"/>
        <v>1</v>
      </c>
      <c r="AO44" s="105">
        <f t="shared" si="2"/>
        <v>4.9815725591861458E-4</v>
      </c>
    </row>
    <row r="45" spans="1:41" x14ac:dyDescent="0.2">
      <c r="A45" s="4"/>
      <c r="B45" s="4"/>
      <c r="C45" s="4" t="s">
        <v>119</v>
      </c>
      <c r="D45" s="7">
        <f t="shared" si="3"/>
        <v>5.170881807750022</v>
      </c>
      <c r="E45" s="7">
        <f t="shared" si="3"/>
        <v>1.7912723620450141E-2</v>
      </c>
      <c r="F45" s="7">
        <f t="shared" si="3"/>
        <v>4.7169927064571935</v>
      </c>
      <c r="G45" s="7">
        <f t="shared" si="3"/>
        <v>4.4973397959758774</v>
      </c>
      <c r="H45" s="7">
        <f t="shared" si="3"/>
        <v>0.81354721588194712</v>
      </c>
      <c r="I45" s="7">
        <f t="shared" si="3"/>
        <v>2.6352930230250102</v>
      </c>
      <c r="J45" s="7">
        <f t="shared" si="3"/>
        <v>0.10842465849979561</v>
      </c>
      <c r="K45" s="7">
        <f t="shared" si="3"/>
        <v>1.1201661853208347</v>
      </c>
      <c r="L45" s="7">
        <f t="shared" si="3"/>
        <v>9.1647069598359887E-2</v>
      </c>
      <c r="M45" s="7">
        <f t="shared" si="3"/>
        <v>28.419679115904401</v>
      </c>
      <c r="N45" s="7">
        <f t="shared" si="3"/>
        <v>2.5367934452175757E-2</v>
      </c>
      <c r="O45" s="7">
        <f t="shared" si="3"/>
        <v>0.54540750015651418</v>
      </c>
      <c r="P45" s="4"/>
      <c r="Q45" s="4"/>
      <c r="R45" s="7">
        <f t="shared" si="4"/>
        <v>16.819209370184737</v>
      </c>
      <c r="S45" s="7">
        <f t="shared" si="4"/>
        <v>1.1447767384348197E-2</v>
      </c>
      <c r="T45" s="7">
        <f t="shared" si="1"/>
        <v>10.329380304592956</v>
      </c>
      <c r="U45" s="7">
        <f t="shared" si="1"/>
        <v>7.0678367578553534</v>
      </c>
      <c r="V45" s="7">
        <f t="shared" si="1"/>
        <v>1.8261789168949842</v>
      </c>
      <c r="W45" s="7">
        <f t="shared" si="1"/>
        <v>9.5158675931055843</v>
      </c>
      <c r="X45" s="7">
        <f t="shared" si="1"/>
        <v>0.17320894705052478</v>
      </c>
      <c r="Y45" s="7">
        <f t="shared" si="1"/>
        <v>4.276391737789953</v>
      </c>
      <c r="Z45" s="7">
        <f t="shared" si="1"/>
        <v>0.25968712251234094</v>
      </c>
      <c r="AA45" s="7">
        <f t="shared" si="1"/>
        <v>88.809585993528444</v>
      </c>
      <c r="AB45" s="7">
        <f t="shared" si="1"/>
        <v>2.5409549290304742E-2</v>
      </c>
      <c r="AE45" s="105">
        <f t="shared" si="5"/>
        <v>0.18938506673604302</v>
      </c>
      <c r="AF45" s="105">
        <f t="shared" si="2"/>
        <v>1.2890238431223399E-4</v>
      </c>
      <c r="AG45" s="105">
        <f t="shared" si="2"/>
        <v>0.11630929464467561</v>
      </c>
      <c r="AH45" s="105">
        <f t="shared" si="2"/>
        <v>7.9584165141479063E-2</v>
      </c>
      <c r="AI45" s="105">
        <f t="shared" si="2"/>
        <v>2.0562858124663005E-2</v>
      </c>
      <c r="AJ45" s="105">
        <f t="shared" si="2"/>
        <v>0.10714910430726482</v>
      </c>
      <c r="AK45" s="105">
        <f t="shared" si="2"/>
        <v>1.9503406655126906E-3</v>
      </c>
      <c r="AL45" s="105">
        <f t="shared" si="2"/>
        <v>4.8152366548601791E-2</v>
      </c>
      <c r="AM45" s="105">
        <f t="shared" si="2"/>
        <v>2.9240888762983802E-3</v>
      </c>
      <c r="AN45" s="105">
        <f t="shared" si="2"/>
        <v>1</v>
      </c>
      <c r="AO45" s="105">
        <f t="shared" si="2"/>
        <v>2.8611268711641486E-4</v>
      </c>
    </row>
    <row r="46" spans="1:41" x14ac:dyDescent="0.2">
      <c r="A46" s="4"/>
      <c r="B46" s="4"/>
      <c r="C46" s="4" t="s">
        <v>120</v>
      </c>
      <c r="D46" s="7">
        <f t="shared" si="3"/>
        <v>4.9115438255803685</v>
      </c>
      <c r="E46" s="7">
        <f t="shared" si="3"/>
        <v>1.7912723620450141E-2</v>
      </c>
      <c r="F46" s="7">
        <f t="shared" si="3"/>
        <v>4.0094438004886142</v>
      </c>
      <c r="G46" s="7">
        <f t="shared" si="3"/>
        <v>4.483351180747337</v>
      </c>
      <c r="H46" s="7">
        <f t="shared" si="3"/>
        <v>0.82184871808482396</v>
      </c>
      <c r="I46" s="7">
        <f t="shared" si="3"/>
        <v>2.6533842794759828</v>
      </c>
      <c r="J46" s="7">
        <f t="shared" si="3"/>
        <v>9.2935421571253354E-2</v>
      </c>
      <c r="K46" s="7">
        <f t="shared" si="3"/>
        <v>1.1424211426450896</v>
      </c>
      <c r="L46" s="7">
        <f t="shared" si="3"/>
        <v>5.2369754056205656E-2</v>
      </c>
      <c r="M46" s="7">
        <f t="shared" si="3"/>
        <v>28.887108048731776</v>
      </c>
      <c r="N46" s="7">
        <f t="shared" si="3"/>
        <v>2.5367934452175757E-2</v>
      </c>
      <c r="O46" s="7">
        <f t="shared" si="3"/>
        <v>0.54540750015651418</v>
      </c>
      <c r="P46" s="4"/>
      <c r="Q46" s="4"/>
      <c r="R46" s="7">
        <f t="shared" si="4"/>
        <v>15.975666627974858</v>
      </c>
      <c r="S46" s="7">
        <f t="shared" si="4"/>
        <v>1.1447767384348197E-2</v>
      </c>
      <c r="T46" s="7">
        <f t="shared" si="1"/>
        <v>8.7799732589040129</v>
      </c>
      <c r="U46" s="7">
        <f t="shared" si="1"/>
        <v>7.0458528177065052</v>
      </c>
      <c r="V46" s="7">
        <f t="shared" si="1"/>
        <v>1.8448133956388102</v>
      </c>
      <c r="W46" s="7">
        <f t="shared" si="1"/>
        <v>9.5811939152550494</v>
      </c>
      <c r="X46" s="7">
        <f t="shared" si="1"/>
        <v>0.14846481175759263</v>
      </c>
      <c r="Y46" s="7">
        <f t="shared" si="1"/>
        <v>4.3613531630440585</v>
      </c>
      <c r="Z46" s="7">
        <f t="shared" si="1"/>
        <v>0.14839264143562342</v>
      </c>
      <c r="AA46" s="7">
        <f t="shared" si="1"/>
        <v>90.27026997368516</v>
      </c>
      <c r="AB46" s="7">
        <f t="shared" si="1"/>
        <v>2.5409549290304742E-2</v>
      </c>
      <c r="AE46" s="105">
        <f t="shared" si="5"/>
        <v>0.17697594825662927</v>
      </c>
      <c r="AF46" s="105">
        <f t="shared" si="2"/>
        <v>1.2681658521333054E-4</v>
      </c>
      <c r="AG46" s="105">
        <f t="shared" si="2"/>
        <v>9.7263177139754631E-2</v>
      </c>
      <c r="AH46" s="105">
        <f t="shared" si="2"/>
        <v>7.8052860811875874E-2</v>
      </c>
      <c r="AI46" s="105">
        <f t="shared" si="2"/>
        <v>2.0436555647574722E-2</v>
      </c>
      <c r="AJ46" s="105">
        <f t="shared" si="2"/>
        <v>0.10613897485903254</v>
      </c>
      <c r="AK46" s="105">
        <f t="shared" si="2"/>
        <v>1.6446700757721435E-3</v>
      </c>
      <c r="AL46" s="105">
        <f t="shared" si="2"/>
        <v>4.8314391485872854E-2</v>
      </c>
      <c r="AM46" s="105">
        <f t="shared" si="2"/>
        <v>1.64387058417884E-3</v>
      </c>
      <c r="AN46" s="105">
        <f t="shared" si="2"/>
        <v>1</v>
      </c>
      <c r="AO46" s="105">
        <f t="shared" si="2"/>
        <v>2.8148303198508127E-4</v>
      </c>
    </row>
    <row r="47" spans="1:41" x14ac:dyDescent="0.2">
      <c r="A47" s="4"/>
      <c r="B47" s="4"/>
      <c r="C47" s="4" t="s">
        <v>121</v>
      </c>
      <c r="D47" s="7">
        <f t="shared" si="3"/>
        <v>4.8956659899373287</v>
      </c>
      <c r="E47" s="7">
        <f t="shared" si="3"/>
        <v>1.7912723620450141E-2</v>
      </c>
      <c r="F47" s="7">
        <f t="shared" si="3"/>
        <v>4.2024116839345904</v>
      </c>
      <c r="G47" s="7">
        <f t="shared" si="3"/>
        <v>4.7141633320182601</v>
      </c>
      <c r="H47" s="7">
        <f t="shared" si="3"/>
        <v>0.82184871808482396</v>
      </c>
      <c r="I47" s="7">
        <f t="shared" si="3"/>
        <v>2.8282664251687182</v>
      </c>
      <c r="J47" s="7">
        <f t="shared" si="3"/>
        <v>9.2935421571253354E-2</v>
      </c>
      <c r="K47" s="7">
        <f t="shared" si="3"/>
        <v>1.1646760999693446</v>
      </c>
      <c r="L47" s="7">
        <f t="shared" si="3"/>
        <v>5.2369754056205656E-2</v>
      </c>
      <c r="M47" s="7">
        <f t="shared" si="3"/>
        <v>28.700136475600825</v>
      </c>
      <c r="N47" s="7">
        <f t="shared" si="3"/>
        <v>2.5367934452175757E-2</v>
      </c>
      <c r="O47" s="7">
        <f t="shared" si="3"/>
        <v>0.59934890127089469</v>
      </c>
      <c r="P47" s="4"/>
      <c r="Q47" s="4"/>
      <c r="R47" s="7">
        <f t="shared" si="4"/>
        <v>14.49085925010543</v>
      </c>
      <c r="S47" s="7">
        <f t="shared" si="4"/>
        <v>1.0417468319756861E-2</v>
      </c>
      <c r="T47" s="7">
        <f t="shared" si="1"/>
        <v>8.3743103233054548</v>
      </c>
      <c r="U47" s="7">
        <f t="shared" si="1"/>
        <v>6.7418149254479056</v>
      </c>
      <c r="V47" s="7">
        <f t="shared" si="1"/>
        <v>1.6787801900313175</v>
      </c>
      <c r="W47" s="7">
        <f t="shared" si="1"/>
        <v>9.2935403433902337</v>
      </c>
      <c r="X47" s="7">
        <f t="shared" si="1"/>
        <v>0.13510297869940929</v>
      </c>
      <c r="Y47" s="7">
        <f t="shared" si="1"/>
        <v>4.0461462753513286</v>
      </c>
      <c r="Z47" s="7">
        <f t="shared" si="1"/>
        <v>0.13503730370641734</v>
      </c>
      <c r="AA47" s="7">
        <f t="shared" si="1"/>
        <v>81.614256707276454</v>
      </c>
      <c r="AB47" s="7">
        <f t="shared" si="1"/>
        <v>2.3122689854177318E-2</v>
      </c>
      <c r="AE47" s="105">
        <f t="shared" si="5"/>
        <v>0.17755303833837985</v>
      </c>
      <c r="AF47" s="105">
        <f t="shared" si="2"/>
        <v>1.2764275189224475E-4</v>
      </c>
      <c r="AG47" s="105">
        <f t="shared" si="2"/>
        <v>0.10260842481652876</v>
      </c>
      <c r="AH47" s="105">
        <f t="shared" si="2"/>
        <v>8.2605848505471077E-2</v>
      </c>
      <c r="AI47" s="105">
        <f t="shared" si="2"/>
        <v>2.0569692817917228E-2</v>
      </c>
      <c r="AJ47" s="105">
        <f t="shared" si="2"/>
        <v>0.11387153076359087</v>
      </c>
      <c r="AK47" s="105">
        <f t="shared" si="2"/>
        <v>1.6553845388064896E-3</v>
      </c>
      <c r="AL47" s="105">
        <f t="shared" si="2"/>
        <v>4.9576464193793093E-2</v>
      </c>
      <c r="AM47" s="105">
        <f t="shared" si="2"/>
        <v>1.6545798387988977E-3</v>
      </c>
      <c r="AN47" s="105">
        <f t="shared" si="2"/>
        <v>1</v>
      </c>
      <c r="AO47" s="105">
        <f t="shared" si="2"/>
        <v>2.8331679766576589E-4</v>
      </c>
    </row>
    <row r="48" spans="1:41" x14ac:dyDescent="0.2">
      <c r="A48" s="4"/>
      <c r="B48" s="4"/>
      <c r="C48" s="4" t="s">
        <v>122</v>
      </c>
      <c r="D48" s="7">
        <f t="shared" si="3"/>
        <v>8.5211051284314596</v>
      </c>
      <c r="E48" s="7">
        <f t="shared" si="3"/>
        <v>2.6869085430675212E-2</v>
      </c>
      <c r="F48" s="7">
        <f t="shared" si="3"/>
        <v>6.5323202025785978</v>
      </c>
      <c r="G48" s="7">
        <f t="shared" si="3"/>
        <v>5.945161472129854</v>
      </c>
      <c r="H48" s="7">
        <f t="shared" si="3"/>
        <v>1.2203208238229206</v>
      </c>
      <c r="I48" s="7">
        <f t="shared" si="3"/>
        <v>3.1539090412862252</v>
      </c>
      <c r="J48" s="7">
        <f t="shared" si="3"/>
        <v>0.1471477508211512</v>
      </c>
      <c r="K48" s="7">
        <f t="shared" si="3"/>
        <v>1.9510179254263544</v>
      </c>
      <c r="L48" s="7">
        <f t="shared" si="3"/>
        <v>0.12656023896916366</v>
      </c>
      <c r="M48" s="7">
        <f t="shared" si="3"/>
        <v>24.166075827175288</v>
      </c>
      <c r="N48" s="7">
        <f t="shared" si="3"/>
        <v>5.0735868904351514E-2</v>
      </c>
      <c r="O48" s="7">
        <f t="shared" si="3"/>
        <v>0.65329030238527519</v>
      </c>
      <c r="P48" s="4"/>
      <c r="Q48" s="4"/>
      <c r="R48" s="7">
        <f t="shared" si="4"/>
        <v>23.139383478968259</v>
      </c>
      <c r="S48" s="7">
        <f t="shared" si="4"/>
        <v>1.4335965577647054E-2</v>
      </c>
      <c r="T48" s="7">
        <f t="shared" si="1"/>
        <v>11.942394738034679</v>
      </c>
      <c r="U48" s="7">
        <f t="shared" si="1"/>
        <v>7.800265002355812</v>
      </c>
      <c r="V48" s="7">
        <f t="shared" si="1"/>
        <v>2.2869121298730768</v>
      </c>
      <c r="W48" s="7">
        <f t="shared" si="1"/>
        <v>9.5078766056866897</v>
      </c>
      <c r="X48" s="7">
        <f t="shared" si="1"/>
        <v>0.19625050422697077</v>
      </c>
      <c r="Y48" s="7">
        <f t="shared" si="1"/>
        <v>6.2182929376345433</v>
      </c>
      <c r="Z48" s="7">
        <f t="shared" si="1"/>
        <v>0.29939463359985496</v>
      </c>
      <c r="AA48" s="7">
        <f t="shared" si="1"/>
        <v>63.046604783883595</v>
      </c>
      <c r="AB48" s="7">
        <f t="shared" si="1"/>
        <v>4.2426953860875811E-2</v>
      </c>
      <c r="AE48" s="105">
        <f t="shared" si="5"/>
        <v>0.3670202948800711</v>
      </c>
      <c r="AF48" s="105">
        <f t="shared" si="2"/>
        <v>2.2738679785833148E-4</v>
      </c>
      <c r="AG48" s="105">
        <f t="shared" si="2"/>
        <v>0.18942169493459346</v>
      </c>
      <c r="AH48" s="105">
        <f t="shared" si="2"/>
        <v>0.12372220564603296</v>
      </c>
      <c r="AI48" s="105">
        <f t="shared" si="2"/>
        <v>3.6273359012945185E-2</v>
      </c>
      <c r="AJ48" s="105">
        <f t="shared" si="2"/>
        <v>0.15080711543910383</v>
      </c>
      <c r="AK48" s="105">
        <f t="shared" si="2"/>
        <v>3.1127846598511468E-3</v>
      </c>
      <c r="AL48" s="105">
        <f t="shared" si="2"/>
        <v>9.8630100049798497E-2</v>
      </c>
      <c r="AM48" s="105">
        <f t="shared" si="2"/>
        <v>4.7487828190930321E-3</v>
      </c>
      <c r="AN48" s="105">
        <f t="shared" si="2"/>
        <v>1</v>
      </c>
      <c r="AO48" s="105">
        <f t="shared" si="2"/>
        <v>6.7294589464905296E-4</v>
      </c>
    </row>
    <row r="49" spans="1:41" x14ac:dyDescent="0.2">
      <c r="A49" s="4"/>
      <c r="B49" s="4"/>
      <c r="C49" s="4" t="s">
        <v>123</v>
      </c>
      <c r="D49" s="7">
        <f t="shared" si="3"/>
        <v>5.4513902374437286</v>
      </c>
      <c r="E49" s="7">
        <f t="shared" si="3"/>
        <v>1.7912723620450141E-2</v>
      </c>
      <c r="F49" s="7">
        <f t="shared" si="3"/>
        <v>4.2667343117499152</v>
      </c>
      <c r="G49" s="7">
        <f t="shared" si="3"/>
        <v>4.6442202558755561</v>
      </c>
      <c r="H49" s="7">
        <f t="shared" si="3"/>
        <v>0.84675322469345504</v>
      </c>
      <c r="I49" s="7">
        <f t="shared" si="3"/>
        <v>2.8041447499007548</v>
      </c>
      <c r="J49" s="7">
        <f t="shared" si="3"/>
        <v>0.11616927696406672</v>
      </c>
      <c r="K49" s="7">
        <f t="shared" si="3"/>
        <v>1.1795127381855146</v>
      </c>
      <c r="L49" s="7">
        <f t="shared" si="3"/>
        <v>8.7282923427009426E-2</v>
      </c>
      <c r="M49" s="7">
        <f t="shared" si="3"/>
        <v>28.232707542773451</v>
      </c>
      <c r="N49" s="7">
        <f t="shared" si="3"/>
        <v>3.3823912602901018E-2</v>
      </c>
      <c r="O49" s="7">
        <f t="shared" si="3"/>
        <v>0.58136843423276774</v>
      </c>
      <c r="P49" s="4"/>
      <c r="Q49" s="4"/>
      <c r="R49" s="7">
        <f t="shared" si="4"/>
        <v>16.634811956097632</v>
      </c>
      <c r="S49" s="7">
        <f t="shared" si="4"/>
        <v>1.0739658061605014E-2</v>
      </c>
      <c r="T49" s="7">
        <f t="shared" si="1"/>
        <v>8.7654521057110539</v>
      </c>
      <c r="U49" s="7">
        <f t="shared" si="1"/>
        <v>6.8472041214130295</v>
      </c>
      <c r="V49" s="7">
        <f t="shared" si="1"/>
        <v>1.783146718558726</v>
      </c>
      <c r="W49" s="7">
        <f t="shared" si="1"/>
        <v>9.4992554012187806</v>
      </c>
      <c r="X49" s="7">
        <f t="shared" si="1"/>
        <v>0.17410177667449658</v>
      </c>
      <c r="Y49" s="7">
        <f t="shared" si="1"/>
        <v>4.2244222061912229</v>
      </c>
      <c r="Z49" s="7">
        <f t="shared" si="1"/>
        <v>0.23202285860209171</v>
      </c>
      <c r="AA49" s="7">
        <f t="shared" si="1"/>
        <v>82.768076582818438</v>
      </c>
      <c r="AB49" s="7">
        <f t="shared" si="1"/>
        <v>3.178376612258052E-2</v>
      </c>
      <c r="AE49" s="105">
        <f t="shared" si="5"/>
        <v>0.20098101397164519</v>
      </c>
      <c r="AF49" s="105">
        <f t="shared" si="2"/>
        <v>1.2975604248648717E-4</v>
      </c>
      <c r="AG49" s="105">
        <f t="shared" si="2"/>
        <v>0.10590377918158178</v>
      </c>
      <c r="AH49" s="105">
        <f t="shared" si="2"/>
        <v>8.2727597451919266E-2</v>
      </c>
      <c r="AI49" s="105">
        <f t="shared" si="2"/>
        <v>2.1543894604998996E-2</v>
      </c>
      <c r="AJ49" s="105">
        <f t="shared" si="2"/>
        <v>0.11476955601008494</v>
      </c>
      <c r="AK49" s="105">
        <f t="shared" si="2"/>
        <v>2.1034894594933453E-3</v>
      </c>
      <c r="AL49" s="105">
        <f t="shared" si="2"/>
        <v>5.10392699770452E-2</v>
      </c>
      <c r="AM49" s="105">
        <f t="shared" si="2"/>
        <v>2.8032892412321272E-3</v>
      </c>
      <c r="AN49" s="105">
        <f t="shared" si="2"/>
        <v>1</v>
      </c>
      <c r="AO49" s="105">
        <f t="shared" si="2"/>
        <v>3.8400996416507774E-4</v>
      </c>
    </row>
    <row r="50" spans="1:41" x14ac:dyDescent="0.2">
      <c r="A50" s="4"/>
      <c r="B50" s="77" t="s">
        <v>137</v>
      </c>
      <c r="C50" s="77" t="s">
        <v>124</v>
      </c>
      <c r="D50" s="78">
        <f t="shared" si="3"/>
        <v>7.7272133462794601</v>
      </c>
      <c r="E50" s="78">
        <f t="shared" si="3"/>
        <v>1.7912723620450141E-2</v>
      </c>
      <c r="F50" s="78">
        <f t="shared" si="3"/>
        <v>8.2904720295308234</v>
      </c>
      <c r="G50" s="78">
        <f t="shared" si="3"/>
        <v>7.6937383756974578</v>
      </c>
      <c r="H50" s="78">
        <f t="shared" si="3"/>
        <v>0.48148712776686658</v>
      </c>
      <c r="I50" s="78">
        <f t="shared" si="3"/>
        <v>4.866547985311632</v>
      </c>
      <c r="J50" s="78">
        <f t="shared" si="3"/>
        <v>0.12391389542833783</v>
      </c>
      <c r="K50" s="78">
        <f t="shared" si="3"/>
        <v>2.2774239661820936</v>
      </c>
      <c r="L50" s="78">
        <f t="shared" si="3"/>
        <v>8.2918777255658951E-2</v>
      </c>
      <c r="M50" s="78">
        <f t="shared" si="3"/>
        <v>21.268016443645564</v>
      </c>
      <c r="N50" s="78">
        <f t="shared" si="3"/>
        <v>5.0735868904351514E-2</v>
      </c>
      <c r="O50" s="78">
        <f t="shared" si="3"/>
        <v>0.88703637388092405</v>
      </c>
      <c r="P50" s="77"/>
      <c r="Q50" s="77"/>
      <c r="R50" s="78">
        <f t="shared" si="4"/>
        <v>15.454093867899148</v>
      </c>
      <c r="S50" s="78">
        <f t="shared" si="4"/>
        <v>7.0388299457816638E-3</v>
      </c>
      <c r="T50" s="78">
        <f t="shared" si="1"/>
        <v>11.162667741122366</v>
      </c>
      <c r="U50" s="78">
        <f t="shared" si="1"/>
        <v>7.4344338138510491</v>
      </c>
      <c r="V50" s="78">
        <f t="shared" si="1"/>
        <v>0.66454580276969999</v>
      </c>
      <c r="W50" s="78">
        <f t="shared" si="1"/>
        <v>10.804885404708003</v>
      </c>
      <c r="X50" s="78">
        <f t="shared" si="1"/>
        <v>0.12171439522469311</v>
      </c>
      <c r="Y50" s="78">
        <f t="shared" si="1"/>
        <v>5.3458723813602074</v>
      </c>
      <c r="Z50" s="78">
        <f t="shared" si="1"/>
        <v>0.14446558392015371</v>
      </c>
      <c r="AA50" s="78">
        <f t="shared" si="1"/>
        <v>40.864608242154681</v>
      </c>
      <c r="AB50" s="78">
        <f t="shared" si="1"/>
        <v>3.1246878181320704E-2</v>
      </c>
      <c r="AE50" s="105">
        <f t="shared" si="5"/>
        <v>0.37817795233277623</v>
      </c>
      <c r="AF50" s="105">
        <f t="shared" si="2"/>
        <v>1.722475816743698E-4</v>
      </c>
      <c r="AG50" s="105">
        <f t="shared" si="2"/>
        <v>0.27316223552113489</v>
      </c>
      <c r="AH50" s="105">
        <f t="shared" si="2"/>
        <v>0.18192842495384343</v>
      </c>
      <c r="AI50" s="105">
        <f t="shared" si="2"/>
        <v>1.626213565615869E-2</v>
      </c>
      <c r="AJ50" s="105">
        <f t="shared" si="2"/>
        <v>0.26440692495277646</v>
      </c>
      <c r="AK50" s="105">
        <f t="shared" si="2"/>
        <v>2.9784794339258163E-3</v>
      </c>
      <c r="AL50" s="105">
        <f t="shared" si="2"/>
        <v>0.13081912714497942</v>
      </c>
      <c r="AM50" s="105">
        <f t="shared" si="2"/>
        <v>3.5352249815802082E-3</v>
      </c>
      <c r="AN50" s="105">
        <f t="shared" si="2"/>
        <v>1</v>
      </c>
      <c r="AO50" s="105">
        <f t="shared" si="2"/>
        <v>7.646440165572756E-4</v>
      </c>
    </row>
    <row r="51" spans="1:41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4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4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4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4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4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4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4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4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C5BE-EACA-B047-BCCE-D9D7E57B1EF0}">
  <dimension ref="A1:BG75"/>
  <sheetViews>
    <sheetView topLeftCell="A17" workbookViewId="0">
      <selection activeCell="R59" sqref="R59"/>
    </sheetView>
  </sheetViews>
  <sheetFormatPr baseColWidth="10" defaultColWidth="11" defaultRowHeight="15.75" customHeight="1" x14ac:dyDescent="0.15"/>
  <cols>
    <col min="1" max="1" width="22" style="117" bestFit="1" customWidth="1"/>
    <col min="2" max="2" width="17" style="117" customWidth="1"/>
    <col min="3" max="3" width="10" style="117" bestFit="1" customWidth="1"/>
    <col min="4" max="4" width="17.83203125" style="117" bestFit="1" customWidth="1"/>
    <col min="5" max="8" width="8.6640625" style="117" bestFit="1" customWidth="1"/>
    <col min="9" max="9" width="3.83203125" style="117" bestFit="1" customWidth="1"/>
    <col min="10" max="10" width="8.83203125" style="117" bestFit="1" customWidth="1"/>
    <col min="11" max="11" width="6.83203125" style="117" bestFit="1" customWidth="1"/>
    <col min="12" max="13" width="8.6640625" style="117" bestFit="1" customWidth="1"/>
    <col min="14" max="14" width="11.1640625" style="117" customWidth="1"/>
    <col min="15" max="15" width="23.83203125" style="117" bestFit="1" customWidth="1"/>
    <col min="16" max="16" width="19" style="117" customWidth="1"/>
    <col min="17" max="17" width="17" style="117" customWidth="1"/>
    <col min="18" max="18" width="13.83203125" style="117" customWidth="1"/>
    <col min="19" max="35" width="11.1640625" style="117" customWidth="1"/>
    <col min="36" max="36" width="4.83203125" style="117" customWidth="1"/>
    <col min="37" max="37" width="5.6640625" style="117" customWidth="1"/>
    <col min="38" max="38" width="19.83203125" style="117" customWidth="1"/>
    <col min="39" max="39" width="14.33203125" style="117" customWidth="1"/>
    <col min="40" max="40" width="16.6640625" style="117" customWidth="1"/>
    <col min="41" max="41" width="8.1640625" style="117" bestFit="1" customWidth="1"/>
    <col min="42" max="42" width="22.6640625" style="117" bestFit="1" customWidth="1"/>
    <col min="43" max="43" width="7.33203125" style="117" bestFit="1" customWidth="1"/>
    <col min="44" max="44" width="11.83203125" style="117" bestFit="1" customWidth="1"/>
    <col min="45" max="45" width="17.33203125" style="117" customWidth="1"/>
    <col min="46" max="46" width="12" style="117" bestFit="1" customWidth="1"/>
    <col min="47" max="47" width="8" style="117" bestFit="1" customWidth="1"/>
    <col min="48" max="48" width="11.33203125" style="117" bestFit="1" customWidth="1"/>
    <col min="49" max="49" width="12.83203125" style="117" bestFit="1" customWidth="1"/>
    <col min="50" max="50" width="17.1640625" style="123" bestFit="1" customWidth="1"/>
    <col min="51" max="51" width="24.33203125" style="117" bestFit="1" customWidth="1"/>
    <col min="52" max="52" width="8.5" style="117" bestFit="1" customWidth="1"/>
    <col min="53" max="53" width="19.83203125" style="117" bestFit="1" customWidth="1"/>
    <col min="54" max="54" width="7.5" style="117" bestFit="1" customWidth="1"/>
    <col min="55" max="55" width="8.1640625" style="117" bestFit="1" customWidth="1"/>
    <col min="56" max="56" width="14.1640625" style="117" bestFit="1" customWidth="1"/>
    <col min="57" max="57" width="20.5" style="117" bestFit="1" customWidth="1"/>
    <col min="58" max="58" width="14.6640625" style="117" bestFit="1" customWidth="1"/>
    <col min="59" max="16384" width="11" style="117"/>
  </cols>
  <sheetData>
    <row r="1" spans="1:51" ht="13" x14ac:dyDescent="0.15">
      <c r="AL1" s="118" t="s">
        <v>138</v>
      </c>
      <c r="AM1" s="119"/>
      <c r="AN1" s="119"/>
      <c r="AX1" s="117"/>
      <c r="AY1" s="123"/>
    </row>
    <row r="2" spans="1:51" ht="13" x14ac:dyDescent="0.15">
      <c r="A2" s="131" t="s">
        <v>356</v>
      </c>
      <c r="B2" s="132" t="s">
        <v>139</v>
      </c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53" t="s">
        <v>75</v>
      </c>
      <c r="P2" s="153"/>
      <c r="Q2" s="153"/>
      <c r="R2" s="153" t="s">
        <v>364</v>
      </c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67" t="s">
        <v>365</v>
      </c>
      <c r="AJ2" s="162"/>
      <c r="AL2" s="120" t="s">
        <v>140</v>
      </c>
      <c r="AM2" s="121"/>
      <c r="AN2" s="122"/>
      <c r="AO2" s="118"/>
      <c r="AP2" s="118" t="s">
        <v>141</v>
      </c>
      <c r="AQ2" s="118"/>
      <c r="AR2" s="118"/>
      <c r="AS2" s="118" t="s">
        <v>142</v>
      </c>
      <c r="AT2" s="118"/>
      <c r="AU2" s="118"/>
      <c r="AV2" s="118" t="s">
        <v>143</v>
      </c>
      <c r="AW2" s="118"/>
      <c r="AX2" s="118"/>
      <c r="AY2" s="122"/>
    </row>
    <row r="3" spans="1:51" ht="13" x14ac:dyDescent="0.15">
      <c r="A3" s="134"/>
      <c r="B3" s="135"/>
      <c r="C3" s="135" t="s">
        <v>363</v>
      </c>
      <c r="D3" s="135"/>
      <c r="E3" s="135" t="s">
        <v>65</v>
      </c>
      <c r="F3" s="135" t="s">
        <v>68</v>
      </c>
      <c r="G3" s="135" t="s">
        <v>64</v>
      </c>
      <c r="H3" s="135" t="s">
        <v>63</v>
      </c>
      <c r="I3" s="135" t="s">
        <v>145</v>
      </c>
      <c r="J3" s="135" t="s">
        <v>62</v>
      </c>
      <c r="K3" s="135" t="s">
        <v>146</v>
      </c>
      <c r="L3" s="135" t="s">
        <v>147</v>
      </c>
      <c r="M3" s="135" t="s">
        <v>148</v>
      </c>
      <c r="N3" s="135"/>
      <c r="O3" s="154"/>
      <c r="P3" s="154"/>
      <c r="Q3" s="154"/>
      <c r="R3" s="154" t="s">
        <v>366</v>
      </c>
      <c r="S3" s="154"/>
      <c r="T3" s="154"/>
      <c r="U3" s="154"/>
      <c r="V3" s="154"/>
      <c r="W3" s="154"/>
      <c r="X3" s="154"/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68" t="s">
        <v>367</v>
      </c>
      <c r="AJ3" s="150"/>
      <c r="AL3" s="118"/>
      <c r="AM3" s="118"/>
      <c r="AN3" s="122" t="s">
        <v>149</v>
      </c>
      <c r="AO3" s="118"/>
      <c r="AP3" s="122" t="s">
        <v>150</v>
      </c>
      <c r="AQ3" s="122"/>
      <c r="AR3" s="122" t="s">
        <v>151</v>
      </c>
      <c r="AS3" s="122"/>
      <c r="AT3" s="122" t="s">
        <v>152</v>
      </c>
      <c r="AU3" s="122"/>
      <c r="AV3" s="122" t="s">
        <v>153</v>
      </c>
      <c r="AW3" s="122" t="s">
        <v>11</v>
      </c>
      <c r="AX3" s="122" t="s">
        <v>11</v>
      </c>
      <c r="AY3" s="122" t="s">
        <v>11</v>
      </c>
    </row>
    <row r="4" spans="1:51" ht="13" x14ac:dyDescent="0.15">
      <c r="B4" s="123" t="s">
        <v>109</v>
      </c>
      <c r="C4" s="123">
        <v>1</v>
      </c>
      <c r="D4" s="123"/>
      <c r="E4" s="124">
        <v>1.2200100000000001E-7</v>
      </c>
      <c r="F4" s="123"/>
      <c r="G4" s="124">
        <v>1.3256099999999999E-7</v>
      </c>
      <c r="H4" s="124">
        <v>2.7762099999999999E-7</v>
      </c>
      <c r="I4" s="123"/>
      <c r="J4" s="124">
        <v>4.8917199999999998E-7</v>
      </c>
      <c r="K4" s="123"/>
      <c r="L4" s="124">
        <v>2.88998E-7</v>
      </c>
      <c r="M4" s="124">
        <v>1.7857299999999999E-8</v>
      </c>
      <c r="N4" s="124"/>
      <c r="O4" s="155"/>
      <c r="P4" s="155"/>
      <c r="Q4" s="155"/>
      <c r="R4" s="159" t="s">
        <v>368</v>
      </c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  <c r="AH4" s="155"/>
      <c r="AI4" s="155"/>
      <c r="AJ4" s="124"/>
      <c r="AL4" s="125" t="s">
        <v>128</v>
      </c>
      <c r="AM4" s="125" t="s">
        <v>144</v>
      </c>
      <c r="AN4" s="125" t="s">
        <v>154</v>
      </c>
      <c r="AO4" s="125" t="s">
        <v>155</v>
      </c>
      <c r="AP4" s="125" t="s">
        <v>154</v>
      </c>
      <c r="AQ4" s="125" t="s">
        <v>155</v>
      </c>
      <c r="AR4" s="125" t="s">
        <v>154</v>
      </c>
      <c r="AS4" s="125" t="s">
        <v>155</v>
      </c>
      <c r="AT4" s="125" t="s">
        <v>154</v>
      </c>
      <c r="AU4" s="125" t="s">
        <v>155</v>
      </c>
      <c r="AV4" s="125"/>
      <c r="AW4" s="125" t="s">
        <v>360</v>
      </c>
      <c r="AX4" s="125" t="s">
        <v>361</v>
      </c>
      <c r="AY4" s="125" t="s">
        <v>359</v>
      </c>
    </row>
    <row r="5" spans="1:51" ht="13" x14ac:dyDescent="0.15">
      <c r="B5" s="123" t="s">
        <v>110</v>
      </c>
      <c r="C5" s="123">
        <v>2</v>
      </c>
      <c r="D5" s="123"/>
      <c r="E5" s="124">
        <v>1.1765799999999999E-7</v>
      </c>
      <c r="F5" s="124">
        <v>1.7591500000000001E-9</v>
      </c>
      <c r="G5" s="124">
        <v>1.7839700000000001E-7</v>
      </c>
      <c r="H5" s="124">
        <v>2.7485299999999998E-7</v>
      </c>
      <c r="I5" s="123"/>
      <c r="J5" s="124">
        <v>4.7432500000000001E-7</v>
      </c>
      <c r="K5" s="123"/>
      <c r="L5" s="124">
        <v>3.7077500000000001E-7</v>
      </c>
      <c r="M5" s="124">
        <v>1.4575599999999999E-8</v>
      </c>
      <c r="N5" s="124"/>
      <c r="O5" s="155"/>
      <c r="P5" s="155"/>
      <c r="Q5" s="155"/>
      <c r="R5" s="159" t="s">
        <v>369</v>
      </c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24"/>
      <c r="AL5" s="123" t="s">
        <v>109</v>
      </c>
      <c r="AM5" s="123">
        <v>1</v>
      </c>
      <c r="AN5" s="123">
        <v>45.021700000000003</v>
      </c>
      <c r="AO5" s="123">
        <v>0</v>
      </c>
      <c r="AP5" s="123">
        <v>65.147300000000001</v>
      </c>
      <c r="AQ5" s="123">
        <v>4.1999999999999997E-3</v>
      </c>
      <c r="AR5" s="123">
        <v>46.098100000000002</v>
      </c>
      <c r="AS5" s="123">
        <v>3.8999999999999998E-3</v>
      </c>
      <c r="AT5" s="123">
        <v>47.121400000000001</v>
      </c>
      <c r="AU5" s="123">
        <v>4.4000000000000003E-3</v>
      </c>
      <c r="AV5" s="126">
        <v>0.50624999999999998</v>
      </c>
      <c r="AW5" s="123">
        <v>1.0764</v>
      </c>
      <c r="AX5" s="123">
        <f>AT5-AR5</f>
        <v>1.023299999999999</v>
      </c>
      <c r="AY5" s="123">
        <f>AP5-AT5</f>
        <v>18.0259</v>
      </c>
    </row>
    <row r="6" spans="1:51" ht="13" x14ac:dyDescent="0.15">
      <c r="B6" s="123" t="s">
        <v>111</v>
      </c>
      <c r="C6" s="123">
        <v>4</v>
      </c>
      <c r="D6" s="123"/>
      <c r="E6" s="124">
        <v>1.6678199999999999E-7</v>
      </c>
      <c r="F6" s="123"/>
      <c r="G6" s="124">
        <v>1.35763E-7</v>
      </c>
      <c r="H6" s="124">
        <v>3.2759300000000001E-7</v>
      </c>
      <c r="I6" s="123"/>
      <c r="J6" s="124">
        <v>5.0026099999999998E-7</v>
      </c>
      <c r="K6" s="123"/>
      <c r="L6" s="124">
        <v>3.8149600000000002E-7</v>
      </c>
      <c r="M6" s="124">
        <v>2.01936E-8</v>
      </c>
      <c r="N6" s="124"/>
      <c r="O6" s="161" t="s">
        <v>370</v>
      </c>
      <c r="P6" s="161"/>
      <c r="Q6" s="161"/>
      <c r="R6" s="159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24"/>
      <c r="AL6" s="123" t="s">
        <v>110</v>
      </c>
      <c r="AM6" s="123">
        <v>2</v>
      </c>
      <c r="AN6" s="123">
        <v>42.180999999999997</v>
      </c>
      <c r="AO6" s="123">
        <v>0</v>
      </c>
      <c r="AP6" s="123">
        <v>62.151299999999999</v>
      </c>
      <c r="AQ6" s="123">
        <v>1.6000000000000001E-3</v>
      </c>
      <c r="AR6" s="123">
        <v>43.149500000000003</v>
      </c>
      <c r="AS6" s="123">
        <v>2.3999999999999998E-3</v>
      </c>
      <c r="AT6" s="123">
        <v>44.221899999999998</v>
      </c>
      <c r="AU6" s="123">
        <v>2.8E-3</v>
      </c>
      <c r="AV6" s="126">
        <v>0.51111111111111107</v>
      </c>
      <c r="AW6" s="123">
        <v>0.96850000000000003</v>
      </c>
      <c r="AX6" s="123">
        <f t="shared" ref="AX6:AX19" si="0">AT6-AR6</f>
        <v>1.0723999999999947</v>
      </c>
      <c r="AY6" s="123">
        <f t="shared" ref="AY6:AY19" si="1">AP6-AT6</f>
        <v>17.929400000000001</v>
      </c>
    </row>
    <row r="7" spans="1:51" ht="13" x14ac:dyDescent="0.15">
      <c r="B7" s="123" t="s">
        <v>112</v>
      </c>
      <c r="C7" s="123">
        <v>7</v>
      </c>
      <c r="D7" s="123"/>
      <c r="E7" s="124">
        <v>1.3701699999999999E-7</v>
      </c>
      <c r="F7" s="123"/>
      <c r="G7" s="124">
        <v>1.6302199999999999E-7</v>
      </c>
      <c r="H7" s="124">
        <v>3.42937E-7</v>
      </c>
      <c r="I7" s="123"/>
      <c r="J7" s="124">
        <v>4.8625199999999995E-7</v>
      </c>
      <c r="K7" s="123"/>
      <c r="L7" s="124">
        <v>4.2246900000000002E-7</v>
      </c>
      <c r="M7" s="124">
        <v>2.12638E-8</v>
      </c>
      <c r="N7" s="124"/>
      <c r="O7" s="161" t="s">
        <v>371</v>
      </c>
      <c r="P7" s="161"/>
      <c r="Q7" s="161"/>
      <c r="R7" s="159" t="s">
        <v>372</v>
      </c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24"/>
      <c r="AL7" s="123" t="s">
        <v>111</v>
      </c>
      <c r="AM7" s="123">
        <v>4</v>
      </c>
      <c r="AN7" s="123">
        <v>44.6952</v>
      </c>
      <c r="AO7" s="123">
        <v>0</v>
      </c>
      <c r="AP7" s="123">
        <v>64.794200000000004</v>
      </c>
      <c r="AQ7" s="123">
        <v>5.9999999999999995E-4</v>
      </c>
      <c r="AR7" s="123">
        <v>45.7318</v>
      </c>
      <c r="AS7" s="123">
        <v>1.1999999999999999E-3</v>
      </c>
      <c r="AT7" s="123">
        <v>46.775199999999998</v>
      </c>
      <c r="AU7" s="123">
        <v>8.9999999999999998E-4</v>
      </c>
      <c r="AV7" s="126">
        <v>0.51458333333333328</v>
      </c>
      <c r="AW7" s="123">
        <v>1.0366</v>
      </c>
      <c r="AX7" s="123">
        <f t="shared" si="0"/>
        <v>1.0433999999999983</v>
      </c>
      <c r="AY7" s="123">
        <f t="shared" si="1"/>
        <v>18.019000000000005</v>
      </c>
    </row>
    <row r="8" spans="1:51" ht="13" x14ac:dyDescent="0.15">
      <c r="B8" s="123" t="s">
        <v>113</v>
      </c>
      <c r="C8" s="123">
        <v>10</v>
      </c>
      <c r="D8" s="123"/>
      <c r="E8" s="124">
        <v>1.48509E-7</v>
      </c>
      <c r="F8" s="124">
        <v>1.74721E-9</v>
      </c>
      <c r="G8" s="124">
        <v>1.4224799999999999E-7</v>
      </c>
      <c r="H8" s="124">
        <v>3.41234E-7</v>
      </c>
      <c r="I8" s="123"/>
      <c r="J8" s="124">
        <v>5.2203499999999995E-7</v>
      </c>
      <c r="K8" s="123"/>
      <c r="L8" s="124">
        <v>4.1342299999999998E-7</v>
      </c>
      <c r="M8" s="124">
        <v>1.8931100000000001E-8</v>
      </c>
      <c r="N8" s="124"/>
      <c r="O8" s="161" t="s">
        <v>373</v>
      </c>
      <c r="P8" s="161"/>
      <c r="Q8" s="161"/>
      <c r="R8" s="159" t="s">
        <v>374</v>
      </c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24"/>
      <c r="AL8" s="123" t="s">
        <v>112</v>
      </c>
      <c r="AM8" s="123">
        <v>7</v>
      </c>
      <c r="AN8" s="123">
        <v>44.854900000000001</v>
      </c>
      <c r="AO8" s="123">
        <v>0</v>
      </c>
      <c r="AP8" s="123">
        <v>64.927300000000002</v>
      </c>
      <c r="AQ8" s="123">
        <v>1.5E-3</v>
      </c>
      <c r="AR8" s="123">
        <v>45.8553</v>
      </c>
      <c r="AS8" s="123">
        <v>1.6999999999999999E-3</v>
      </c>
      <c r="AT8" s="123">
        <v>46.8568</v>
      </c>
      <c r="AU8" s="123">
        <v>1.6999999999999999E-3</v>
      </c>
      <c r="AV8" s="126">
        <v>0.51875000000000004</v>
      </c>
      <c r="AW8" s="123">
        <v>1.0004</v>
      </c>
      <c r="AX8" s="123">
        <f t="shared" si="0"/>
        <v>1.0015000000000001</v>
      </c>
      <c r="AY8" s="123">
        <f t="shared" si="1"/>
        <v>18.070500000000003</v>
      </c>
    </row>
    <row r="9" spans="1:51" ht="13" x14ac:dyDescent="0.15">
      <c r="B9" s="123" t="s">
        <v>114</v>
      </c>
      <c r="C9" s="123">
        <v>14</v>
      </c>
      <c r="D9" s="123"/>
      <c r="E9" s="124">
        <v>2.1943900000000001E-7</v>
      </c>
      <c r="F9" s="123"/>
      <c r="G9" s="124">
        <v>2.0994199999999999E-7</v>
      </c>
      <c r="H9" s="124">
        <v>4.6236000000000002E-7</v>
      </c>
      <c r="I9" s="123"/>
      <c r="J9" s="124">
        <v>5.1431499999999998E-7</v>
      </c>
      <c r="K9" s="123"/>
      <c r="L9" s="124">
        <v>4.38396E-7</v>
      </c>
      <c r="M9" s="124">
        <v>2.8996699999999999E-8</v>
      </c>
      <c r="N9" s="124"/>
      <c r="O9" s="161" t="s">
        <v>375</v>
      </c>
      <c r="P9" s="161"/>
      <c r="Q9" s="161"/>
      <c r="R9" s="159" t="s">
        <v>376</v>
      </c>
      <c r="S9" s="155" t="s">
        <v>377</v>
      </c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24"/>
      <c r="AL9" s="123" t="s">
        <v>113</v>
      </c>
      <c r="AM9" s="123">
        <v>10</v>
      </c>
      <c r="AN9" s="123">
        <v>43.945300000000003</v>
      </c>
      <c r="AO9" s="123">
        <v>0</v>
      </c>
      <c r="AP9" s="123">
        <v>63.973399999999998</v>
      </c>
      <c r="AQ9" s="123">
        <v>2.3E-3</v>
      </c>
      <c r="AR9" s="123">
        <v>44.979300000000002</v>
      </c>
      <c r="AS9" s="123">
        <v>3.3E-3</v>
      </c>
      <c r="AT9" s="123">
        <v>45.971299999999999</v>
      </c>
      <c r="AU9" s="123">
        <v>2.5999999999999999E-3</v>
      </c>
      <c r="AV9" s="126">
        <v>0.52152777777777781</v>
      </c>
      <c r="AW9" s="123">
        <v>1.034</v>
      </c>
      <c r="AX9" s="123">
        <f t="shared" si="0"/>
        <v>0.99199999999999733</v>
      </c>
      <c r="AY9" s="123">
        <f t="shared" si="1"/>
        <v>18.002099999999999</v>
      </c>
    </row>
    <row r="10" spans="1:51" ht="13" x14ac:dyDescent="0.15">
      <c r="B10" s="123" t="s">
        <v>115</v>
      </c>
      <c r="C10" s="123">
        <v>18</v>
      </c>
      <c r="D10" s="123"/>
      <c r="E10" s="124">
        <v>2.18308E-7</v>
      </c>
      <c r="F10" s="123"/>
      <c r="G10" s="124">
        <v>1.5086199999999999E-7</v>
      </c>
      <c r="H10" s="124">
        <v>4.7323299999999999E-7</v>
      </c>
      <c r="I10" s="123"/>
      <c r="J10" s="124">
        <v>5.3451600000000005E-7</v>
      </c>
      <c r="K10" s="123"/>
      <c r="L10" s="124">
        <v>4.6903800000000002E-7</v>
      </c>
      <c r="M10" s="124">
        <v>2.91713E-8</v>
      </c>
      <c r="N10" s="124"/>
      <c r="O10" s="155"/>
      <c r="P10" s="155"/>
      <c r="Q10" s="155"/>
      <c r="R10" s="175">
        <v>6.94</v>
      </c>
      <c r="S10" s="175">
        <v>47.866999999999997</v>
      </c>
      <c r="T10" s="175">
        <v>51.996000000000002</v>
      </c>
      <c r="U10" s="175">
        <v>54.938000000000002</v>
      </c>
      <c r="V10" s="175">
        <v>55.844999999999999</v>
      </c>
      <c r="W10" s="175">
        <v>58.933</v>
      </c>
      <c r="X10" s="175">
        <v>58.692999999999998</v>
      </c>
      <c r="Y10" s="175">
        <v>63.545999999999999</v>
      </c>
      <c r="Z10" s="175">
        <v>65.38</v>
      </c>
      <c r="AA10" s="175">
        <v>85.468000000000004</v>
      </c>
      <c r="AB10" s="175">
        <v>87.62</v>
      </c>
      <c r="AC10" s="175">
        <v>91.224000000000004</v>
      </c>
      <c r="AD10" s="175">
        <v>95.95</v>
      </c>
      <c r="AE10" s="175">
        <v>112.41</v>
      </c>
      <c r="AF10" s="175">
        <v>137.33000000000001</v>
      </c>
      <c r="AG10" s="175">
        <v>207.2</v>
      </c>
      <c r="AH10" s="175">
        <v>232.04</v>
      </c>
      <c r="AI10" s="175">
        <v>238.03</v>
      </c>
      <c r="AJ10" s="124"/>
      <c r="AL10" s="123" t="s">
        <v>114</v>
      </c>
      <c r="AM10" s="123">
        <v>14</v>
      </c>
      <c r="AN10" s="123">
        <v>40.434699999999999</v>
      </c>
      <c r="AO10" s="123">
        <v>0</v>
      </c>
      <c r="AP10" s="123">
        <v>60.418100000000003</v>
      </c>
      <c r="AQ10" s="123">
        <v>1.6999999999999999E-3</v>
      </c>
      <c r="AR10" s="123">
        <v>41.447899999999997</v>
      </c>
      <c r="AS10" s="123">
        <v>1.9E-3</v>
      </c>
      <c r="AT10" s="123">
        <v>42.463900000000002</v>
      </c>
      <c r="AU10" s="123">
        <v>1.6000000000000001E-3</v>
      </c>
      <c r="AV10" s="126">
        <v>0.52500000000000002</v>
      </c>
      <c r="AW10" s="123">
        <v>1.0132000000000001</v>
      </c>
      <c r="AX10" s="123">
        <f t="shared" si="0"/>
        <v>1.0160000000000053</v>
      </c>
      <c r="AY10" s="123">
        <f t="shared" si="1"/>
        <v>17.9542</v>
      </c>
    </row>
    <row r="11" spans="1:51" ht="13" x14ac:dyDescent="0.15">
      <c r="B11" s="123" t="s">
        <v>116</v>
      </c>
      <c r="C11" s="123">
        <v>18</v>
      </c>
      <c r="D11" s="123"/>
      <c r="E11" s="124">
        <v>3.01782E-7</v>
      </c>
      <c r="F11" s="123"/>
      <c r="G11" s="124">
        <v>8.9809499999999994E-8</v>
      </c>
      <c r="H11" s="124">
        <v>1.44472E-7</v>
      </c>
      <c r="I11" s="123"/>
      <c r="J11" s="124">
        <v>3.6911600000000001E-7</v>
      </c>
      <c r="K11" s="123"/>
      <c r="L11" s="124">
        <v>3.5771100000000002E-7</v>
      </c>
      <c r="M11" s="124">
        <v>3.1169699999999998E-8</v>
      </c>
      <c r="N11" s="124"/>
      <c r="O11" s="165" t="s">
        <v>378</v>
      </c>
      <c r="P11" s="165"/>
      <c r="Q11" s="165"/>
      <c r="R11" s="164" t="s">
        <v>379</v>
      </c>
      <c r="S11" s="164" t="s">
        <v>69</v>
      </c>
      <c r="T11" s="164" t="s">
        <v>380</v>
      </c>
      <c r="U11" s="164" t="s">
        <v>145</v>
      </c>
      <c r="V11" s="164" t="s">
        <v>68</v>
      </c>
      <c r="W11" s="164" t="s">
        <v>381</v>
      </c>
      <c r="X11" s="164" t="s">
        <v>382</v>
      </c>
      <c r="Y11" s="164" t="s">
        <v>383</v>
      </c>
      <c r="Z11" s="164" t="s">
        <v>384</v>
      </c>
      <c r="AA11" s="164" t="s">
        <v>385</v>
      </c>
      <c r="AB11" s="164" t="s">
        <v>148</v>
      </c>
      <c r="AC11" s="164" t="s">
        <v>386</v>
      </c>
      <c r="AD11" s="164" t="s">
        <v>387</v>
      </c>
      <c r="AE11" s="164" t="s">
        <v>388</v>
      </c>
      <c r="AF11" s="164" t="s">
        <v>389</v>
      </c>
      <c r="AG11" s="164" t="s">
        <v>390</v>
      </c>
      <c r="AH11" s="164" t="s">
        <v>391</v>
      </c>
      <c r="AI11" s="164" t="s">
        <v>392</v>
      </c>
      <c r="AJ11" s="124"/>
      <c r="AL11" s="123" t="s">
        <v>115</v>
      </c>
      <c r="AM11" s="123">
        <v>18</v>
      </c>
      <c r="AN11" s="123">
        <v>42.671799999999998</v>
      </c>
      <c r="AO11" s="123">
        <v>0</v>
      </c>
      <c r="AP11" s="123">
        <v>62.701099999999997</v>
      </c>
      <c r="AQ11" s="123">
        <v>0</v>
      </c>
      <c r="AR11" s="123">
        <v>43.691000000000003</v>
      </c>
      <c r="AS11" s="123">
        <v>0</v>
      </c>
      <c r="AT11" s="123">
        <v>44.697000000000003</v>
      </c>
      <c r="AU11" s="123">
        <v>0</v>
      </c>
      <c r="AV11" s="126">
        <v>0.52916666666666667</v>
      </c>
      <c r="AW11" s="123">
        <v>1.0192000000000001</v>
      </c>
      <c r="AX11" s="123">
        <f t="shared" si="0"/>
        <v>1.0060000000000002</v>
      </c>
      <c r="AY11" s="123">
        <f t="shared" si="1"/>
        <v>18.004099999999994</v>
      </c>
    </row>
    <row r="12" spans="1:51" ht="13" x14ac:dyDescent="0.15">
      <c r="O12" s="158"/>
      <c r="P12" s="158"/>
      <c r="Q12" s="158"/>
      <c r="R12" s="155" t="s">
        <v>393</v>
      </c>
      <c r="S12" s="155" t="s">
        <v>393</v>
      </c>
      <c r="T12" s="155" t="s">
        <v>393</v>
      </c>
      <c r="U12" s="155" t="s">
        <v>393</v>
      </c>
      <c r="V12" s="155" t="s">
        <v>393</v>
      </c>
      <c r="W12" s="155" t="s">
        <v>393</v>
      </c>
      <c r="X12" s="155" t="s">
        <v>393</v>
      </c>
      <c r="Y12" s="155" t="s">
        <v>393</v>
      </c>
      <c r="Z12" s="155" t="s">
        <v>393</v>
      </c>
      <c r="AA12" s="155" t="s">
        <v>393</v>
      </c>
      <c r="AB12" s="155" t="s">
        <v>393</v>
      </c>
      <c r="AC12" s="155" t="s">
        <v>393</v>
      </c>
      <c r="AD12" s="155" t="s">
        <v>393</v>
      </c>
      <c r="AE12" s="155" t="s">
        <v>393</v>
      </c>
      <c r="AF12" s="155" t="s">
        <v>393</v>
      </c>
      <c r="AG12" s="155" t="s">
        <v>393</v>
      </c>
      <c r="AH12" s="155" t="s">
        <v>393</v>
      </c>
      <c r="AI12" s="155" t="s">
        <v>393</v>
      </c>
      <c r="AL12" s="123" t="s">
        <v>116</v>
      </c>
      <c r="AM12" s="123">
        <v>18</v>
      </c>
      <c r="AN12" s="123">
        <v>42.6188</v>
      </c>
      <c r="AO12" s="123">
        <v>0</v>
      </c>
      <c r="AP12" s="123">
        <v>61.681800000000003</v>
      </c>
      <c r="AQ12" s="123">
        <v>0</v>
      </c>
      <c r="AR12" s="123">
        <v>43.6873</v>
      </c>
      <c r="AS12" s="123">
        <v>0</v>
      </c>
      <c r="AT12" s="123" t="s">
        <v>156</v>
      </c>
      <c r="AU12" s="123" t="s">
        <v>156</v>
      </c>
      <c r="AV12" s="126">
        <v>0.53194444444444444</v>
      </c>
      <c r="AW12" s="123">
        <v>1.0685</v>
      </c>
      <c r="AX12" s="123" t="s">
        <v>5</v>
      </c>
      <c r="AY12" s="123">
        <f>AP12-AR12</f>
        <v>17.994500000000002</v>
      </c>
    </row>
    <row r="13" spans="1:51" ht="13" x14ac:dyDescent="0.15">
      <c r="O13" s="166" t="s">
        <v>394</v>
      </c>
      <c r="P13" s="166"/>
      <c r="Q13" s="166"/>
      <c r="R13" s="155">
        <v>0.05</v>
      </c>
      <c r="S13" s="155">
        <v>7.0000000000000007E-2</v>
      </c>
      <c r="T13" s="155">
        <v>0.05</v>
      </c>
      <c r="U13" s="155">
        <v>0.05</v>
      </c>
      <c r="V13" s="155">
        <v>0.25</v>
      </c>
      <c r="W13" s="155">
        <v>0.05</v>
      </c>
      <c r="X13" s="155">
        <v>0.05</v>
      </c>
      <c r="Y13" s="155">
        <v>0.05</v>
      </c>
      <c r="Z13" s="155">
        <v>0.19</v>
      </c>
      <c r="AA13" s="155">
        <v>0.05</v>
      </c>
      <c r="AB13" s="155">
        <v>0.05</v>
      </c>
      <c r="AC13" s="155">
        <v>0.05</v>
      </c>
      <c r="AD13" s="155">
        <v>0.05</v>
      </c>
      <c r="AE13" s="155">
        <v>0.05</v>
      </c>
      <c r="AF13" s="155">
        <v>0.05</v>
      </c>
      <c r="AG13" s="155">
        <v>0.05</v>
      </c>
      <c r="AH13" s="155">
        <v>0.05</v>
      </c>
      <c r="AI13" s="155">
        <v>0.05</v>
      </c>
      <c r="AL13" s="123" t="s">
        <v>117</v>
      </c>
      <c r="AM13" s="123">
        <v>1</v>
      </c>
      <c r="AN13" s="123">
        <v>43.767000000000003</v>
      </c>
      <c r="AO13" s="123">
        <v>0</v>
      </c>
      <c r="AP13" s="123">
        <v>63.801600000000001</v>
      </c>
      <c r="AQ13" s="123">
        <v>2.5499999999999998E-2</v>
      </c>
      <c r="AR13" s="123">
        <v>44.781999999999996</v>
      </c>
      <c r="AS13" s="123">
        <v>1.1999999999999999E-3</v>
      </c>
      <c r="AT13" s="123">
        <v>45.788499999999999</v>
      </c>
      <c r="AU13" s="123">
        <v>1.1999999999999999E-3</v>
      </c>
      <c r="AV13" s="126">
        <v>0.45277777777777778</v>
      </c>
      <c r="AW13" s="123">
        <v>1.0149999999999999</v>
      </c>
      <c r="AX13" s="123">
        <f t="shared" si="0"/>
        <v>1.0065000000000026</v>
      </c>
      <c r="AY13" s="123">
        <f t="shared" si="1"/>
        <v>18.013100000000001</v>
      </c>
    </row>
    <row r="14" spans="1:51" ht="13" x14ac:dyDescent="0.15">
      <c r="A14" s="131" t="s">
        <v>356</v>
      </c>
      <c r="B14" s="132" t="s">
        <v>157</v>
      </c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58"/>
      <c r="P14" s="158"/>
      <c r="Q14" s="158"/>
      <c r="R14" s="170" t="s">
        <v>393</v>
      </c>
      <c r="S14" s="158" t="s">
        <v>393</v>
      </c>
      <c r="T14" s="170" t="s">
        <v>393</v>
      </c>
      <c r="U14" s="158" t="s">
        <v>393</v>
      </c>
      <c r="V14" s="158" t="s">
        <v>393</v>
      </c>
      <c r="W14" s="170" t="s">
        <v>393</v>
      </c>
      <c r="X14" s="170" t="s">
        <v>393</v>
      </c>
      <c r="Y14" s="170" t="s">
        <v>393</v>
      </c>
      <c r="Z14" s="158" t="s">
        <v>393</v>
      </c>
      <c r="AA14" s="170" t="s">
        <v>393</v>
      </c>
      <c r="AB14" s="158" t="s">
        <v>393</v>
      </c>
      <c r="AC14" s="158" t="s">
        <v>393</v>
      </c>
      <c r="AD14" s="158" t="s">
        <v>393</v>
      </c>
      <c r="AE14" s="170" t="s">
        <v>393</v>
      </c>
      <c r="AF14" s="158" t="s">
        <v>393</v>
      </c>
      <c r="AG14" s="170" t="s">
        <v>393</v>
      </c>
      <c r="AH14" s="170" t="s">
        <v>393</v>
      </c>
      <c r="AI14" s="170" t="s">
        <v>393</v>
      </c>
      <c r="AJ14" s="169"/>
      <c r="AL14" s="123" t="s">
        <v>118</v>
      </c>
      <c r="AM14" s="123">
        <v>2</v>
      </c>
      <c r="AN14" s="123">
        <v>42.366599999999998</v>
      </c>
      <c r="AO14" s="123">
        <v>0</v>
      </c>
      <c r="AP14" s="123">
        <v>62.571599999999997</v>
      </c>
      <c r="AQ14" s="123">
        <v>1.1000000000000001E-3</v>
      </c>
      <c r="AR14" s="123">
        <v>43.347200000000001</v>
      </c>
      <c r="AS14" s="123">
        <v>5.9999999999999995E-4</v>
      </c>
      <c r="AT14" s="123">
        <v>44.411099999999998</v>
      </c>
      <c r="AU14" s="123">
        <v>1.1999999999999999E-3</v>
      </c>
      <c r="AV14" s="126">
        <v>0.46111111111111114</v>
      </c>
      <c r="AW14" s="123">
        <v>0.98060000000000003</v>
      </c>
      <c r="AX14" s="123">
        <f t="shared" si="0"/>
        <v>1.0638999999999967</v>
      </c>
      <c r="AY14" s="123">
        <f t="shared" si="1"/>
        <v>18.160499999999999</v>
      </c>
    </row>
    <row r="15" spans="1:51" ht="13" x14ac:dyDescent="0.15">
      <c r="A15" s="134"/>
      <c r="B15" s="135"/>
      <c r="C15" s="135" t="s">
        <v>363</v>
      </c>
      <c r="D15" s="135"/>
      <c r="E15" s="135" t="s">
        <v>65</v>
      </c>
      <c r="F15" s="135" t="s">
        <v>68</v>
      </c>
      <c r="G15" s="135" t="s">
        <v>64</v>
      </c>
      <c r="H15" s="135" t="s">
        <v>63</v>
      </c>
      <c r="I15" s="135" t="s">
        <v>145</v>
      </c>
      <c r="J15" s="135" t="s">
        <v>62</v>
      </c>
      <c r="K15" s="135" t="s">
        <v>146</v>
      </c>
      <c r="L15" s="135" t="s">
        <v>147</v>
      </c>
      <c r="M15" s="135" t="s">
        <v>148</v>
      </c>
      <c r="N15" s="135"/>
      <c r="O15" s="157" t="s">
        <v>378</v>
      </c>
      <c r="P15" s="157"/>
      <c r="Q15" s="157"/>
      <c r="R15" s="171" t="s">
        <v>379</v>
      </c>
      <c r="S15" s="157" t="s">
        <v>69</v>
      </c>
      <c r="T15" s="171" t="s">
        <v>380</v>
      </c>
      <c r="U15" s="157" t="s">
        <v>145</v>
      </c>
      <c r="V15" s="157" t="s">
        <v>68</v>
      </c>
      <c r="W15" s="171" t="s">
        <v>381</v>
      </c>
      <c r="X15" s="171" t="s">
        <v>382</v>
      </c>
      <c r="Y15" s="171" t="s">
        <v>383</v>
      </c>
      <c r="Z15" s="157" t="s">
        <v>384</v>
      </c>
      <c r="AA15" s="171" t="s">
        <v>385</v>
      </c>
      <c r="AB15" s="157" t="s">
        <v>148</v>
      </c>
      <c r="AC15" s="157" t="s">
        <v>386</v>
      </c>
      <c r="AD15" s="157" t="s">
        <v>387</v>
      </c>
      <c r="AE15" s="171" t="s">
        <v>388</v>
      </c>
      <c r="AF15" s="157" t="s">
        <v>389</v>
      </c>
      <c r="AG15" s="171" t="s">
        <v>390</v>
      </c>
      <c r="AH15" s="171" t="s">
        <v>391</v>
      </c>
      <c r="AI15" s="171" t="s">
        <v>392</v>
      </c>
      <c r="AJ15" s="150"/>
      <c r="AL15" s="123" t="s">
        <v>119</v>
      </c>
      <c r="AM15" s="123">
        <v>4</v>
      </c>
      <c r="AN15" s="123">
        <v>44.711300000000001</v>
      </c>
      <c r="AO15" s="123">
        <v>0</v>
      </c>
      <c r="AP15" s="123">
        <v>64.755499999999998</v>
      </c>
      <c r="AQ15" s="123">
        <v>3.8E-3</v>
      </c>
      <c r="AR15" s="123">
        <v>45.740499999999997</v>
      </c>
      <c r="AS15" s="123">
        <v>3.3E-3</v>
      </c>
      <c r="AT15" s="123">
        <v>46.752699999999997</v>
      </c>
      <c r="AU15" s="123">
        <v>3.8E-3</v>
      </c>
      <c r="AV15" s="126">
        <v>0.46736111111111112</v>
      </c>
      <c r="AW15" s="123">
        <v>1.0291999999999999</v>
      </c>
      <c r="AX15" s="123">
        <f t="shared" si="0"/>
        <v>1.0122</v>
      </c>
      <c r="AY15" s="123">
        <f t="shared" si="1"/>
        <v>18.002800000000001</v>
      </c>
    </row>
    <row r="16" spans="1:51" ht="13" x14ac:dyDescent="0.15">
      <c r="B16" s="123" t="s">
        <v>117</v>
      </c>
      <c r="C16" s="123">
        <v>1</v>
      </c>
      <c r="D16" s="123"/>
      <c r="E16" s="124">
        <v>3.32899E-7</v>
      </c>
      <c r="F16" s="123"/>
      <c r="G16" s="124">
        <v>3.4871299999999998E-7</v>
      </c>
      <c r="H16" s="124">
        <v>1.2220900000000001E-6</v>
      </c>
      <c r="I16" s="123"/>
      <c r="J16" s="124">
        <v>6.1846699999999999E-6</v>
      </c>
      <c r="K16" s="123"/>
      <c r="L16" s="124">
        <v>3.6755399999999998E-7</v>
      </c>
      <c r="M16" s="124">
        <v>2.11178E-8</v>
      </c>
      <c r="N16" s="124"/>
      <c r="R16" s="172"/>
      <c r="T16" s="172"/>
      <c r="W16" s="172"/>
      <c r="X16" s="172"/>
      <c r="Y16" s="172"/>
      <c r="AA16" s="172"/>
      <c r="AE16" s="172"/>
      <c r="AG16" s="172"/>
      <c r="AH16" s="172"/>
      <c r="AI16" s="172"/>
      <c r="AL16" s="123" t="s">
        <v>120</v>
      </c>
      <c r="AM16" s="123">
        <v>7</v>
      </c>
      <c r="AN16" s="123">
        <v>43.750500000000002</v>
      </c>
      <c r="AO16" s="123">
        <v>0</v>
      </c>
      <c r="AP16" s="123">
        <v>63.841500000000003</v>
      </c>
      <c r="AQ16" s="123">
        <v>2.7000000000000001E-3</v>
      </c>
      <c r="AR16" s="123">
        <v>44.784300000000002</v>
      </c>
      <c r="AS16" s="123">
        <v>3.0000000000000001E-3</v>
      </c>
      <c r="AT16" s="123">
        <v>45.838200000000001</v>
      </c>
      <c r="AU16" s="123">
        <v>3.3E-3</v>
      </c>
      <c r="AV16" s="126">
        <v>0.47291666666666665</v>
      </c>
      <c r="AW16" s="123">
        <v>1.0338000000000001</v>
      </c>
      <c r="AX16" s="123">
        <f t="shared" si="0"/>
        <v>1.0538999999999987</v>
      </c>
      <c r="AY16" s="123">
        <f t="shared" si="1"/>
        <v>18.003300000000003</v>
      </c>
    </row>
    <row r="17" spans="1:59" ht="13" x14ac:dyDescent="0.15">
      <c r="B17" s="123" t="s">
        <v>118</v>
      </c>
      <c r="C17" s="123">
        <v>2</v>
      </c>
      <c r="D17" s="123"/>
      <c r="E17" s="124">
        <v>6.1794399999999999E-7</v>
      </c>
      <c r="F17" s="123"/>
      <c r="G17" s="124">
        <v>3.25408E-7</v>
      </c>
      <c r="H17" s="124">
        <v>1.3706099999999999E-6</v>
      </c>
      <c r="I17" s="123"/>
      <c r="J17" s="124">
        <v>6.2100900000000002E-6</v>
      </c>
      <c r="K17" s="123"/>
      <c r="L17" s="124">
        <v>3.9767700000000002E-7</v>
      </c>
      <c r="M17" s="124">
        <v>3.2144699999999998E-8</v>
      </c>
      <c r="N17" s="124"/>
      <c r="O17" s="163"/>
      <c r="P17" s="163"/>
      <c r="Q17" s="163"/>
      <c r="R17" s="173"/>
      <c r="S17" s="156"/>
      <c r="T17" s="173"/>
      <c r="U17" s="156"/>
      <c r="V17" s="156"/>
      <c r="W17" s="173"/>
      <c r="X17" s="173"/>
      <c r="Y17" s="173"/>
      <c r="Z17" s="156"/>
      <c r="AA17" s="173"/>
      <c r="AB17" s="156"/>
      <c r="AC17" s="156"/>
      <c r="AD17" s="156"/>
      <c r="AE17" s="173"/>
      <c r="AF17" s="156"/>
      <c r="AG17" s="173"/>
      <c r="AH17" s="173"/>
      <c r="AI17" s="173"/>
      <c r="AJ17" s="124"/>
      <c r="AL17" s="123" t="s">
        <v>121</v>
      </c>
      <c r="AM17" s="123">
        <v>10</v>
      </c>
      <c r="AN17" s="123">
        <v>40.322400000000002</v>
      </c>
      <c r="AO17" s="123">
        <v>0</v>
      </c>
      <c r="AP17" s="123">
        <v>60.524299999999997</v>
      </c>
      <c r="AQ17" s="123">
        <v>0</v>
      </c>
      <c r="AR17" s="123">
        <v>41.395800000000001</v>
      </c>
      <c r="AS17" s="123">
        <v>0</v>
      </c>
      <c r="AT17" s="123">
        <v>42.427500000000002</v>
      </c>
      <c r="AU17" s="123">
        <v>0</v>
      </c>
      <c r="AV17" s="126">
        <v>0.47847222222222224</v>
      </c>
      <c r="AW17" s="123">
        <v>1.0733999999999999</v>
      </c>
      <c r="AX17" s="123">
        <f t="shared" si="0"/>
        <v>1.0317000000000007</v>
      </c>
      <c r="AY17" s="123">
        <f t="shared" si="1"/>
        <v>18.096799999999995</v>
      </c>
    </row>
    <row r="18" spans="1:59" ht="13" x14ac:dyDescent="0.15">
      <c r="B18" s="123" t="s">
        <v>119</v>
      </c>
      <c r="C18" s="123">
        <v>4</v>
      </c>
      <c r="D18" s="123"/>
      <c r="E18" s="124">
        <v>2.4350700000000001E-7</v>
      </c>
      <c r="F18" s="123"/>
      <c r="G18" s="124">
        <v>3.1670799999999998E-7</v>
      </c>
      <c r="H18" s="124">
        <v>1.2823199999999999E-6</v>
      </c>
      <c r="I18" s="123"/>
      <c r="J18" s="124">
        <v>6.2078199999999998E-6</v>
      </c>
      <c r="K18" s="123"/>
      <c r="L18" s="124">
        <v>4.7825800000000005E-7</v>
      </c>
      <c r="M18" s="124">
        <v>2.7546000000000001E-8</v>
      </c>
      <c r="N18" s="124"/>
      <c r="O18" s="163" t="s">
        <v>395</v>
      </c>
      <c r="P18" s="163"/>
      <c r="Q18" s="163"/>
      <c r="R18" s="173">
        <v>0.06</v>
      </c>
      <c r="S18" s="156">
        <v>1.05</v>
      </c>
      <c r="T18" s="173">
        <v>0.23</v>
      </c>
      <c r="U18" s="156">
        <v>0.06</v>
      </c>
      <c r="V18" s="156">
        <v>0.65</v>
      </c>
      <c r="W18" s="173" t="s">
        <v>396</v>
      </c>
      <c r="X18" s="173">
        <v>1.1599999999999999</v>
      </c>
      <c r="Y18" s="173">
        <v>0.2</v>
      </c>
      <c r="Z18" s="156">
        <v>0.65</v>
      </c>
      <c r="AA18" s="173" t="s">
        <v>396</v>
      </c>
      <c r="AB18" s="156">
        <v>1.82</v>
      </c>
      <c r="AC18" s="156" t="s">
        <v>396</v>
      </c>
      <c r="AD18" s="156">
        <v>0.13</v>
      </c>
      <c r="AE18" s="173" t="s">
        <v>396</v>
      </c>
      <c r="AF18" s="156">
        <v>0.34</v>
      </c>
      <c r="AG18" s="173" t="s">
        <v>396</v>
      </c>
      <c r="AH18" s="173" t="s">
        <v>396</v>
      </c>
      <c r="AI18" s="173" t="s">
        <v>396</v>
      </c>
      <c r="AJ18" s="124"/>
      <c r="AL18" s="123" t="s">
        <v>122</v>
      </c>
      <c r="AM18" s="123">
        <v>14</v>
      </c>
      <c r="AN18" s="123">
        <v>45.541800000000002</v>
      </c>
      <c r="AO18" s="123">
        <v>0</v>
      </c>
      <c r="AP18" s="123">
        <v>65.656099999999995</v>
      </c>
      <c r="AQ18" s="123">
        <v>3.0999999999999999E-3</v>
      </c>
      <c r="AR18" s="123">
        <v>46.558</v>
      </c>
      <c r="AS18" s="123">
        <v>2.8E-3</v>
      </c>
      <c r="AT18" s="123">
        <v>47.564700000000002</v>
      </c>
      <c r="AU18" s="123">
        <v>4.4999999999999997E-3</v>
      </c>
      <c r="AV18" s="126">
        <v>0.4909722222222222</v>
      </c>
      <c r="AW18" s="123">
        <v>1.0162</v>
      </c>
      <c r="AX18" s="123">
        <f t="shared" si="0"/>
        <v>1.0067000000000021</v>
      </c>
      <c r="AY18" s="123">
        <f t="shared" si="1"/>
        <v>18.091399999999993</v>
      </c>
    </row>
    <row r="19" spans="1:59" ht="13" x14ac:dyDescent="0.15">
      <c r="B19" s="123" t="s">
        <v>120</v>
      </c>
      <c r="C19" s="123">
        <v>7</v>
      </c>
      <c r="D19" s="123"/>
      <c r="E19" s="124">
        <v>2.9032900000000001E-7</v>
      </c>
      <c r="F19" s="123"/>
      <c r="G19" s="124">
        <v>3.3511700000000002E-7</v>
      </c>
      <c r="H19" s="124">
        <v>1.36381E-6</v>
      </c>
      <c r="I19" s="123"/>
      <c r="J19" s="124">
        <v>6.2096599999999998E-6</v>
      </c>
      <c r="K19" s="123"/>
      <c r="L19" s="124">
        <v>5.0481900000000002E-7</v>
      </c>
      <c r="M19" s="124">
        <v>2.9014800000000001E-8</v>
      </c>
      <c r="N19" s="124"/>
      <c r="O19" s="163" t="s">
        <v>397</v>
      </c>
      <c r="P19" s="163"/>
      <c r="Q19" s="163"/>
      <c r="R19" s="173" t="s">
        <v>396</v>
      </c>
      <c r="S19" s="156">
        <v>0.35</v>
      </c>
      <c r="T19" s="173" t="s">
        <v>396</v>
      </c>
      <c r="U19" s="156">
        <v>0.35</v>
      </c>
      <c r="V19" s="156">
        <v>0.62</v>
      </c>
      <c r="W19" s="173" t="s">
        <v>396</v>
      </c>
      <c r="X19" s="173" t="s">
        <v>396</v>
      </c>
      <c r="Y19" s="173" t="s">
        <v>396</v>
      </c>
      <c r="Z19" s="156">
        <v>0.23</v>
      </c>
      <c r="AA19" s="173" t="s">
        <v>396</v>
      </c>
      <c r="AB19" s="156">
        <v>14.37</v>
      </c>
      <c r="AC19" s="156">
        <v>0.38</v>
      </c>
      <c r="AD19" s="156">
        <v>0.24</v>
      </c>
      <c r="AE19" s="173" t="s">
        <v>396</v>
      </c>
      <c r="AF19" s="156">
        <v>0.31</v>
      </c>
      <c r="AG19" s="173" t="s">
        <v>396</v>
      </c>
      <c r="AH19" s="173" t="s">
        <v>396</v>
      </c>
      <c r="AI19" s="173" t="s">
        <v>396</v>
      </c>
      <c r="AJ19" s="124"/>
      <c r="AL19" s="123" t="s">
        <v>123</v>
      </c>
      <c r="AM19" s="123">
        <v>18</v>
      </c>
      <c r="AN19" s="123">
        <v>44.944400000000002</v>
      </c>
      <c r="AO19" s="123">
        <v>0</v>
      </c>
      <c r="AP19" s="123">
        <v>64.963499999999996</v>
      </c>
      <c r="AQ19" s="123">
        <v>1.9300000000000001E-2</v>
      </c>
      <c r="AR19" s="123">
        <v>45.943199999999997</v>
      </c>
      <c r="AS19" s="123">
        <v>1.5E-3</v>
      </c>
      <c r="AT19" s="123">
        <v>46.984999999999999</v>
      </c>
      <c r="AU19" s="123">
        <v>1.4E-3</v>
      </c>
      <c r="AV19" s="126">
        <v>0.49513888888888891</v>
      </c>
      <c r="AW19" s="123">
        <v>0.99880000000000002</v>
      </c>
      <c r="AX19" s="123">
        <f t="shared" si="0"/>
        <v>1.0418000000000021</v>
      </c>
      <c r="AY19" s="123">
        <f t="shared" si="1"/>
        <v>17.978499999999997</v>
      </c>
    </row>
    <row r="20" spans="1:59" ht="13" x14ac:dyDescent="0.15">
      <c r="B20" s="123" t="s">
        <v>121</v>
      </c>
      <c r="C20" s="123">
        <v>10</v>
      </c>
      <c r="D20" s="123"/>
      <c r="E20" s="124">
        <v>2.25104E-7</v>
      </c>
      <c r="F20" s="123"/>
      <c r="G20" s="124">
        <v>3.4983800000000001E-7</v>
      </c>
      <c r="H20" s="124">
        <v>1.31712E-6</v>
      </c>
      <c r="I20" s="123"/>
      <c r="J20" s="124">
        <v>6.1184200000000003E-6</v>
      </c>
      <c r="K20" s="123"/>
      <c r="L20" s="124">
        <v>5.3537199999999996E-7</v>
      </c>
      <c r="M20" s="124">
        <v>2.6571399999999999E-8</v>
      </c>
      <c r="N20" s="124"/>
      <c r="O20" s="163" t="s">
        <v>398</v>
      </c>
      <c r="P20" s="163"/>
      <c r="Q20" s="163"/>
      <c r="R20" s="173" t="s">
        <v>396</v>
      </c>
      <c r="S20" s="156">
        <v>0.43</v>
      </c>
      <c r="T20" s="173" t="s">
        <v>396</v>
      </c>
      <c r="U20" s="156">
        <v>0.45</v>
      </c>
      <c r="V20" s="156">
        <v>1.42</v>
      </c>
      <c r="W20" s="173" t="s">
        <v>396</v>
      </c>
      <c r="X20" s="173" t="s">
        <v>396</v>
      </c>
      <c r="Y20" s="173" t="s">
        <v>396</v>
      </c>
      <c r="Z20" s="156">
        <v>0.23</v>
      </c>
      <c r="AA20" s="173" t="s">
        <v>396</v>
      </c>
      <c r="AB20" s="156">
        <v>11.58</v>
      </c>
      <c r="AC20" s="156">
        <v>0.35</v>
      </c>
      <c r="AD20" s="156">
        <v>0.23</v>
      </c>
      <c r="AE20" s="173" t="s">
        <v>396</v>
      </c>
      <c r="AF20" s="156">
        <v>0.23</v>
      </c>
      <c r="AG20" s="173" t="s">
        <v>396</v>
      </c>
      <c r="AH20" s="173" t="s">
        <v>396</v>
      </c>
      <c r="AI20" s="173" t="s">
        <v>396</v>
      </c>
      <c r="AJ20" s="124"/>
      <c r="AL20" s="123" t="s">
        <v>124</v>
      </c>
      <c r="AM20" s="123">
        <v>18</v>
      </c>
      <c r="AN20" s="123">
        <v>42.568800000000003</v>
      </c>
      <c r="AO20" s="123">
        <v>0</v>
      </c>
      <c r="AP20" s="123">
        <v>61.678899999999999</v>
      </c>
      <c r="AQ20" s="123">
        <v>3.5299999999999998E-2</v>
      </c>
      <c r="AR20" s="123">
        <v>43.550699999999999</v>
      </c>
      <c r="AS20" s="123">
        <v>1.1999999999999999E-3</v>
      </c>
      <c r="AT20" s="123" t="s">
        <v>156</v>
      </c>
      <c r="AU20" s="123" t="s">
        <v>156</v>
      </c>
      <c r="AV20" s="126">
        <v>0.49861111111111112</v>
      </c>
      <c r="AW20" s="123">
        <v>0.9819</v>
      </c>
      <c r="AX20" s="123" t="s">
        <v>5</v>
      </c>
      <c r="AY20" s="123">
        <f>AP20-AR20</f>
        <v>18.1282</v>
      </c>
    </row>
    <row r="21" spans="1:59" ht="56" x14ac:dyDescent="0.15">
      <c r="B21" s="123" t="s">
        <v>122</v>
      </c>
      <c r="C21" s="123">
        <v>14</v>
      </c>
      <c r="D21" s="123"/>
      <c r="E21" s="124">
        <v>4.9973099999999996E-7</v>
      </c>
      <c r="F21" s="123"/>
      <c r="G21" s="124">
        <v>3.53278E-7</v>
      </c>
      <c r="H21" s="124">
        <v>1.2705599999999999E-6</v>
      </c>
      <c r="I21" s="123"/>
      <c r="J21" s="124">
        <v>6.2227099999999996E-6</v>
      </c>
      <c r="K21" s="123"/>
      <c r="L21" s="124">
        <v>3.5128899999999999E-7</v>
      </c>
      <c r="M21" s="124">
        <v>3.9410400000000002E-8</v>
      </c>
      <c r="N21" s="124"/>
      <c r="O21" s="163" t="s">
        <v>399</v>
      </c>
      <c r="P21" s="163"/>
      <c r="Q21" s="163"/>
      <c r="R21" s="173" t="s">
        <v>396</v>
      </c>
      <c r="S21" s="156">
        <v>0.43</v>
      </c>
      <c r="T21" s="173" t="s">
        <v>396</v>
      </c>
      <c r="U21" s="156">
        <v>0.08</v>
      </c>
      <c r="V21" s="156">
        <v>0.57999999999999996</v>
      </c>
      <c r="W21" s="173" t="s">
        <v>396</v>
      </c>
      <c r="X21" s="173" t="s">
        <v>396</v>
      </c>
      <c r="Y21" s="173" t="s">
        <v>396</v>
      </c>
      <c r="Z21" s="156">
        <v>0.22</v>
      </c>
      <c r="AA21" s="173" t="s">
        <v>396</v>
      </c>
      <c r="AB21" s="156">
        <v>15.68</v>
      </c>
      <c r="AC21" s="156">
        <v>0.22</v>
      </c>
      <c r="AD21" s="156">
        <v>0.22</v>
      </c>
      <c r="AE21" s="173" t="s">
        <v>396</v>
      </c>
      <c r="AF21" s="156">
        <v>0.35</v>
      </c>
      <c r="AG21" s="173" t="s">
        <v>396</v>
      </c>
      <c r="AH21" s="173" t="s">
        <v>396</v>
      </c>
      <c r="AI21" s="173" t="s">
        <v>396</v>
      </c>
      <c r="AJ21" s="124"/>
      <c r="AL21" s="127" t="s">
        <v>158</v>
      </c>
      <c r="AM21" s="127" t="s">
        <v>159</v>
      </c>
      <c r="AN21" s="127" t="s">
        <v>160</v>
      </c>
      <c r="AO21" s="128"/>
      <c r="AP21" s="128"/>
      <c r="AQ21" s="128"/>
      <c r="AR21" s="128"/>
      <c r="AS21" s="128"/>
      <c r="AT21" s="128"/>
      <c r="AU21" s="128"/>
      <c r="AV21" s="128"/>
      <c r="AW21" s="128"/>
    </row>
    <row r="22" spans="1:59" ht="28" x14ac:dyDescent="0.15">
      <c r="B22" s="123" t="s">
        <v>123</v>
      </c>
      <c r="C22" s="123">
        <v>18</v>
      </c>
      <c r="D22" s="123"/>
      <c r="E22" s="124">
        <v>4.14538E-7</v>
      </c>
      <c r="F22" s="123"/>
      <c r="G22" s="124">
        <v>3.2686499999999998E-7</v>
      </c>
      <c r="H22" s="124">
        <v>1.5086799999999999E-6</v>
      </c>
      <c r="I22" s="123"/>
      <c r="J22" s="124">
        <v>6.2431200000000001E-6</v>
      </c>
      <c r="K22" s="123"/>
      <c r="L22" s="124">
        <v>4.8303700000000004E-7</v>
      </c>
      <c r="M22" s="124">
        <v>3.7024899999999997E-8</v>
      </c>
      <c r="N22" s="124"/>
      <c r="O22" s="163" t="s">
        <v>400</v>
      </c>
      <c r="P22" s="163"/>
      <c r="Q22" s="163"/>
      <c r="R22" s="173" t="s">
        <v>396</v>
      </c>
      <c r="S22" s="156">
        <v>0.3</v>
      </c>
      <c r="T22" s="173" t="s">
        <v>396</v>
      </c>
      <c r="U22" s="156">
        <v>0.21</v>
      </c>
      <c r="V22" s="156">
        <v>0.48</v>
      </c>
      <c r="W22" s="173" t="s">
        <v>396</v>
      </c>
      <c r="X22" s="173" t="s">
        <v>396</v>
      </c>
      <c r="Y22" s="173" t="s">
        <v>396</v>
      </c>
      <c r="Z22" s="156">
        <v>0.66</v>
      </c>
      <c r="AA22" s="173" t="s">
        <v>396</v>
      </c>
      <c r="AB22" s="156">
        <v>16.46</v>
      </c>
      <c r="AC22" s="156">
        <v>0.2</v>
      </c>
      <c r="AD22" s="156">
        <v>0.2</v>
      </c>
      <c r="AE22" s="173" t="s">
        <v>396</v>
      </c>
      <c r="AF22" s="156">
        <v>0.33</v>
      </c>
      <c r="AG22" s="173" t="s">
        <v>396</v>
      </c>
      <c r="AH22" s="173" t="s">
        <v>396</v>
      </c>
      <c r="AI22" s="173" t="s">
        <v>396</v>
      </c>
      <c r="AJ22" s="124"/>
      <c r="AL22" s="127" t="s">
        <v>161</v>
      </c>
      <c r="AM22" s="127"/>
      <c r="AN22" s="127" t="s">
        <v>162</v>
      </c>
      <c r="AO22" s="128"/>
      <c r="AP22" s="128" t="s">
        <v>163</v>
      </c>
      <c r="AQ22" s="128"/>
      <c r="AR22" s="128" t="s">
        <v>164</v>
      </c>
      <c r="AS22" s="128"/>
      <c r="AT22" s="128"/>
      <c r="AU22" s="128"/>
      <c r="AV22" s="128"/>
      <c r="AW22" s="128"/>
    </row>
    <row r="23" spans="1:59" ht="13" x14ac:dyDescent="0.15">
      <c r="B23" s="123" t="s">
        <v>124</v>
      </c>
      <c r="C23" s="123">
        <v>18</v>
      </c>
      <c r="D23" s="123"/>
      <c r="E23" s="124">
        <v>1.31232E-6</v>
      </c>
      <c r="F23" s="123"/>
      <c r="G23" s="124">
        <v>3.25575E-7</v>
      </c>
      <c r="H23" s="124">
        <v>1.6727099999999999E-6</v>
      </c>
      <c r="I23" s="123"/>
      <c r="J23" s="124">
        <v>6.1808299999999997E-6</v>
      </c>
      <c r="K23" s="123"/>
      <c r="L23" s="124">
        <v>3.7594200000000002E-7</v>
      </c>
      <c r="M23" s="124">
        <v>8.2212600000000001E-8</v>
      </c>
      <c r="N23" s="124"/>
      <c r="O23" s="163" t="s">
        <v>401</v>
      </c>
      <c r="P23" s="163"/>
      <c r="Q23" s="163"/>
      <c r="R23" s="173" t="s">
        <v>396</v>
      </c>
      <c r="S23" s="156">
        <v>0.34</v>
      </c>
      <c r="T23" s="173" t="s">
        <v>396</v>
      </c>
      <c r="U23" s="156">
        <v>0.11</v>
      </c>
      <c r="V23" s="156">
        <v>0.7</v>
      </c>
      <c r="W23" s="173" t="s">
        <v>396</v>
      </c>
      <c r="X23" s="173" t="s">
        <v>396</v>
      </c>
      <c r="Y23" s="173" t="s">
        <v>396</v>
      </c>
      <c r="Z23" s="156">
        <v>0.26</v>
      </c>
      <c r="AA23" s="173" t="s">
        <v>396</v>
      </c>
      <c r="AB23" s="156">
        <v>15.36</v>
      </c>
      <c r="AC23" s="156">
        <v>0.22</v>
      </c>
      <c r="AD23" s="156">
        <v>0.22</v>
      </c>
      <c r="AE23" s="173" t="s">
        <v>396</v>
      </c>
      <c r="AF23" s="156">
        <v>0.25</v>
      </c>
      <c r="AG23" s="173" t="s">
        <v>396</v>
      </c>
      <c r="AH23" s="173" t="s">
        <v>396</v>
      </c>
      <c r="AI23" s="173" t="s">
        <v>396</v>
      </c>
      <c r="AJ23" s="124"/>
      <c r="AL23" s="127"/>
      <c r="AM23" s="127"/>
      <c r="AN23" s="127">
        <v>1003.4</v>
      </c>
      <c r="AO23" s="128"/>
      <c r="AP23" s="128">
        <v>5.3E-3</v>
      </c>
      <c r="AQ23" s="128"/>
      <c r="AR23" s="128">
        <v>7.7</v>
      </c>
      <c r="AS23" s="128"/>
      <c r="AT23" s="128"/>
      <c r="AU23" s="128"/>
      <c r="AV23" s="128"/>
      <c r="AW23" s="128"/>
    </row>
    <row r="24" spans="1:59" ht="15.75" customHeight="1" x14ac:dyDescent="0.15">
      <c r="O24" s="163" t="s">
        <v>402</v>
      </c>
      <c r="P24" s="163"/>
      <c r="Q24" s="163"/>
      <c r="R24" s="173" t="s">
        <v>396</v>
      </c>
      <c r="S24" s="156">
        <v>0.24</v>
      </c>
      <c r="T24" s="173" t="s">
        <v>396</v>
      </c>
      <c r="U24" s="156">
        <v>0.08</v>
      </c>
      <c r="V24" s="156">
        <v>0.21</v>
      </c>
      <c r="W24" s="173" t="s">
        <v>396</v>
      </c>
      <c r="X24" s="173" t="s">
        <v>396</v>
      </c>
      <c r="Y24" s="173" t="s">
        <v>396</v>
      </c>
      <c r="Z24" s="156">
        <v>0.3</v>
      </c>
      <c r="AA24" s="173" t="s">
        <v>396</v>
      </c>
      <c r="AB24" s="156">
        <v>22.47</v>
      </c>
      <c r="AC24" s="156">
        <v>0.13</v>
      </c>
      <c r="AD24" s="156">
        <v>0.17</v>
      </c>
      <c r="AE24" s="173" t="s">
        <v>396</v>
      </c>
      <c r="AF24" s="156">
        <v>0.52</v>
      </c>
      <c r="AG24" s="173" t="s">
        <v>396</v>
      </c>
      <c r="AH24" s="173" t="s">
        <v>396</v>
      </c>
      <c r="AI24" s="173" t="s">
        <v>396</v>
      </c>
    </row>
    <row r="25" spans="1:59" ht="15.75" customHeight="1" x14ac:dyDescent="0.15">
      <c r="B25" s="151" t="s">
        <v>165</v>
      </c>
      <c r="E25" s="123">
        <v>7.73</v>
      </c>
      <c r="F25" s="123" t="s">
        <v>166</v>
      </c>
      <c r="G25" s="123">
        <v>0.98</v>
      </c>
      <c r="H25" s="123">
        <v>3.44</v>
      </c>
      <c r="I25" s="123" t="s">
        <v>166</v>
      </c>
      <c r="J25" s="123">
        <v>13.1</v>
      </c>
      <c r="K25" s="123">
        <v>0.23</v>
      </c>
      <c r="L25" s="123">
        <v>0.42</v>
      </c>
      <c r="M25" s="123">
        <v>0.02</v>
      </c>
      <c r="N25" s="123"/>
      <c r="O25" s="163" t="s">
        <v>403</v>
      </c>
      <c r="P25" s="163"/>
      <c r="Q25" s="163"/>
      <c r="R25" s="173" t="s">
        <v>396</v>
      </c>
      <c r="S25" s="156">
        <v>0.28999999999999998</v>
      </c>
      <c r="T25" s="173" t="s">
        <v>396</v>
      </c>
      <c r="U25" s="156">
        <v>0.15</v>
      </c>
      <c r="V25" s="156">
        <v>0.36</v>
      </c>
      <c r="W25" s="173" t="s">
        <v>396</v>
      </c>
      <c r="X25" s="173" t="s">
        <v>396</v>
      </c>
      <c r="Y25" s="173" t="s">
        <v>396</v>
      </c>
      <c r="Z25" s="156">
        <v>1.05</v>
      </c>
      <c r="AA25" s="173" t="s">
        <v>396</v>
      </c>
      <c r="AB25" s="156">
        <v>22.63</v>
      </c>
      <c r="AC25" s="156">
        <v>0.09</v>
      </c>
      <c r="AD25" s="156">
        <v>0.18</v>
      </c>
      <c r="AE25" s="173" t="s">
        <v>396</v>
      </c>
      <c r="AF25" s="156">
        <v>0.54</v>
      </c>
      <c r="AG25" s="173" t="s">
        <v>396</v>
      </c>
      <c r="AH25" s="173" t="s">
        <v>396</v>
      </c>
      <c r="AI25" s="173" t="s">
        <v>396</v>
      </c>
      <c r="AJ25" s="123"/>
      <c r="AL25" s="136" t="s">
        <v>167</v>
      </c>
      <c r="AM25" s="137"/>
      <c r="AN25" s="138" t="s">
        <v>168</v>
      </c>
      <c r="AO25" s="138"/>
      <c r="AP25" s="138"/>
      <c r="AQ25" s="138"/>
      <c r="AR25" s="138"/>
      <c r="AS25" s="138"/>
      <c r="AT25" s="138"/>
      <c r="AU25" s="138"/>
      <c r="AW25" s="144" t="s">
        <v>169</v>
      </c>
      <c r="AX25" s="152" t="s">
        <v>170</v>
      </c>
      <c r="AY25" s="117" t="s">
        <v>171</v>
      </c>
    </row>
    <row r="26" spans="1:59" ht="15.75" customHeight="1" x14ac:dyDescent="0.15">
      <c r="B26" s="151" t="s">
        <v>355</v>
      </c>
      <c r="E26" s="129">
        <f>E25*($AT$44-$AN$44)/($AT$44-$AQ$44)</f>
        <v>85.941665898086072</v>
      </c>
      <c r="F26" s="130"/>
      <c r="G26" s="129">
        <f>G25*($AT$44-$AN$44)/($AT$44-$AQ$44)</f>
        <v>10.89557989393588</v>
      </c>
      <c r="H26" s="129">
        <f>H25*($AT$44-$AN$44)/($AT$44-$AQ$44)</f>
        <v>38.245709015448391</v>
      </c>
      <c r="I26" s="130"/>
      <c r="J26" s="129">
        <f>J25*($AT$44-$AN$44)/($AT$44-$AQ$44)</f>
        <v>145.64499654138777</v>
      </c>
      <c r="K26" s="129">
        <f>K25*($AT$44-$AN$44)/($AT$44-$AQ$44)</f>
        <v>2.5571258934747476</v>
      </c>
      <c r="L26" s="129">
        <f>L25*($AT$44-$AN$44)/($AT$44-$AQ$44)</f>
        <v>4.6695342402582343</v>
      </c>
      <c r="M26" s="129">
        <f>M25*($AT$44-$AN$44)/($AT$44-$AQ$44)</f>
        <v>0.2223587733456302</v>
      </c>
      <c r="N26" s="129"/>
      <c r="O26" s="163" t="s">
        <v>404</v>
      </c>
      <c r="P26" s="163"/>
      <c r="Q26" s="163"/>
      <c r="R26" s="173">
        <v>0.09</v>
      </c>
      <c r="S26" s="156">
        <v>0.46</v>
      </c>
      <c r="T26" s="173" t="s">
        <v>396</v>
      </c>
      <c r="U26" s="156" t="s">
        <v>396</v>
      </c>
      <c r="V26" s="156">
        <v>0.11</v>
      </c>
      <c r="W26" s="173" t="s">
        <v>396</v>
      </c>
      <c r="X26" s="173" t="s">
        <v>396</v>
      </c>
      <c r="Y26" s="173" t="s">
        <v>396</v>
      </c>
      <c r="Z26" s="156">
        <v>1.01</v>
      </c>
      <c r="AA26" s="173" t="s">
        <v>396</v>
      </c>
      <c r="AB26" s="156">
        <v>24.78</v>
      </c>
      <c r="AC26" s="156">
        <v>0.83</v>
      </c>
      <c r="AD26" s="156">
        <v>0.14000000000000001</v>
      </c>
      <c r="AE26" s="173" t="s">
        <v>396</v>
      </c>
      <c r="AF26" s="156">
        <v>0.63</v>
      </c>
      <c r="AG26" s="173" t="s">
        <v>396</v>
      </c>
      <c r="AH26" s="173" t="s">
        <v>396</v>
      </c>
      <c r="AI26" s="173" t="s">
        <v>396</v>
      </c>
      <c r="AJ26" s="129"/>
      <c r="AL26" s="139"/>
      <c r="AM26" s="139"/>
      <c r="AN26" s="140" t="s">
        <v>172</v>
      </c>
      <c r="AO26" s="139"/>
      <c r="AP26" s="139"/>
      <c r="AQ26" s="140" t="s">
        <v>173</v>
      </c>
      <c r="AR26" s="139"/>
      <c r="AS26" s="139"/>
      <c r="AT26" s="140" t="s">
        <v>174</v>
      </c>
      <c r="AU26" s="139"/>
      <c r="AW26" s="146"/>
      <c r="AX26" s="147"/>
      <c r="AY26" s="149"/>
      <c r="AZ26" s="146"/>
      <c r="BA26" s="147" t="s">
        <v>175</v>
      </c>
      <c r="BB26" s="149"/>
      <c r="BC26" s="146"/>
      <c r="BD26" s="146"/>
      <c r="BE26" s="146"/>
      <c r="BF26" s="146"/>
      <c r="BG26" s="146"/>
    </row>
    <row r="27" spans="1:59" ht="15.75" customHeight="1" x14ac:dyDescent="0.15">
      <c r="O27" s="163" t="s">
        <v>405</v>
      </c>
      <c r="P27" s="163"/>
      <c r="Q27" s="163"/>
      <c r="R27" s="173" t="s">
        <v>396</v>
      </c>
      <c r="S27" s="156">
        <v>0.28999999999999998</v>
      </c>
      <c r="T27" s="173" t="s">
        <v>396</v>
      </c>
      <c r="U27" s="156">
        <v>1.57</v>
      </c>
      <c r="V27" s="156">
        <v>0.37</v>
      </c>
      <c r="W27" s="173">
        <v>0.14000000000000001</v>
      </c>
      <c r="X27" s="173" t="s">
        <v>396</v>
      </c>
      <c r="Y27" s="173">
        <v>0.09</v>
      </c>
      <c r="Z27" s="156">
        <v>0.19</v>
      </c>
      <c r="AA27" s="173" t="s">
        <v>396</v>
      </c>
      <c r="AB27" s="156">
        <v>16.16</v>
      </c>
      <c r="AC27" s="156">
        <v>0.37</v>
      </c>
      <c r="AD27" s="156">
        <v>0.35</v>
      </c>
      <c r="AE27" s="173" t="s">
        <v>396</v>
      </c>
      <c r="AF27" s="156">
        <v>0.15</v>
      </c>
      <c r="AG27" s="173" t="s">
        <v>396</v>
      </c>
      <c r="AH27" s="173">
        <v>0.18</v>
      </c>
      <c r="AI27" s="173" t="s">
        <v>396</v>
      </c>
      <c r="AL27" s="141" t="s">
        <v>128</v>
      </c>
      <c r="AM27" s="140" t="s">
        <v>176</v>
      </c>
      <c r="AN27" s="140" t="s">
        <v>177</v>
      </c>
      <c r="AO27" s="140" t="s">
        <v>178</v>
      </c>
      <c r="AP27" s="140" t="s">
        <v>176</v>
      </c>
      <c r="AQ27" s="140" t="s">
        <v>177</v>
      </c>
      <c r="AR27" s="140" t="s">
        <v>178</v>
      </c>
      <c r="AS27" s="140" t="s">
        <v>176</v>
      </c>
      <c r="AT27" s="140" t="s">
        <v>177</v>
      </c>
      <c r="AU27" s="140" t="s">
        <v>178</v>
      </c>
      <c r="AW27" s="148" t="s">
        <v>128</v>
      </c>
      <c r="AX27" s="147" t="s">
        <v>179</v>
      </c>
      <c r="AY27" s="147" t="s">
        <v>180</v>
      </c>
      <c r="AZ27" s="147" t="s">
        <v>181</v>
      </c>
      <c r="BA27" s="147" t="s">
        <v>182</v>
      </c>
      <c r="BB27" s="147" t="s">
        <v>155</v>
      </c>
      <c r="BC27" s="147" t="s">
        <v>183</v>
      </c>
      <c r="BD27" s="147" t="s">
        <v>184</v>
      </c>
      <c r="BE27" s="147" t="s">
        <v>185</v>
      </c>
      <c r="BF27" s="147" t="s">
        <v>186</v>
      </c>
      <c r="BG27" s="147"/>
    </row>
    <row r="28" spans="1:59" ht="15.75" customHeight="1" x14ac:dyDescent="0.15">
      <c r="O28" s="163" t="s">
        <v>406</v>
      </c>
      <c r="P28" s="163"/>
      <c r="Q28" s="163"/>
      <c r="R28" s="173" t="s">
        <v>396</v>
      </c>
      <c r="S28" s="156">
        <v>0.55000000000000004</v>
      </c>
      <c r="T28" s="173" t="s">
        <v>396</v>
      </c>
      <c r="U28" s="156">
        <v>0.27</v>
      </c>
      <c r="V28" s="156">
        <v>0.27</v>
      </c>
      <c r="W28" s="173">
        <v>0.12</v>
      </c>
      <c r="X28" s="173" t="s">
        <v>396</v>
      </c>
      <c r="Y28" s="173" t="s">
        <v>396</v>
      </c>
      <c r="Z28" s="156">
        <v>0.18</v>
      </c>
      <c r="AA28" s="173" t="s">
        <v>396</v>
      </c>
      <c r="AB28" s="156">
        <v>24.82</v>
      </c>
      <c r="AC28" s="156">
        <v>0.15</v>
      </c>
      <c r="AD28" s="156">
        <v>0.21</v>
      </c>
      <c r="AE28" s="173" t="s">
        <v>396</v>
      </c>
      <c r="AF28" s="156">
        <v>0.3</v>
      </c>
      <c r="AG28" s="173" t="s">
        <v>396</v>
      </c>
      <c r="AH28" s="173" t="s">
        <v>396</v>
      </c>
      <c r="AI28" s="173" t="s">
        <v>396</v>
      </c>
      <c r="AL28" s="142" t="s">
        <v>117</v>
      </c>
      <c r="AM28" s="123">
        <v>0</v>
      </c>
      <c r="AN28" s="123">
        <v>6.8289499999999999</v>
      </c>
      <c r="AO28" s="143">
        <v>0</v>
      </c>
      <c r="AP28" s="123">
        <v>0</v>
      </c>
      <c r="AQ28" s="123">
        <v>13.98423</v>
      </c>
      <c r="AR28" s="123">
        <v>0</v>
      </c>
      <c r="AS28" s="123">
        <v>8.0000000000000007E-5</v>
      </c>
      <c r="AT28" s="123">
        <v>14.803039999999999</v>
      </c>
      <c r="AU28" s="123">
        <v>0</v>
      </c>
      <c r="AW28" s="142" t="s">
        <v>109</v>
      </c>
      <c r="AX28" s="123">
        <v>65.132999999999996</v>
      </c>
      <c r="AY28" s="126">
        <v>0.50347222222222221</v>
      </c>
      <c r="AZ28" s="123">
        <v>6.6383999999999999</v>
      </c>
      <c r="BA28" s="123">
        <v>11.5863</v>
      </c>
      <c r="BB28" s="123">
        <v>0</v>
      </c>
      <c r="BC28" s="123">
        <v>7.82</v>
      </c>
      <c r="BD28" s="123">
        <v>14</v>
      </c>
      <c r="BE28" s="123">
        <v>2.4</v>
      </c>
      <c r="BF28" s="126">
        <v>0.52152777777777781</v>
      </c>
      <c r="BG28" s="150"/>
    </row>
    <row r="29" spans="1:59" ht="15.75" customHeight="1" x14ac:dyDescent="0.15">
      <c r="A29" s="132" t="s">
        <v>357</v>
      </c>
      <c r="B29" s="133"/>
      <c r="C29" s="133"/>
      <c r="D29" s="133" t="s">
        <v>11</v>
      </c>
      <c r="E29" s="133" t="s">
        <v>362</v>
      </c>
      <c r="F29" s="133"/>
      <c r="G29" s="133" t="s">
        <v>362</v>
      </c>
      <c r="H29" s="133" t="s">
        <v>362</v>
      </c>
      <c r="I29" s="133"/>
      <c r="J29" s="133" t="s">
        <v>362</v>
      </c>
      <c r="K29" s="133"/>
      <c r="L29" s="133" t="s">
        <v>362</v>
      </c>
      <c r="M29" s="133" t="s">
        <v>362</v>
      </c>
      <c r="N29" s="133"/>
      <c r="O29" s="163" t="s">
        <v>407</v>
      </c>
      <c r="P29" s="163"/>
      <c r="Q29" s="163"/>
      <c r="R29" s="173" t="s">
        <v>396</v>
      </c>
      <c r="S29" s="156">
        <v>0.36</v>
      </c>
      <c r="T29" s="173" t="s">
        <v>396</v>
      </c>
      <c r="U29" s="156">
        <v>0.11</v>
      </c>
      <c r="V29" s="156">
        <v>0.16</v>
      </c>
      <c r="W29" s="173">
        <v>0.11</v>
      </c>
      <c r="X29" s="173" t="s">
        <v>396</v>
      </c>
      <c r="Y29" s="173" t="s">
        <v>396</v>
      </c>
      <c r="Z29" s="156">
        <v>0.13</v>
      </c>
      <c r="AA29" s="173" t="s">
        <v>396</v>
      </c>
      <c r="AB29" s="156">
        <v>20.2</v>
      </c>
      <c r="AC29" s="156">
        <v>0.16</v>
      </c>
      <c r="AD29" s="156">
        <v>0.21</v>
      </c>
      <c r="AE29" s="173" t="s">
        <v>396</v>
      </c>
      <c r="AF29" s="156">
        <v>0.14000000000000001</v>
      </c>
      <c r="AG29" s="173" t="s">
        <v>396</v>
      </c>
      <c r="AH29" s="173" t="s">
        <v>396</v>
      </c>
      <c r="AI29" s="173" t="s">
        <v>396</v>
      </c>
      <c r="AJ29" s="90"/>
      <c r="AL29" s="142" t="s">
        <v>118</v>
      </c>
      <c r="AM29" s="143">
        <v>0</v>
      </c>
      <c r="AN29" s="123">
        <v>6.8398000000000003</v>
      </c>
      <c r="AO29" s="123">
        <v>6.0000000000000002E-5</v>
      </c>
      <c r="AP29" s="123">
        <v>0</v>
      </c>
      <c r="AQ29" s="123">
        <v>13.9537</v>
      </c>
      <c r="AR29" s="123">
        <v>0</v>
      </c>
      <c r="AS29" s="123">
        <v>0</v>
      </c>
      <c r="AT29" s="123">
        <v>14.770250000000001</v>
      </c>
      <c r="AU29" s="123">
        <v>4.0000000000000003E-5</v>
      </c>
      <c r="AW29" s="142" t="s">
        <v>110</v>
      </c>
      <c r="AX29" s="123">
        <v>62.134300000000003</v>
      </c>
      <c r="AY29" s="126">
        <v>0.37569444444444444</v>
      </c>
      <c r="AZ29" s="123">
        <v>6.6327999999999996</v>
      </c>
      <c r="BA29" s="123">
        <v>11.1204</v>
      </c>
      <c r="BB29" s="123">
        <v>0</v>
      </c>
      <c r="BC29" s="123">
        <v>7.74</v>
      </c>
      <c r="BD29" s="123">
        <v>18</v>
      </c>
      <c r="BE29" s="123">
        <v>2.65</v>
      </c>
      <c r="BF29" s="126">
        <v>0.43194444444444446</v>
      </c>
      <c r="BG29" s="150"/>
    </row>
    <row r="30" spans="1:59" ht="15.75" customHeight="1" x14ac:dyDescent="0.15">
      <c r="A30" s="135"/>
      <c r="B30" s="135" t="s">
        <v>128</v>
      </c>
      <c r="C30" s="135" t="s">
        <v>363</v>
      </c>
      <c r="D30" s="135" t="s">
        <v>358</v>
      </c>
      <c r="E30" s="135" t="s">
        <v>65</v>
      </c>
      <c r="F30" s="135"/>
      <c r="G30" s="135" t="s">
        <v>64</v>
      </c>
      <c r="H30" s="135" t="s">
        <v>63</v>
      </c>
      <c r="I30" s="135"/>
      <c r="J30" s="135" t="s">
        <v>62</v>
      </c>
      <c r="K30" s="135"/>
      <c r="L30" s="135" t="s">
        <v>147</v>
      </c>
      <c r="M30" s="135" t="s">
        <v>148</v>
      </c>
      <c r="N30" s="135"/>
      <c r="O30" s="163" t="s">
        <v>408</v>
      </c>
      <c r="P30" s="163"/>
      <c r="Q30" s="163"/>
      <c r="R30" s="173" t="s">
        <v>396</v>
      </c>
      <c r="S30" s="156">
        <v>0.36</v>
      </c>
      <c r="T30" s="173" t="s">
        <v>396</v>
      </c>
      <c r="U30" s="156">
        <v>0.16</v>
      </c>
      <c r="V30" s="156">
        <v>0.32</v>
      </c>
      <c r="W30" s="173">
        <v>0.12</v>
      </c>
      <c r="X30" s="173" t="s">
        <v>396</v>
      </c>
      <c r="Y30" s="173" t="s">
        <v>396</v>
      </c>
      <c r="Z30" s="156">
        <v>0.22</v>
      </c>
      <c r="AA30" s="173" t="s">
        <v>396</v>
      </c>
      <c r="AB30" s="156">
        <v>22.98</v>
      </c>
      <c r="AC30" s="156">
        <v>0.12</v>
      </c>
      <c r="AD30" s="156">
        <v>0.21</v>
      </c>
      <c r="AE30" s="173" t="s">
        <v>396</v>
      </c>
      <c r="AF30" s="156">
        <v>0.18</v>
      </c>
      <c r="AG30" s="173" t="s">
        <v>396</v>
      </c>
      <c r="AH30" s="173" t="s">
        <v>396</v>
      </c>
      <c r="AI30" s="173" t="s">
        <v>396</v>
      </c>
      <c r="AJ30" s="90"/>
      <c r="AL30" s="142" t="s">
        <v>119</v>
      </c>
      <c r="AM30" s="143">
        <v>0</v>
      </c>
      <c r="AN30" s="123">
        <v>6.6874599999999997</v>
      </c>
      <c r="AO30" s="123">
        <v>6.0000000000000002E-5</v>
      </c>
      <c r="AP30" s="123">
        <v>0</v>
      </c>
      <c r="AQ30" s="123">
        <v>13.952719999999999</v>
      </c>
      <c r="AR30" s="123">
        <v>2.0000000000000002E-5</v>
      </c>
      <c r="AS30" s="123">
        <v>0</v>
      </c>
      <c r="AT30" s="123">
        <v>14.717980000000001</v>
      </c>
      <c r="AU30" s="123">
        <v>5.0000000000000002E-5</v>
      </c>
      <c r="AW30" s="142" t="s">
        <v>111</v>
      </c>
      <c r="AX30" s="123">
        <v>64.781499999999994</v>
      </c>
      <c r="AY30" s="126">
        <v>6.1111111111111109E-2</v>
      </c>
      <c r="AZ30" s="123">
        <v>6.6604000000000001</v>
      </c>
      <c r="BA30" s="123">
        <v>11.3705</v>
      </c>
      <c r="BB30" s="123">
        <v>6.4999999999999997E-3</v>
      </c>
      <c r="BC30" s="123">
        <v>7.65</v>
      </c>
      <c r="BD30" s="123">
        <v>20</v>
      </c>
      <c r="BE30" s="123">
        <v>2.5299999999999998</v>
      </c>
      <c r="BF30" s="126">
        <v>0.58194444444444449</v>
      </c>
      <c r="BG30" s="150"/>
    </row>
    <row r="31" spans="1:59" ht="15.75" customHeight="1" x14ac:dyDescent="0.15">
      <c r="B31" s="123" t="s">
        <v>109</v>
      </c>
      <c r="C31" s="123">
        <v>1</v>
      </c>
      <c r="D31" s="123">
        <f>VLOOKUP($B31,$AL$5:$AY$20,14,FALSE)</f>
        <v>18.0259</v>
      </c>
      <c r="E31" s="124">
        <f>E4*$D31*1000</f>
        <v>2.1991778258999999E-3</v>
      </c>
      <c r="G31" s="124">
        <f>G4*$D31*1000</f>
        <v>2.3895313299E-3</v>
      </c>
      <c r="H31" s="124">
        <f>H4*$D31*1000</f>
        <v>5.0043683838999998E-3</v>
      </c>
      <c r="J31" s="124">
        <f>J4*$D31*1000</f>
        <v>8.8177655548000011E-3</v>
      </c>
      <c r="L31" s="124">
        <f>L4*$D31*1000</f>
        <v>5.2094490482000001E-3</v>
      </c>
      <c r="M31" s="124">
        <f>M4*$D31*1000</f>
        <v>3.2189390406999998E-4</v>
      </c>
      <c r="O31" s="160" t="s">
        <v>409</v>
      </c>
      <c r="P31" s="160"/>
      <c r="Q31" s="160"/>
      <c r="R31" s="174" t="s">
        <v>396</v>
      </c>
      <c r="S31" s="155">
        <v>0.33</v>
      </c>
      <c r="T31" s="174" t="s">
        <v>396</v>
      </c>
      <c r="U31" s="155">
        <v>0.12</v>
      </c>
      <c r="V31" s="155">
        <v>0.09</v>
      </c>
      <c r="W31" s="174">
        <v>0.12</v>
      </c>
      <c r="X31" s="174" t="s">
        <v>396</v>
      </c>
      <c r="Y31" s="174" t="s">
        <v>396</v>
      </c>
      <c r="Z31" s="155">
        <v>0.31</v>
      </c>
      <c r="AA31" s="174" t="s">
        <v>396</v>
      </c>
      <c r="AB31" s="155">
        <v>20</v>
      </c>
      <c r="AC31" s="155">
        <v>0.15</v>
      </c>
      <c r="AD31" s="155">
        <v>0.22</v>
      </c>
      <c r="AE31" s="174" t="s">
        <v>396</v>
      </c>
      <c r="AF31" s="155">
        <v>0.13</v>
      </c>
      <c r="AG31" s="174" t="s">
        <v>396</v>
      </c>
      <c r="AH31" s="174" t="s">
        <v>396</v>
      </c>
      <c r="AI31" s="174" t="s">
        <v>396</v>
      </c>
      <c r="AL31" s="142" t="s">
        <v>120</v>
      </c>
      <c r="AM31" s="143">
        <v>0</v>
      </c>
      <c r="AN31" s="123">
        <v>6.8712799999999996</v>
      </c>
      <c r="AO31" s="143">
        <v>0</v>
      </c>
      <c r="AP31" s="123">
        <v>0</v>
      </c>
      <c r="AQ31" s="123">
        <v>14.00779</v>
      </c>
      <c r="AR31" s="123">
        <v>0</v>
      </c>
      <c r="AS31" s="123">
        <v>0</v>
      </c>
      <c r="AT31" s="123">
        <v>14.820790000000001</v>
      </c>
      <c r="AU31" s="123">
        <v>0</v>
      </c>
      <c r="AW31" s="142" t="s">
        <v>112</v>
      </c>
      <c r="AX31" s="123">
        <v>64.918400000000005</v>
      </c>
      <c r="AY31" s="126">
        <v>4.9305555555555554E-2</v>
      </c>
      <c r="AZ31" s="123">
        <v>6.6543000000000001</v>
      </c>
      <c r="BA31" s="123">
        <v>11.6508</v>
      </c>
      <c r="BB31" s="123">
        <v>0</v>
      </c>
      <c r="BC31" s="123">
        <v>7.46</v>
      </c>
      <c r="BD31" s="123">
        <v>26</v>
      </c>
      <c r="BE31" s="123">
        <v>2.71</v>
      </c>
      <c r="BF31" s="126">
        <v>0.58888888888888891</v>
      </c>
      <c r="BG31" s="150"/>
    </row>
    <row r="32" spans="1:59" ht="15.75" customHeight="1" x14ac:dyDescent="0.15">
      <c r="B32" s="123" t="s">
        <v>110</v>
      </c>
      <c r="C32" s="123">
        <v>2</v>
      </c>
      <c r="D32" s="123">
        <f t="shared" ref="D32:D46" si="2">VLOOKUP($B32,$AL$5:$AY$20,14,FALSE)</f>
        <v>17.929400000000001</v>
      </c>
      <c r="E32" s="124">
        <f t="shared" ref="E32:G38" si="3">E5*$D32*1000</f>
        <v>2.1095373452E-3</v>
      </c>
      <c r="G32" s="124">
        <f t="shared" si="3"/>
        <v>3.1985511718000004E-3</v>
      </c>
      <c r="H32" s="124">
        <f t="shared" ref="H32" si="4">H5*$D32*1000</f>
        <v>4.9279493782E-3</v>
      </c>
      <c r="J32" s="124">
        <f t="shared" ref="J32" si="5">J5*$D32*1000</f>
        <v>8.5043626550000001E-3</v>
      </c>
      <c r="L32" s="124">
        <f t="shared" ref="L32:M32" si="6">L5*$D32*1000</f>
        <v>6.6477732850000002E-3</v>
      </c>
      <c r="M32" s="124">
        <f t="shared" si="6"/>
        <v>2.6133176263999999E-4</v>
      </c>
      <c r="O32" s="160" t="s">
        <v>410</v>
      </c>
      <c r="P32" s="160"/>
      <c r="Q32" s="160"/>
      <c r="R32" s="174" t="s">
        <v>396</v>
      </c>
      <c r="S32" s="155">
        <v>0.35</v>
      </c>
      <c r="T32" s="174" t="s">
        <v>396</v>
      </c>
      <c r="U32" s="155" t="s">
        <v>396</v>
      </c>
      <c r="V32" s="155" t="s">
        <v>396</v>
      </c>
      <c r="W32" s="174">
        <v>0.1</v>
      </c>
      <c r="X32" s="174" t="s">
        <v>396</v>
      </c>
      <c r="Y32" s="174" t="s">
        <v>396</v>
      </c>
      <c r="Z32" s="155">
        <v>0.16</v>
      </c>
      <c r="AA32" s="174" t="s">
        <v>396</v>
      </c>
      <c r="AB32" s="155">
        <v>29.76</v>
      </c>
      <c r="AC32" s="155">
        <v>0.08</v>
      </c>
      <c r="AD32" s="155">
        <v>0.19</v>
      </c>
      <c r="AE32" s="174" t="s">
        <v>396</v>
      </c>
      <c r="AF32" s="155">
        <v>0.38</v>
      </c>
      <c r="AG32" s="174" t="s">
        <v>396</v>
      </c>
      <c r="AH32" s="174" t="s">
        <v>396</v>
      </c>
      <c r="AI32" s="174" t="s">
        <v>396</v>
      </c>
      <c r="AL32" s="142" t="s">
        <v>121</v>
      </c>
      <c r="AM32" s="143">
        <v>0</v>
      </c>
      <c r="AN32" s="123">
        <v>6.8532099999999998</v>
      </c>
      <c r="AO32" s="123">
        <v>3.0000000000000001E-5</v>
      </c>
      <c r="AP32" s="123">
        <v>0</v>
      </c>
      <c r="AQ32" s="123">
        <v>13.96217</v>
      </c>
      <c r="AR32" s="123">
        <v>0</v>
      </c>
      <c r="AS32" s="123">
        <v>0</v>
      </c>
      <c r="AT32" s="123">
        <v>14.77922</v>
      </c>
      <c r="AU32" s="123">
        <v>0</v>
      </c>
      <c r="AW32" s="142" t="s">
        <v>113</v>
      </c>
      <c r="AX32" s="123">
        <v>63.837899999999998</v>
      </c>
      <c r="AY32" s="126">
        <v>0.15069444444444444</v>
      </c>
      <c r="AZ32" s="123">
        <v>6.6494999999999997</v>
      </c>
      <c r="BA32" s="123">
        <v>11.4854</v>
      </c>
      <c r="BB32" s="85">
        <v>0</v>
      </c>
      <c r="BC32" s="123">
        <v>7.53</v>
      </c>
      <c r="BD32" s="123">
        <v>28</v>
      </c>
      <c r="BE32" s="123">
        <v>2.52</v>
      </c>
      <c r="BF32" s="126">
        <v>0.66180555555555554</v>
      </c>
      <c r="BG32" s="150"/>
    </row>
    <row r="33" spans="2:59" ht="15.75" customHeight="1" x14ac:dyDescent="0.15">
      <c r="B33" s="123" t="s">
        <v>111</v>
      </c>
      <c r="C33" s="123">
        <v>4</v>
      </c>
      <c r="D33" s="123">
        <f t="shared" si="2"/>
        <v>18.019000000000005</v>
      </c>
      <c r="E33" s="124">
        <f t="shared" si="3"/>
        <v>3.0052448580000007E-3</v>
      </c>
      <c r="G33" s="124">
        <f t="shared" si="3"/>
        <v>2.4463134970000009E-3</v>
      </c>
      <c r="H33" s="124">
        <f t="shared" ref="H33" si="7">H6*$D33*1000</f>
        <v>5.9028982670000021E-3</v>
      </c>
      <c r="J33" s="124">
        <f t="shared" ref="J33" si="8">J6*$D33*1000</f>
        <v>9.0142029590000033E-3</v>
      </c>
      <c r="L33" s="124">
        <f t="shared" ref="L33:M33" si="9">L6*$D33*1000</f>
        <v>6.8741764240000027E-3</v>
      </c>
      <c r="M33" s="124">
        <f t="shared" si="9"/>
        <v>3.6386847840000011E-4</v>
      </c>
      <c r="O33" s="160" t="s">
        <v>411</v>
      </c>
      <c r="P33" s="160"/>
      <c r="Q33" s="160"/>
      <c r="R33" s="174" t="s">
        <v>396</v>
      </c>
      <c r="S33" s="155">
        <v>0.3</v>
      </c>
      <c r="T33" s="174" t="s">
        <v>396</v>
      </c>
      <c r="U33" s="155" t="s">
        <v>396</v>
      </c>
      <c r="V33" s="155">
        <v>0.14000000000000001</v>
      </c>
      <c r="W33" s="174">
        <v>0.09</v>
      </c>
      <c r="X33" s="174" t="s">
        <v>396</v>
      </c>
      <c r="Y33" s="174" t="s">
        <v>396</v>
      </c>
      <c r="Z33" s="155">
        <v>0.15</v>
      </c>
      <c r="AA33" s="174" t="s">
        <v>396</v>
      </c>
      <c r="AB33" s="155">
        <v>26.97</v>
      </c>
      <c r="AC33" s="155">
        <v>0.1</v>
      </c>
      <c r="AD33" s="155">
        <v>0.19</v>
      </c>
      <c r="AE33" s="174" t="s">
        <v>396</v>
      </c>
      <c r="AF33" s="155">
        <v>0.3</v>
      </c>
      <c r="AG33" s="174" t="s">
        <v>396</v>
      </c>
      <c r="AH33" s="174" t="s">
        <v>396</v>
      </c>
      <c r="AI33" s="174" t="s">
        <v>396</v>
      </c>
      <c r="AL33" s="142" t="s">
        <v>122</v>
      </c>
      <c r="AM33" s="143">
        <v>0</v>
      </c>
      <c r="AN33" s="123">
        <v>6.7582300000000002</v>
      </c>
      <c r="AO33" s="143">
        <v>0</v>
      </c>
      <c r="AP33" s="123">
        <v>0</v>
      </c>
      <c r="AQ33" s="123">
        <v>13.954499999999999</v>
      </c>
      <c r="AR33" s="123">
        <v>2.0000000000000002E-5</v>
      </c>
      <c r="AS33" s="123">
        <v>0</v>
      </c>
      <c r="AT33" s="123">
        <v>14.766159999999999</v>
      </c>
      <c r="AU33" s="123">
        <v>0</v>
      </c>
      <c r="AW33" s="142" t="s">
        <v>114</v>
      </c>
      <c r="AX33" s="123">
        <v>60.4114</v>
      </c>
      <c r="AY33" s="126">
        <v>0.19652777777777777</v>
      </c>
      <c r="AZ33" s="123">
        <v>6.6733000000000002</v>
      </c>
      <c r="BA33" s="123">
        <v>11.643000000000001</v>
      </c>
      <c r="BB33" s="85">
        <v>0</v>
      </c>
      <c r="BC33" s="123">
        <v>7.47</v>
      </c>
      <c r="BD33" s="123">
        <v>34</v>
      </c>
      <c r="BE33" s="123">
        <v>2.48</v>
      </c>
      <c r="BF33" s="126">
        <v>0.72013888888888888</v>
      </c>
      <c r="BG33" s="150"/>
    </row>
    <row r="34" spans="2:59" ht="15.75" customHeight="1" x14ac:dyDescent="0.15">
      <c r="B34" s="123" t="s">
        <v>112</v>
      </c>
      <c r="C34" s="123">
        <v>7</v>
      </c>
      <c r="D34" s="123">
        <f t="shared" si="2"/>
        <v>18.070500000000003</v>
      </c>
      <c r="E34" s="124">
        <f t="shared" si="3"/>
        <v>2.4759656985000001E-3</v>
      </c>
      <c r="G34" s="124">
        <f t="shared" si="3"/>
        <v>2.9458890510000004E-3</v>
      </c>
      <c r="H34" s="124">
        <f t="shared" ref="H34" si="10">H7*$D34*1000</f>
        <v>6.1970430585000002E-3</v>
      </c>
      <c r="J34" s="124">
        <f t="shared" ref="J34" si="11">J7*$D34*1000</f>
        <v>8.7868167660000007E-3</v>
      </c>
      <c r="L34" s="124">
        <f t="shared" ref="L34:M34" si="12">L7*$D34*1000</f>
        <v>7.6342260645000017E-3</v>
      </c>
      <c r="M34" s="124">
        <f t="shared" si="12"/>
        <v>3.8424749790000009E-4</v>
      </c>
      <c r="O34" s="160" t="s">
        <v>412</v>
      </c>
      <c r="P34" s="160"/>
      <c r="Q34" s="160"/>
      <c r="R34" s="174">
        <v>0.15</v>
      </c>
      <c r="S34" s="155">
        <v>0.74</v>
      </c>
      <c r="T34" s="174" t="s">
        <v>396</v>
      </c>
      <c r="U34" s="155">
        <v>0.18</v>
      </c>
      <c r="V34" s="155">
        <v>7.0000000000000007E-2</v>
      </c>
      <c r="W34" s="174">
        <v>0.11</v>
      </c>
      <c r="X34" s="174" t="s">
        <v>396</v>
      </c>
      <c r="Y34" s="174" t="s">
        <v>396</v>
      </c>
      <c r="Z34" s="155">
        <v>2.56</v>
      </c>
      <c r="AA34" s="174" t="s">
        <v>396</v>
      </c>
      <c r="AB34" s="155">
        <v>64.180000000000007</v>
      </c>
      <c r="AC34" s="155" t="s">
        <v>396</v>
      </c>
      <c r="AD34" s="155" t="s">
        <v>396</v>
      </c>
      <c r="AE34" s="174" t="s">
        <v>396</v>
      </c>
      <c r="AF34" s="155">
        <v>1.1499999999999999</v>
      </c>
      <c r="AG34" s="174" t="s">
        <v>396</v>
      </c>
      <c r="AH34" s="174" t="s">
        <v>396</v>
      </c>
      <c r="AI34" s="174" t="s">
        <v>396</v>
      </c>
      <c r="AL34" s="142" t="s">
        <v>123</v>
      </c>
      <c r="AM34" s="143">
        <v>0</v>
      </c>
      <c r="AN34" s="123">
        <v>6.8909900000000004</v>
      </c>
      <c r="AO34" s="123">
        <v>3.0000000000000001E-5</v>
      </c>
      <c r="AP34" s="123">
        <v>2.0000000000000002E-5</v>
      </c>
      <c r="AQ34" s="123">
        <v>14.068390000000001</v>
      </c>
      <c r="AR34" s="123">
        <v>0</v>
      </c>
      <c r="AS34" s="123">
        <v>0</v>
      </c>
      <c r="AT34" s="123">
        <v>14.881169999999999</v>
      </c>
      <c r="AU34" s="123">
        <v>0</v>
      </c>
      <c r="AW34" s="142" t="s">
        <v>115</v>
      </c>
      <c r="AX34" s="123">
        <v>62.682499999999997</v>
      </c>
      <c r="AY34" s="126">
        <v>0.51666666666666672</v>
      </c>
      <c r="AZ34" s="123">
        <v>6.6473000000000004</v>
      </c>
      <c r="BA34" s="123">
        <v>11.622199999999999</v>
      </c>
      <c r="BB34" s="85">
        <v>0</v>
      </c>
      <c r="BC34" s="123">
        <v>7.62</v>
      </c>
      <c r="BD34" s="123">
        <v>36</v>
      </c>
      <c r="BE34" s="123">
        <v>2.56</v>
      </c>
      <c r="BF34" s="126">
        <v>0.56527777777777777</v>
      </c>
      <c r="BG34" s="150"/>
    </row>
    <row r="35" spans="2:59" ht="15.75" customHeight="1" x14ac:dyDescent="0.15">
      <c r="B35" s="123" t="s">
        <v>113</v>
      </c>
      <c r="C35" s="123">
        <v>10</v>
      </c>
      <c r="D35" s="123">
        <f t="shared" si="2"/>
        <v>18.002099999999999</v>
      </c>
      <c r="E35" s="124">
        <f t="shared" si="3"/>
        <v>2.6734738688999997E-3</v>
      </c>
      <c r="G35" s="124">
        <f t="shared" si="3"/>
        <v>2.5607627207999998E-3</v>
      </c>
      <c r="H35" s="124">
        <f t="shared" ref="H35" si="13">H8*$D35*1000</f>
        <v>6.1429285913999999E-3</v>
      </c>
      <c r="J35" s="124">
        <f t="shared" ref="J35" si="14">J8*$D35*1000</f>
        <v>9.397726273499999E-3</v>
      </c>
      <c r="L35" s="124">
        <f t="shared" ref="L35:M35" si="15">L8*$D35*1000</f>
        <v>7.4424821882999991E-3</v>
      </c>
      <c r="M35" s="124">
        <f t="shared" si="15"/>
        <v>3.4079955531E-4</v>
      </c>
      <c r="AL35" s="142" t="s">
        <v>124</v>
      </c>
      <c r="AM35" s="143">
        <v>0</v>
      </c>
      <c r="AN35" s="123">
        <v>6.8736600000000001</v>
      </c>
      <c r="AO35" s="123">
        <v>6.0000000000000002E-5</v>
      </c>
      <c r="AP35" s="123">
        <v>5.0000000000000002E-5</v>
      </c>
      <c r="AQ35" s="123">
        <v>14.06551</v>
      </c>
      <c r="AR35" s="123">
        <v>0</v>
      </c>
      <c r="AS35" s="123">
        <v>0</v>
      </c>
      <c r="AT35" s="123">
        <v>14.876519999999999</v>
      </c>
      <c r="AU35" s="123">
        <v>2.0000000000000002E-5</v>
      </c>
      <c r="AW35" s="142" t="s">
        <v>116</v>
      </c>
      <c r="AX35" s="123">
        <v>61.669699999999999</v>
      </c>
      <c r="AY35" s="126">
        <v>0.53402777777777777</v>
      </c>
      <c r="AZ35" s="123">
        <v>6.7641</v>
      </c>
      <c r="BA35" s="123">
        <v>11.8605</v>
      </c>
      <c r="BB35" s="85">
        <v>0</v>
      </c>
      <c r="BC35" s="123">
        <v>8.93</v>
      </c>
      <c r="BD35" s="123" t="s">
        <v>187</v>
      </c>
      <c r="BE35" s="123">
        <v>2.27</v>
      </c>
      <c r="BF35" s="126">
        <v>0.56527777777777777</v>
      </c>
      <c r="BG35" s="150"/>
    </row>
    <row r="36" spans="2:59" ht="15.75" customHeight="1" x14ac:dyDescent="0.15">
      <c r="B36" s="123" t="s">
        <v>114</v>
      </c>
      <c r="C36" s="123">
        <v>14</v>
      </c>
      <c r="D36" s="123">
        <f t="shared" si="2"/>
        <v>17.9542</v>
      </c>
      <c r="E36" s="124">
        <f t="shared" si="3"/>
        <v>3.9398516937999995E-3</v>
      </c>
      <c r="G36" s="124">
        <f t="shared" si="3"/>
        <v>3.7693406563999998E-3</v>
      </c>
      <c r="H36" s="124">
        <f t="shared" ref="H36" si="16">H9*$D36*1000</f>
        <v>8.301303912000001E-3</v>
      </c>
      <c r="J36" s="124">
        <f t="shared" ref="J36" si="17">J9*$D36*1000</f>
        <v>9.2341143730000005E-3</v>
      </c>
      <c r="L36" s="124">
        <f t="shared" ref="L36:M36" si="18">L9*$D36*1000</f>
        <v>7.8710494631999989E-3</v>
      </c>
      <c r="M36" s="124">
        <f t="shared" si="18"/>
        <v>5.2061255114000001E-4</v>
      </c>
      <c r="O36" s="132" t="s">
        <v>357</v>
      </c>
      <c r="P36" s="133" t="s">
        <v>11</v>
      </c>
      <c r="Q36" s="133"/>
      <c r="R36" s="133"/>
      <c r="S36" s="153" t="s">
        <v>362</v>
      </c>
      <c r="T36" s="133"/>
      <c r="U36" s="153" t="s">
        <v>362</v>
      </c>
      <c r="V36" s="153" t="s">
        <v>362</v>
      </c>
      <c r="W36" s="133"/>
      <c r="X36" s="133"/>
      <c r="Y36" s="133"/>
      <c r="Z36" s="153" t="s">
        <v>362</v>
      </c>
      <c r="AA36" s="133"/>
      <c r="AB36" s="153" t="s">
        <v>362</v>
      </c>
      <c r="AC36" s="153" t="s">
        <v>362</v>
      </c>
      <c r="AD36" s="153" t="s">
        <v>362</v>
      </c>
      <c r="AE36" s="133"/>
      <c r="AF36" s="153" t="s">
        <v>362</v>
      </c>
      <c r="AG36" s="133"/>
      <c r="AH36" s="133"/>
      <c r="AI36" s="133"/>
      <c r="AL36" s="142" t="s">
        <v>109</v>
      </c>
      <c r="AM36" s="143">
        <v>0</v>
      </c>
      <c r="AN36" s="123">
        <v>6.7815500000000002</v>
      </c>
      <c r="AO36" s="143">
        <v>0</v>
      </c>
      <c r="AP36" s="123">
        <v>0</v>
      </c>
      <c r="AQ36" s="123">
        <v>13.917109999999999</v>
      </c>
      <c r="AR36" s="123">
        <v>0</v>
      </c>
      <c r="AS36" s="123">
        <v>0</v>
      </c>
      <c r="AT36" s="123">
        <v>14.729900000000001</v>
      </c>
      <c r="AU36" s="123">
        <v>2.0000000000000002E-5</v>
      </c>
      <c r="AW36" s="142" t="s">
        <v>117</v>
      </c>
      <c r="AX36" s="123">
        <v>63.760800000000003</v>
      </c>
      <c r="AY36" s="126">
        <v>0.47847222222222224</v>
      </c>
      <c r="AZ36" s="123">
        <v>6.6794000000000002</v>
      </c>
      <c r="BA36" s="123">
        <v>11.0001</v>
      </c>
      <c r="BB36" s="123">
        <v>0</v>
      </c>
      <c r="BC36" s="123">
        <v>7.41</v>
      </c>
      <c r="BD36" s="123">
        <v>20</v>
      </c>
      <c r="BE36" s="123">
        <v>2.6</v>
      </c>
      <c r="BF36" s="126">
        <v>0.52152777777777781</v>
      </c>
      <c r="BG36" s="150"/>
    </row>
    <row r="37" spans="2:59" ht="15.75" customHeight="1" x14ac:dyDescent="0.15">
      <c r="B37" s="123" t="s">
        <v>115</v>
      </c>
      <c r="C37" s="123">
        <v>18</v>
      </c>
      <c r="D37" s="123">
        <f t="shared" si="2"/>
        <v>18.004099999999994</v>
      </c>
      <c r="E37" s="124">
        <f t="shared" si="3"/>
        <v>3.9304390627999987E-3</v>
      </c>
      <c r="G37" s="124">
        <f t="shared" si="3"/>
        <v>2.7161345341999992E-3</v>
      </c>
      <c r="H37" s="124">
        <f t="shared" ref="H37" si="19">H10*$D37*1000</f>
        <v>8.5201342552999968E-3</v>
      </c>
      <c r="J37" s="124">
        <f t="shared" ref="J37" si="20">J10*$D37*1000</f>
        <v>9.6234795155999975E-3</v>
      </c>
      <c r="L37" s="124">
        <f t="shared" ref="L37:M37" si="21">L10*$D37*1000</f>
        <v>8.4446070557999981E-3</v>
      </c>
      <c r="M37" s="124">
        <f t="shared" si="21"/>
        <v>5.2520300232999982E-4</v>
      </c>
      <c r="O37" s="135" t="s">
        <v>128</v>
      </c>
      <c r="P37" s="135" t="s">
        <v>358</v>
      </c>
      <c r="Q37" s="135"/>
      <c r="R37" s="154" t="str">
        <f t="shared" ref="R37:AF37" si="22">R15</f>
        <v>Li</v>
      </c>
      <c r="S37" s="154" t="str">
        <f t="shared" si="22"/>
        <v>Ti</v>
      </c>
      <c r="T37" s="154" t="str">
        <f t="shared" si="22"/>
        <v>Cr</v>
      </c>
      <c r="U37" s="154" t="str">
        <f t="shared" si="22"/>
        <v>Mn</v>
      </c>
      <c r="V37" s="154" t="str">
        <f t="shared" si="22"/>
        <v>Fe</v>
      </c>
      <c r="W37" s="154" t="str">
        <f t="shared" si="22"/>
        <v>Co</v>
      </c>
      <c r="X37" s="154" t="str">
        <f t="shared" si="22"/>
        <v>Ni</v>
      </c>
      <c r="Y37" s="154" t="str">
        <f t="shared" si="22"/>
        <v>Cu</v>
      </c>
      <c r="Z37" s="154" t="str">
        <f t="shared" si="22"/>
        <v>Zn</v>
      </c>
      <c r="AA37" s="154" t="str">
        <f t="shared" si="22"/>
        <v>Rb</v>
      </c>
      <c r="AB37" s="154" t="str">
        <f t="shared" si="22"/>
        <v>Sr</v>
      </c>
      <c r="AC37" s="154" t="str">
        <f t="shared" si="22"/>
        <v>Zr</v>
      </c>
      <c r="AD37" s="154" t="str">
        <f t="shared" si="22"/>
        <v>Mo</v>
      </c>
      <c r="AE37" s="154" t="str">
        <f t="shared" si="22"/>
        <v>Cd</v>
      </c>
      <c r="AF37" s="154" t="str">
        <f t="shared" si="22"/>
        <v>Ba</v>
      </c>
      <c r="AG37" s="135"/>
      <c r="AH37" s="135"/>
      <c r="AI37" s="135"/>
      <c r="AL37" s="142" t="s">
        <v>110</v>
      </c>
      <c r="AM37" s="123">
        <v>2.0000000000000002E-5</v>
      </c>
      <c r="AN37" s="123">
        <v>6.8424300000000002</v>
      </c>
      <c r="AO37" s="143">
        <v>0</v>
      </c>
      <c r="AP37" s="123">
        <v>0</v>
      </c>
      <c r="AQ37" s="123">
        <v>13.990819999999999</v>
      </c>
      <c r="AR37" s="123">
        <v>0</v>
      </c>
      <c r="AS37" s="123">
        <v>0</v>
      </c>
      <c r="AT37" s="123">
        <v>14.800929999999999</v>
      </c>
      <c r="AU37" s="123">
        <v>9.0000000000000006E-5</v>
      </c>
      <c r="AW37" s="142" t="s">
        <v>118</v>
      </c>
      <c r="AX37" s="123">
        <v>62.551000000000002</v>
      </c>
      <c r="AY37" s="126">
        <v>0.40625</v>
      </c>
      <c r="AZ37" s="123">
        <v>6.6359000000000004</v>
      </c>
      <c r="BA37" s="123">
        <v>12.125400000000001</v>
      </c>
      <c r="BB37" s="123">
        <v>3.8999999999999998E-3</v>
      </c>
      <c r="BC37" s="123">
        <v>7.35</v>
      </c>
      <c r="BD37" s="123">
        <v>45</v>
      </c>
      <c r="BE37" s="123">
        <v>2.4900000000000002</v>
      </c>
      <c r="BF37" s="126">
        <v>0.43194444444444446</v>
      </c>
      <c r="BG37" s="150"/>
    </row>
    <row r="38" spans="2:59" ht="15.75" customHeight="1" x14ac:dyDescent="0.15">
      <c r="B38" s="123" t="s">
        <v>116</v>
      </c>
      <c r="C38" s="123">
        <v>18</v>
      </c>
      <c r="D38" s="123">
        <f t="shared" si="2"/>
        <v>17.994500000000002</v>
      </c>
      <c r="E38" s="124">
        <f t="shared" si="3"/>
        <v>5.4304161990000009E-3</v>
      </c>
      <c r="G38" s="124">
        <f t="shared" si="3"/>
        <v>1.6160770477500002E-3</v>
      </c>
      <c r="H38" s="124">
        <f t="shared" ref="H38" si="23">H11*$D38*1000</f>
        <v>2.5997014040000004E-3</v>
      </c>
      <c r="J38" s="124">
        <f t="shared" ref="J38" si="24">J11*$D38*1000</f>
        <v>6.6420578620000007E-3</v>
      </c>
      <c r="L38" s="124">
        <f t="shared" ref="L38:M38" si="25">L11*$D38*1000</f>
        <v>6.4368305895000011E-3</v>
      </c>
      <c r="M38" s="124">
        <f t="shared" si="25"/>
        <v>5.6088316664999998E-4</v>
      </c>
      <c r="O38" s="123" t="s">
        <v>109</v>
      </c>
      <c r="P38" s="123">
        <f>VLOOKUP($O38,$AL$5:$AY$20,14,FALSE)</f>
        <v>18.0259</v>
      </c>
      <c r="Q38" s="129"/>
      <c r="R38" s="179" t="e">
        <f>R19*($AT50-$AN50)/($AT50-$AQ50)*($AT28-$AN28)/($AT28-$AQ28)*$P38/1000000000/R$10*1000</f>
        <v>#VALUE!</v>
      </c>
      <c r="S38" s="179">
        <f t="shared" ref="S38:AE38" si="26">S19*($AT50-$AN50)/($AT50-$AQ50)*($AT28-$AN28)/($AT28-$AQ28)*$P38/1000000000/S$10*1000</f>
        <v>1.2853200222017253E-5</v>
      </c>
      <c r="T38" s="179" t="e">
        <f t="shared" si="26"/>
        <v>#VALUE!</v>
      </c>
      <c r="U38" s="179">
        <f t="shared" si="26"/>
        <v>1.1198881193842145E-5</v>
      </c>
      <c r="V38" s="179">
        <f t="shared" si="26"/>
        <v>1.9515821276590865E-5</v>
      </c>
      <c r="W38" s="179" t="e">
        <f t="shared" si="26"/>
        <v>#VALUE!</v>
      </c>
      <c r="X38" s="179" t="e">
        <f t="shared" si="26"/>
        <v>#VALUE!</v>
      </c>
      <c r="Y38" s="179" t="e">
        <f t="shared" si="26"/>
        <v>#VALUE!</v>
      </c>
      <c r="Z38" s="179">
        <f t="shared" si="26"/>
        <v>6.1838985734509883E-6</v>
      </c>
      <c r="AA38" s="179" t="e">
        <f t="shared" si="26"/>
        <v>#VALUE!</v>
      </c>
      <c r="AB38" s="179">
        <f t="shared" si="26"/>
        <v>2.8829224313895385E-4</v>
      </c>
      <c r="AC38" s="179">
        <f t="shared" si="26"/>
        <v>7.3224079913297841E-6</v>
      </c>
      <c r="AD38" s="179">
        <f t="shared" si="26"/>
        <v>4.3968910118827344E-6</v>
      </c>
      <c r="AE38" s="179" t="e">
        <f t="shared" si="26"/>
        <v>#VALUE!</v>
      </c>
      <c r="AF38" s="179">
        <f>AF19*($AT50-$AN50)/($AT50-$AQ50)*($AT28-$AN28)/($AT28-$AQ28)*$P38/1000000000/AF$10*1000</f>
        <v>3.9680369882444358E-6</v>
      </c>
      <c r="AG38" s="129"/>
      <c r="AH38" s="129"/>
      <c r="AI38" s="129"/>
      <c r="AL38" s="142" t="s">
        <v>111</v>
      </c>
      <c r="AM38" s="123">
        <v>4.0000000000000003E-5</v>
      </c>
      <c r="AN38" s="123">
        <v>6.7979099999999999</v>
      </c>
      <c r="AO38" s="143">
        <v>0</v>
      </c>
      <c r="AP38" s="123">
        <v>0</v>
      </c>
      <c r="AQ38" s="123">
        <v>13.96489</v>
      </c>
      <c r="AR38" s="123">
        <v>0</v>
      </c>
      <c r="AS38" s="123">
        <v>0</v>
      </c>
      <c r="AT38" s="123">
        <v>14.77657</v>
      </c>
      <c r="AU38" s="123">
        <v>0</v>
      </c>
      <c r="AW38" s="142" t="s">
        <v>119</v>
      </c>
      <c r="AX38" s="123">
        <v>64.740799999999993</v>
      </c>
      <c r="AY38" s="126">
        <v>4.3749999999999997E-2</v>
      </c>
      <c r="AZ38" s="123">
        <v>6.6696999999999997</v>
      </c>
      <c r="BA38" s="123">
        <v>11.420500000000001</v>
      </c>
      <c r="BB38" s="123">
        <v>7.1999999999999998E-3</v>
      </c>
      <c r="BC38" s="123">
        <v>7.41</v>
      </c>
      <c r="BD38" s="123">
        <v>50</v>
      </c>
      <c r="BE38" s="123">
        <v>2.39</v>
      </c>
      <c r="BF38" s="126">
        <v>0.58194444444444449</v>
      </c>
      <c r="BG38" s="150"/>
    </row>
    <row r="39" spans="2:59" ht="15.75" customHeight="1" x14ac:dyDescent="0.15">
      <c r="B39" s="123" t="s">
        <v>117</v>
      </c>
      <c r="C39" s="123">
        <v>1</v>
      </c>
      <c r="D39" s="123">
        <f t="shared" si="2"/>
        <v>18.013100000000001</v>
      </c>
      <c r="E39" s="124">
        <f>E16*$D39*1000</f>
        <v>5.9965429769000007E-3</v>
      </c>
      <c r="G39" s="124">
        <f>G16*$D39*1000</f>
        <v>6.2814021403000001E-3</v>
      </c>
      <c r="H39" s="124">
        <f>H16*$D39*1000</f>
        <v>2.2013629379000001E-2</v>
      </c>
      <c r="J39" s="124">
        <f>J16*$D39*1000</f>
        <v>0.111405079177</v>
      </c>
      <c r="L39" s="124">
        <f>L16*$D39*1000</f>
        <v>6.6207869574000005E-3</v>
      </c>
      <c r="M39" s="124">
        <f>M16*$D39*1000</f>
        <v>3.8039704318000003E-4</v>
      </c>
      <c r="O39" s="123" t="s">
        <v>110</v>
      </c>
      <c r="P39" s="123">
        <f t="shared" ref="P39:P53" si="27">VLOOKUP($O39,$AL$5:$AY$20,14,FALSE)</f>
        <v>17.929400000000001</v>
      </c>
      <c r="Q39" s="129"/>
      <c r="R39" s="179" t="e">
        <f t="shared" ref="R39:AE53" si="28">R20*($AT51-$AN51)/($AT51-$AQ51)*($AT29-$AN29)/($AT29-$AQ29)*$P39/1000000000/R$10*1000</f>
        <v>#VALUE!</v>
      </c>
      <c r="S39" s="179">
        <f t="shared" si="28"/>
        <v>1.5767632417645443E-5</v>
      </c>
      <c r="T39" s="179" t="e">
        <f t="shared" si="28"/>
        <v>#VALUE!</v>
      </c>
      <c r="U39" s="179">
        <f t="shared" si="28"/>
        <v>1.4377186605321071E-5</v>
      </c>
      <c r="V39" s="179">
        <f t="shared" si="28"/>
        <v>4.4631171849338687E-5</v>
      </c>
      <c r="W39" s="179" t="e">
        <f t="shared" si="28"/>
        <v>#VALUE!</v>
      </c>
      <c r="X39" s="179" t="e">
        <f t="shared" si="28"/>
        <v>#VALUE!</v>
      </c>
      <c r="Y39" s="179" t="e">
        <f t="shared" si="28"/>
        <v>#VALUE!</v>
      </c>
      <c r="Z39" s="179">
        <f t="shared" si="28"/>
        <v>6.1747184621977396E-6</v>
      </c>
      <c r="AA39" s="179" t="e">
        <f t="shared" si="28"/>
        <v>#VALUE!</v>
      </c>
      <c r="AB39" s="179">
        <f t="shared" si="28"/>
        <v>2.3197412828207244E-4</v>
      </c>
      <c r="AC39" s="179">
        <f t="shared" si="28"/>
        <v>6.7343110780568264E-6</v>
      </c>
      <c r="AD39" s="179">
        <f t="shared" si="28"/>
        <v>4.2074319234860678E-6</v>
      </c>
      <c r="AE39" s="179" t="e">
        <f t="shared" si="28"/>
        <v>#VALUE!</v>
      </c>
      <c r="AF39" s="179">
        <f t="shared" ref="AF39" si="29">AF20*($AT51-$AN51)/($AT51-$AQ51)*($AT29-$AN29)/($AT29-$AQ29)*$P39/1000000000/AF$10*1000</f>
        <v>2.9396569799642334E-6</v>
      </c>
      <c r="AG39" s="129"/>
      <c r="AH39" s="129"/>
      <c r="AI39" s="129"/>
      <c r="AL39" s="142" t="s">
        <v>112</v>
      </c>
      <c r="AM39" s="143">
        <v>0</v>
      </c>
      <c r="AN39" s="123">
        <v>6.8419499999999998</v>
      </c>
      <c r="AO39" s="123">
        <v>6.0000000000000002E-5</v>
      </c>
      <c r="AP39" s="123">
        <v>0</v>
      </c>
      <c r="AQ39" s="123">
        <v>14.02834</v>
      </c>
      <c r="AR39" s="123">
        <v>0</v>
      </c>
      <c r="AS39" s="123">
        <v>0</v>
      </c>
      <c r="AT39" s="123">
        <v>14.84442</v>
      </c>
      <c r="AU39" s="123">
        <v>0</v>
      </c>
      <c r="AW39" s="142" t="s">
        <v>120</v>
      </c>
      <c r="AX39" s="123">
        <v>63.8232</v>
      </c>
      <c r="AY39" s="126">
        <v>6.8750000000000006E-2</v>
      </c>
      <c r="AZ39" s="123">
        <v>6.6524000000000001</v>
      </c>
      <c r="BA39" s="123">
        <v>11.422800000000001</v>
      </c>
      <c r="BB39" s="123">
        <v>0</v>
      </c>
      <c r="BC39" s="123">
        <v>7.49</v>
      </c>
      <c r="BD39" s="123">
        <v>50</v>
      </c>
      <c r="BE39" s="123">
        <v>2.42</v>
      </c>
      <c r="BF39" s="126">
        <v>0.58888888888888891</v>
      </c>
      <c r="BG39" s="150"/>
    </row>
    <row r="40" spans="2:59" ht="15.75" customHeight="1" x14ac:dyDescent="0.15">
      <c r="B40" s="123" t="s">
        <v>118</v>
      </c>
      <c r="C40" s="123">
        <v>2</v>
      </c>
      <c r="D40" s="123">
        <f t="shared" si="2"/>
        <v>18.160499999999999</v>
      </c>
      <c r="E40" s="124">
        <f t="shared" ref="E40:G46" si="30">E17*$D40*1000</f>
        <v>1.1222172011999999E-2</v>
      </c>
      <c r="G40" s="124">
        <f t="shared" si="30"/>
        <v>5.9095719839999993E-3</v>
      </c>
      <c r="H40" s="124">
        <f t="shared" ref="H40" si="31">H17*$D40*1000</f>
        <v>2.4890962904999998E-2</v>
      </c>
      <c r="J40" s="124">
        <f t="shared" ref="J40" si="32">J17*$D40*1000</f>
        <v>0.11277833944499999</v>
      </c>
      <c r="L40" s="124">
        <f t="shared" ref="L40:M40" si="33">L17*$D40*1000</f>
        <v>7.2220131585000007E-3</v>
      </c>
      <c r="M40" s="124">
        <f t="shared" si="33"/>
        <v>5.8376382434999988E-4</v>
      </c>
      <c r="O40" s="123" t="s">
        <v>111</v>
      </c>
      <c r="P40" s="123">
        <f t="shared" si="27"/>
        <v>18.019000000000005</v>
      </c>
      <c r="Q40" s="129"/>
      <c r="R40" s="179" t="e">
        <f t="shared" si="28"/>
        <v>#VALUE!</v>
      </c>
      <c r="S40" s="179">
        <f t="shared" si="28"/>
        <v>1.7066180108297846E-5</v>
      </c>
      <c r="T40" s="179" t="e">
        <f t="shared" si="28"/>
        <v>#VALUE!</v>
      </c>
      <c r="U40" s="179">
        <f t="shared" si="28"/>
        <v>2.7664397777584135E-6</v>
      </c>
      <c r="V40" s="179">
        <f t="shared" si="28"/>
        <v>1.9730940042995163E-5</v>
      </c>
      <c r="W40" s="179" t="e">
        <f t="shared" si="28"/>
        <v>#VALUE!</v>
      </c>
      <c r="X40" s="179" t="e">
        <f t="shared" si="28"/>
        <v>#VALUE!</v>
      </c>
      <c r="Y40" s="179" t="e">
        <f t="shared" si="28"/>
        <v>#VALUE!</v>
      </c>
      <c r="Z40" s="179">
        <f t="shared" si="28"/>
        <v>6.3926634812458291E-6</v>
      </c>
      <c r="AA40" s="179" t="e">
        <f t="shared" si="28"/>
        <v>#VALUE!</v>
      </c>
      <c r="AB40" s="179">
        <f t="shared" si="28"/>
        <v>3.399749261362289E-4</v>
      </c>
      <c r="AC40" s="179">
        <f t="shared" si="28"/>
        <v>4.5816050425748963E-6</v>
      </c>
      <c r="AD40" s="179">
        <f t="shared" si="28"/>
        <v>4.3559389098890285E-6</v>
      </c>
      <c r="AE40" s="179" t="e">
        <f t="shared" si="28"/>
        <v>#VALUE!</v>
      </c>
      <c r="AF40" s="179">
        <f t="shared" ref="AF40" si="34">AF21*($AT52-$AN52)/($AT52-$AQ52)*($AT30-$AN30)/($AT30-$AQ30)*$P40/1000000000/AF$10*1000</f>
        <v>4.8417984033597986E-6</v>
      </c>
      <c r="AG40" s="129"/>
      <c r="AH40" s="129"/>
      <c r="AI40" s="129"/>
      <c r="AL40" s="142" t="s">
        <v>113</v>
      </c>
      <c r="AM40" s="143">
        <v>0</v>
      </c>
      <c r="AN40" s="123">
        <v>6.7829800000000002</v>
      </c>
      <c r="AO40" s="143">
        <v>0</v>
      </c>
      <c r="AP40" s="123">
        <v>0</v>
      </c>
      <c r="AQ40" s="123">
        <v>13.945309999999999</v>
      </c>
      <c r="AR40" s="123">
        <v>4.0000000000000003E-5</v>
      </c>
      <c r="AS40" s="123">
        <v>0</v>
      </c>
      <c r="AT40" s="123">
        <v>14.76318</v>
      </c>
      <c r="AU40" s="123">
        <v>0</v>
      </c>
      <c r="AW40" s="142" t="s">
        <v>121</v>
      </c>
      <c r="AX40" s="123">
        <v>60.504800000000003</v>
      </c>
      <c r="AY40" s="126">
        <v>0.14097222222222222</v>
      </c>
      <c r="AZ40" s="123">
        <v>6.6406000000000001</v>
      </c>
      <c r="BA40" s="123">
        <v>11.362</v>
      </c>
      <c r="BB40" s="123">
        <v>0</v>
      </c>
      <c r="BC40" s="123">
        <v>7.48</v>
      </c>
      <c r="BD40" s="123">
        <v>50</v>
      </c>
      <c r="BE40" s="123">
        <v>2.41</v>
      </c>
      <c r="BF40" s="126">
        <v>0.66180555555555554</v>
      </c>
      <c r="BG40" s="150"/>
    </row>
    <row r="41" spans="2:59" ht="15.75" customHeight="1" x14ac:dyDescent="0.15">
      <c r="B41" s="123" t="s">
        <v>119</v>
      </c>
      <c r="C41" s="123">
        <v>4</v>
      </c>
      <c r="D41" s="123">
        <f t="shared" si="2"/>
        <v>18.002800000000001</v>
      </c>
      <c r="E41" s="124">
        <f t="shared" si="30"/>
        <v>4.3838078195999998E-3</v>
      </c>
      <c r="G41" s="124">
        <f t="shared" si="30"/>
        <v>5.7016307823999999E-3</v>
      </c>
      <c r="H41" s="124">
        <f t="shared" ref="H41" si="35">H18*$D41*1000</f>
        <v>2.3085350495999999E-2</v>
      </c>
      <c r="J41" s="124">
        <f t="shared" ref="J41" si="36">J18*$D41*1000</f>
        <v>0.111758141896</v>
      </c>
      <c r="L41" s="124">
        <f t="shared" ref="L41:M41" si="37">L18*$D41*1000</f>
        <v>8.6099831223999997E-3</v>
      </c>
      <c r="M41" s="124">
        <f t="shared" si="37"/>
        <v>4.9590512880000001E-4</v>
      </c>
      <c r="O41" s="123" t="s">
        <v>112</v>
      </c>
      <c r="P41" s="123">
        <f t="shared" si="27"/>
        <v>18.070500000000003</v>
      </c>
      <c r="Q41" s="129"/>
      <c r="R41" s="179" t="e">
        <f t="shared" si="28"/>
        <v>#VALUE!</v>
      </c>
      <c r="S41" s="179">
        <f t="shared" si="28"/>
        <v>1.103893493167553E-5</v>
      </c>
      <c r="T41" s="179" t="e">
        <f t="shared" si="28"/>
        <v>#VALUE!</v>
      </c>
      <c r="U41" s="179">
        <f t="shared" si="28"/>
        <v>6.7326893746069886E-6</v>
      </c>
      <c r="V41" s="179">
        <f t="shared" si="28"/>
        <v>1.5139065581506314E-5</v>
      </c>
      <c r="W41" s="179" t="e">
        <f t="shared" si="28"/>
        <v>#VALUE!</v>
      </c>
      <c r="X41" s="179" t="e">
        <f t="shared" si="28"/>
        <v>#VALUE!</v>
      </c>
      <c r="Y41" s="179" t="e">
        <f t="shared" si="28"/>
        <v>#VALUE!</v>
      </c>
      <c r="Z41" s="179">
        <f t="shared" si="28"/>
        <v>1.7780384466563592E-5</v>
      </c>
      <c r="AA41" s="179" t="e">
        <f t="shared" si="28"/>
        <v>#VALUE!</v>
      </c>
      <c r="AB41" s="179">
        <f t="shared" si="28"/>
        <v>3.3087862342100281E-4</v>
      </c>
      <c r="AC41" s="179">
        <f t="shared" si="28"/>
        <v>3.8615620039646908E-6</v>
      </c>
      <c r="AD41" s="179">
        <f t="shared" si="28"/>
        <v>3.6713614616954144E-6</v>
      </c>
      <c r="AE41" s="179" t="e">
        <f t="shared" si="28"/>
        <v>#VALUE!</v>
      </c>
      <c r="AF41" s="179">
        <f t="shared" ref="AF41" si="38">AF22*($AT53-$AN53)/($AT53-$AQ53)*($AT31-$AN31)/($AT31-$AQ31)*$P41/1000000000/AF$10*1000</f>
        <v>4.2324384199516763E-6</v>
      </c>
      <c r="AG41" s="129"/>
      <c r="AH41" s="129"/>
      <c r="AI41" s="129"/>
      <c r="AL41" s="142" t="s">
        <v>114</v>
      </c>
      <c r="AM41" s="143">
        <v>0</v>
      </c>
      <c r="AN41" s="123">
        <v>6.8948499999999999</v>
      </c>
      <c r="AO41" s="143">
        <v>0</v>
      </c>
      <c r="AP41" s="123">
        <v>0</v>
      </c>
      <c r="AQ41" s="123">
        <v>14.07551</v>
      </c>
      <c r="AR41" s="123">
        <v>0</v>
      </c>
      <c r="AS41" s="123">
        <v>0</v>
      </c>
      <c r="AT41" s="123">
        <v>14.89411</v>
      </c>
      <c r="AU41" s="123">
        <v>5.0000000000000002E-5</v>
      </c>
      <c r="AW41" s="142" t="s">
        <v>122</v>
      </c>
      <c r="AX41" s="123">
        <v>65.471500000000006</v>
      </c>
      <c r="AY41" s="126">
        <v>0.20208333333333334</v>
      </c>
      <c r="AZ41" s="123">
        <v>6.6342999999999996</v>
      </c>
      <c r="BA41" s="123">
        <v>11.558299999999999</v>
      </c>
      <c r="BB41" s="85">
        <v>0</v>
      </c>
      <c r="BC41" s="123">
        <v>7.84</v>
      </c>
      <c r="BD41" s="123">
        <v>50</v>
      </c>
      <c r="BE41" s="123">
        <v>2.2200000000000002</v>
      </c>
      <c r="BF41" s="126">
        <v>0.72013888888888888</v>
      </c>
      <c r="BG41" s="150"/>
    </row>
    <row r="42" spans="2:59" ht="15.75" customHeight="1" x14ac:dyDescent="0.15">
      <c r="B42" s="123" t="s">
        <v>120</v>
      </c>
      <c r="C42" s="123">
        <v>7</v>
      </c>
      <c r="D42" s="123">
        <f t="shared" si="2"/>
        <v>18.003300000000003</v>
      </c>
      <c r="E42" s="124">
        <f t="shared" si="30"/>
        <v>5.2268800857000015E-3</v>
      </c>
      <c r="G42" s="124">
        <f t="shared" si="30"/>
        <v>6.0332118861000017E-3</v>
      </c>
      <c r="H42" s="124">
        <f t="shared" ref="H42" si="39">H19*$D42*1000</f>
        <v>2.4553080573000003E-2</v>
      </c>
      <c r="J42" s="124">
        <f t="shared" ref="J42" si="40">J19*$D42*1000</f>
        <v>0.11179437187800001</v>
      </c>
      <c r="L42" s="124">
        <f t="shared" ref="L42:M42" si="41">L19*$D42*1000</f>
        <v>9.0884079027000013E-3</v>
      </c>
      <c r="M42" s="124">
        <f t="shared" si="41"/>
        <v>5.2236214884000007E-4</v>
      </c>
      <c r="O42" s="123" t="s">
        <v>113</v>
      </c>
      <c r="P42" s="123">
        <f t="shared" si="27"/>
        <v>18.002099999999999</v>
      </c>
      <c r="Q42" s="129"/>
      <c r="R42" s="179" t="e">
        <f t="shared" si="28"/>
        <v>#VALUE!</v>
      </c>
      <c r="S42" s="179">
        <f t="shared" si="28"/>
        <v>1.2382856692952243E-5</v>
      </c>
      <c r="T42" s="179" t="e">
        <f t="shared" si="28"/>
        <v>#VALUE!</v>
      </c>
      <c r="U42" s="179">
        <f t="shared" si="28"/>
        <v>3.4905830821787298E-6</v>
      </c>
      <c r="V42" s="179">
        <f t="shared" si="28"/>
        <v>2.185203482986425E-5</v>
      </c>
      <c r="W42" s="179" t="e">
        <f t="shared" si="28"/>
        <v>#VALUE!</v>
      </c>
      <c r="X42" s="179" t="e">
        <f t="shared" si="28"/>
        <v>#VALUE!</v>
      </c>
      <c r="Y42" s="179" t="e">
        <f t="shared" si="28"/>
        <v>#VALUE!</v>
      </c>
      <c r="Z42" s="179">
        <f t="shared" si="28"/>
        <v>6.9327664667915041E-6</v>
      </c>
      <c r="AA42" s="179" t="e">
        <f t="shared" si="28"/>
        <v>#VALUE!</v>
      </c>
      <c r="AB42" s="179">
        <f t="shared" si="28"/>
        <v>3.0560897633829669E-4</v>
      </c>
      <c r="AC42" s="179">
        <f t="shared" si="28"/>
        <v>4.2042807456093805E-6</v>
      </c>
      <c r="AD42" s="179">
        <f t="shared" si="28"/>
        <v>3.9971996533347592E-6</v>
      </c>
      <c r="AE42" s="179" t="e">
        <f t="shared" si="28"/>
        <v>#VALUE!</v>
      </c>
      <c r="AF42" s="179">
        <f t="shared" ref="AF42" si="42">AF23*($AT54-$AN54)/($AT54-$AQ54)*($AT32-$AN32)/($AT32-$AQ32)*$P42/1000000000/AF$10*1000</f>
        <v>3.1736039494901973E-6</v>
      </c>
      <c r="AG42" s="129"/>
      <c r="AH42" s="129"/>
      <c r="AI42" s="129"/>
      <c r="AL42" s="142" t="s">
        <v>115</v>
      </c>
      <c r="AM42" s="123">
        <v>2.0000000000000002E-5</v>
      </c>
      <c r="AN42" s="123">
        <v>6.7914899999999996</v>
      </c>
      <c r="AO42" s="143">
        <v>0</v>
      </c>
      <c r="AP42" s="123">
        <v>0</v>
      </c>
      <c r="AQ42" s="123">
        <v>13.928649999999999</v>
      </c>
      <c r="AR42" s="123">
        <v>0</v>
      </c>
      <c r="AS42" s="123">
        <v>0</v>
      </c>
      <c r="AT42" s="123">
        <v>14.73687</v>
      </c>
      <c r="AU42" s="123">
        <v>0</v>
      </c>
      <c r="AW42" s="142" t="s">
        <v>123</v>
      </c>
      <c r="AX42" s="123">
        <v>64.9011</v>
      </c>
      <c r="AY42" s="126">
        <v>0.52569444444444446</v>
      </c>
      <c r="AZ42" s="123">
        <v>6.8445999999999998</v>
      </c>
      <c r="BA42" s="123">
        <v>11.737500000000001</v>
      </c>
      <c r="BB42" s="85">
        <v>0</v>
      </c>
      <c r="BC42" s="123">
        <v>7.52</v>
      </c>
      <c r="BD42" s="123">
        <v>50</v>
      </c>
      <c r="BE42" s="123">
        <v>2.57</v>
      </c>
      <c r="BF42" s="126">
        <v>0.56527777777777777</v>
      </c>
      <c r="BG42" s="150"/>
    </row>
    <row r="43" spans="2:59" ht="15.75" customHeight="1" x14ac:dyDescent="0.15">
      <c r="B43" s="123" t="s">
        <v>121</v>
      </c>
      <c r="C43" s="123">
        <v>10</v>
      </c>
      <c r="D43" s="123">
        <f t="shared" si="2"/>
        <v>18.096799999999995</v>
      </c>
      <c r="E43" s="124">
        <f t="shared" si="30"/>
        <v>4.0736620671999995E-3</v>
      </c>
      <c r="G43" s="124">
        <f t="shared" si="30"/>
        <v>6.3309483183999985E-3</v>
      </c>
      <c r="H43" s="124">
        <f t="shared" ref="H43" si="43">H20*$D43*1000</f>
        <v>2.3835657215999992E-2</v>
      </c>
      <c r="J43" s="124">
        <f t="shared" ref="J43" si="44">J20*$D43*1000</f>
        <v>0.11072382305599997</v>
      </c>
      <c r="L43" s="124">
        <f t="shared" ref="L43:M43" si="45">L20*$D43*1000</f>
        <v>9.688520009599997E-3</v>
      </c>
      <c r="M43" s="124">
        <f t="shared" si="45"/>
        <v>4.8085731151999985E-4</v>
      </c>
      <c r="O43" s="123" t="s">
        <v>114</v>
      </c>
      <c r="P43" s="123">
        <f t="shared" si="27"/>
        <v>17.9542</v>
      </c>
      <c r="Q43" s="129"/>
      <c r="R43" s="179" t="e">
        <f t="shared" si="28"/>
        <v>#VALUE!</v>
      </c>
      <c r="S43" s="179">
        <f t="shared" si="28"/>
        <v>8.9283008036869532E-6</v>
      </c>
      <c r="T43" s="179" t="e">
        <f t="shared" si="28"/>
        <v>#VALUE!</v>
      </c>
      <c r="U43" s="179">
        <f t="shared" si="28"/>
        <v>2.5930501933700016E-6</v>
      </c>
      <c r="V43" s="179">
        <f t="shared" si="28"/>
        <v>6.6962056182079493E-6</v>
      </c>
      <c r="W43" s="179" t="e">
        <f t="shared" si="28"/>
        <v>#VALUE!</v>
      </c>
      <c r="X43" s="179" t="e">
        <f t="shared" si="28"/>
        <v>#VALUE!</v>
      </c>
      <c r="Y43" s="179" t="e">
        <f t="shared" si="28"/>
        <v>#VALUE!</v>
      </c>
      <c r="Z43" s="179">
        <f t="shared" si="28"/>
        <v>8.1709042247262817E-6</v>
      </c>
      <c r="AA43" s="179" t="e">
        <f t="shared" si="28"/>
        <v>#VALUE!</v>
      </c>
      <c r="AB43" s="179">
        <f t="shared" si="28"/>
        <v>4.5666066530614075E-4</v>
      </c>
      <c r="AC43" s="179">
        <f t="shared" si="28"/>
        <v>2.5376283787760006E-6</v>
      </c>
      <c r="AD43" s="179">
        <f t="shared" si="28"/>
        <v>3.1549880874115936E-6</v>
      </c>
      <c r="AE43" s="179" t="e">
        <f t="shared" si="28"/>
        <v>#VALUE!</v>
      </c>
      <c r="AF43" s="179">
        <f t="shared" ref="AF43" si="46">AF24*($AT55-$AN55)/($AT55-$AQ55)*($AT33-$AN33)/($AT33-$AQ33)*$P43/1000000000/AF$10*1000</f>
        <v>6.7426668965400674E-6</v>
      </c>
      <c r="AG43" s="129"/>
      <c r="AH43" s="129"/>
      <c r="AI43" s="129"/>
      <c r="AL43" s="142" t="s">
        <v>116</v>
      </c>
      <c r="AM43" s="143">
        <v>0</v>
      </c>
      <c r="AN43" s="123">
        <v>6.8728600000000002</v>
      </c>
      <c r="AO43" s="143">
        <v>0</v>
      </c>
      <c r="AP43" s="123">
        <v>0</v>
      </c>
      <c r="AQ43" s="123">
        <v>14.028549999999999</v>
      </c>
      <c r="AR43" s="123">
        <v>0</v>
      </c>
      <c r="AS43" s="123">
        <v>0</v>
      </c>
      <c r="AT43" s="123">
        <v>14.845980000000001</v>
      </c>
      <c r="AU43" s="123">
        <v>2.0000000000000002E-5</v>
      </c>
      <c r="AW43" s="142" t="s">
        <v>124</v>
      </c>
      <c r="AX43" s="123">
        <v>61.629399999999997</v>
      </c>
      <c r="AY43" s="126">
        <v>4.3055555555555555E-2</v>
      </c>
      <c r="AZ43" s="123">
        <v>6.8475000000000001</v>
      </c>
      <c r="BA43" s="123">
        <v>11.7829</v>
      </c>
      <c r="BB43" s="85">
        <v>0</v>
      </c>
      <c r="BC43" s="123">
        <v>8.0299999999999994</v>
      </c>
      <c r="BD43" s="123">
        <v>38</v>
      </c>
      <c r="BE43" s="123">
        <v>2.63</v>
      </c>
      <c r="BF43" s="126">
        <v>0.56527777777777777</v>
      </c>
      <c r="BG43" s="150"/>
    </row>
    <row r="44" spans="2:59" ht="15.75" customHeight="1" x14ac:dyDescent="0.15">
      <c r="B44" s="123" t="s">
        <v>122</v>
      </c>
      <c r="C44" s="123">
        <v>14</v>
      </c>
      <c r="D44" s="123">
        <f t="shared" si="2"/>
        <v>18.091399999999993</v>
      </c>
      <c r="E44" s="124">
        <f t="shared" si="30"/>
        <v>9.0408334133999946E-3</v>
      </c>
      <c r="G44" s="124">
        <f t="shared" si="30"/>
        <v>6.391293609199997E-3</v>
      </c>
      <c r="H44" s="124">
        <f t="shared" ref="H44" si="47">H21*$D44*1000</f>
        <v>2.2986209183999989E-2</v>
      </c>
      <c r="J44" s="124">
        <f t="shared" ref="J44" si="48">J21*$D44*1000</f>
        <v>0.11257753569399995</v>
      </c>
      <c r="L44" s="124">
        <f t="shared" ref="L44:M44" si="49">L21*$D44*1000</f>
        <v>6.3553098145999977E-3</v>
      </c>
      <c r="M44" s="124">
        <f t="shared" si="49"/>
        <v>7.1298931055999984E-4</v>
      </c>
      <c r="O44" s="123" t="s">
        <v>115</v>
      </c>
      <c r="P44" s="123">
        <f t="shared" si="27"/>
        <v>18.004099999999994</v>
      </c>
      <c r="Q44" s="129"/>
      <c r="R44" s="179" t="e">
        <f t="shared" si="28"/>
        <v>#VALUE!</v>
      </c>
      <c r="S44" s="179">
        <f t="shared" si="28"/>
        <v>1.0729490358078827E-5</v>
      </c>
      <c r="T44" s="179" t="e">
        <f t="shared" si="28"/>
        <v>#VALUE!</v>
      </c>
      <c r="U44" s="179">
        <f t="shared" si="28"/>
        <v>4.8354368903330458E-6</v>
      </c>
      <c r="V44" s="179">
        <f t="shared" si="28"/>
        <v>1.1416566505769192E-5</v>
      </c>
      <c r="W44" s="179" t="e">
        <f t="shared" si="28"/>
        <v>#VALUE!</v>
      </c>
      <c r="X44" s="179" t="e">
        <f t="shared" si="28"/>
        <v>#VALUE!</v>
      </c>
      <c r="Y44" s="179" t="e">
        <f t="shared" si="28"/>
        <v>#VALUE!</v>
      </c>
      <c r="Z44" s="179">
        <f t="shared" si="28"/>
        <v>2.8442101914466473E-5</v>
      </c>
      <c r="AA44" s="179" t="e">
        <f t="shared" si="28"/>
        <v>#VALUE!</v>
      </c>
      <c r="AB44" s="179">
        <f t="shared" si="28"/>
        <v>4.5740258064898981E-4</v>
      </c>
      <c r="AC44" s="179">
        <f t="shared" si="28"/>
        <v>1.7472325169765646E-6</v>
      </c>
      <c r="AD44" s="179">
        <f t="shared" si="28"/>
        <v>3.3223457869446609E-6</v>
      </c>
      <c r="AE44" s="179" t="e">
        <f t="shared" si="28"/>
        <v>#VALUE!</v>
      </c>
      <c r="AF44" s="179">
        <f t="shared" ref="AF44" si="50">AF25*($AT56-$AN56)/($AT56-$AQ56)*($AT34-$AN34)/($AT34-$AQ34)*$P44/1000000000/AF$10*1000</f>
        <v>6.9637896655648484E-6</v>
      </c>
      <c r="AG44" s="129"/>
      <c r="AH44" s="129"/>
      <c r="AI44" s="129"/>
      <c r="AL44" s="117" t="s">
        <v>188</v>
      </c>
      <c r="AM44" s="123">
        <v>0</v>
      </c>
      <c r="AN44" s="123">
        <v>6.8391000000000002</v>
      </c>
      <c r="AO44" s="123">
        <v>0</v>
      </c>
      <c r="AP44" s="123">
        <v>0</v>
      </c>
      <c r="AQ44" s="123">
        <v>15.615399999999999</v>
      </c>
      <c r="AR44" s="123">
        <v>0</v>
      </c>
      <c r="AS44" s="123">
        <v>0</v>
      </c>
      <c r="AT44" s="123">
        <v>16.482800000000001</v>
      </c>
      <c r="AU44" s="123">
        <v>0</v>
      </c>
    </row>
    <row r="45" spans="2:59" ht="15.75" customHeight="1" x14ac:dyDescent="0.15">
      <c r="B45" s="123" t="s">
        <v>123</v>
      </c>
      <c r="C45" s="123">
        <v>18</v>
      </c>
      <c r="D45" s="123">
        <f t="shared" si="2"/>
        <v>17.978499999999997</v>
      </c>
      <c r="E45" s="124">
        <f t="shared" si="30"/>
        <v>7.4527714329999982E-3</v>
      </c>
      <c r="G45" s="124">
        <f t="shared" si="30"/>
        <v>5.876542402499998E-3</v>
      </c>
      <c r="H45" s="124">
        <f t="shared" ref="H45" si="51">H22*$D45*1000</f>
        <v>2.7123803379999995E-2</v>
      </c>
      <c r="J45" s="124">
        <f t="shared" ref="J45" si="52">J22*$D45*1000</f>
        <v>0.11224193291999998</v>
      </c>
      <c r="L45" s="124">
        <f t="shared" ref="L45:M45" si="53">L22*$D45*1000</f>
        <v>8.6842807044999991E-3</v>
      </c>
      <c r="M45" s="124">
        <f t="shared" si="53"/>
        <v>6.6565216464999977E-4</v>
      </c>
      <c r="O45" s="123" t="s">
        <v>116</v>
      </c>
      <c r="P45" s="123">
        <f t="shared" si="27"/>
        <v>17.994500000000002</v>
      </c>
      <c r="Q45" s="129"/>
      <c r="R45" s="179">
        <f t="shared" si="28"/>
        <v>2.2909762965042131E-5</v>
      </c>
      <c r="S45" s="179">
        <f t="shared" si="28"/>
        <v>1.6976930822116029E-5</v>
      </c>
      <c r="T45" s="179" t="e">
        <f t="shared" si="28"/>
        <v>#VALUE!</v>
      </c>
      <c r="U45" s="179" t="e">
        <f t="shared" si="28"/>
        <v>#VALUE!</v>
      </c>
      <c r="V45" s="179">
        <f t="shared" si="28"/>
        <v>3.4797331995330668E-6</v>
      </c>
      <c r="W45" s="179" t="e">
        <f t="shared" si="28"/>
        <v>#VALUE!</v>
      </c>
      <c r="X45" s="179" t="e">
        <f t="shared" si="28"/>
        <v>#VALUE!</v>
      </c>
      <c r="Y45" s="179" t="e">
        <f t="shared" si="28"/>
        <v>#VALUE!</v>
      </c>
      <c r="Z45" s="179">
        <f t="shared" si="28"/>
        <v>2.7290658462860945E-5</v>
      </c>
      <c r="AA45" s="179" t="e">
        <f t="shared" si="28"/>
        <v>#VALUE!</v>
      </c>
      <c r="AB45" s="179">
        <f t="shared" si="28"/>
        <v>4.9961516248697463E-4</v>
      </c>
      <c r="AC45" s="179">
        <f t="shared" si="28"/>
        <v>1.6073355041952371E-5</v>
      </c>
      <c r="AD45" s="179">
        <f t="shared" si="28"/>
        <v>2.5776302121284161E-6</v>
      </c>
      <c r="AE45" s="179" t="e">
        <f t="shared" si="28"/>
        <v>#VALUE!</v>
      </c>
      <c r="AF45" s="179">
        <f t="shared" ref="AF45" si="54">AF26*($AT57-$AN57)/($AT57-$AQ57)*($AT35-$AN35)/($AT35-$AQ35)*$P45/1000000000/AF$10*1000</f>
        <v>8.1042473228118182E-6</v>
      </c>
      <c r="AG45" s="129"/>
      <c r="AH45" s="129"/>
      <c r="AI45" s="129"/>
    </row>
    <row r="46" spans="2:59" ht="15.75" customHeight="1" x14ac:dyDescent="0.15">
      <c r="B46" s="123" t="s">
        <v>124</v>
      </c>
      <c r="C46" s="123">
        <v>18</v>
      </c>
      <c r="D46" s="123">
        <f t="shared" si="2"/>
        <v>18.1282</v>
      </c>
      <c r="E46" s="124">
        <f t="shared" si="30"/>
        <v>2.3789999423999997E-2</v>
      </c>
      <c r="G46" s="124">
        <f t="shared" si="30"/>
        <v>5.902088715E-3</v>
      </c>
      <c r="H46" s="124">
        <f t="shared" ref="H46" si="55">H23*$D46*1000</f>
        <v>3.0323221421999998E-2</v>
      </c>
      <c r="J46" s="124">
        <f t="shared" ref="J46" si="56">J23*$D46*1000</f>
        <v>0.11204732240599999</v>
      </c>
      <c r="L46" s="124">
        <f t="shared" ref="L46:M46" si="57">L23*$D46*1000</f>
        <v>6.8151517644000001E-3</v>
      </c>
      <c r="M46" s="124">
        <f t="shared" si="57"/>
        <v>1.4903664553200001E-3</v>
      </c>
      <c r="O46" s="123" t="s">
        <v>117</v>
      </c>
      <c r="P46" s="123">
        <f t="shared" si="27"/>
        <v>18.013100000000001</v>
      </c>
      <c r="Q46" s="129"/>
      <c r="R46" s="179" t="e">
        <f t="shared" si="28"/>
        <v>#VALUE!</v>
      </c>
      <c r="S46" s="179">
        <f t="shared" si="28"/>
        <v>1.0682054179833536E-5</v>
      </c>
      <c r="T46" s="179" t="e">
        <f t="shared" si="28"/>
        <v>#VALUE!</v>
      </c>
      <c r="U46" s="179">
        <f t="shared" si="28"/>
        <v>5.0387150107705377E-5</v>
      </c>
      <c r="V46" s="179">
        <f t="shared" si="28"/>
        <v>1.1681817490384653E-5</v>
      </c>
      <c r="W46" s="179">
        <f t="shared" si="28"/>
        <v>4.188538137677847E-6</v>
      </c>
      <c r="X46" s="179" t="e">
        <f t="shared" si="28"/>
        <v>#VALUE!</v>
      </c>
      <c r="Y46" s="179">
        <f t="shared" si="28"/>
        <v>2.4971652285744815E-6</v>
      </c>
      <c r="Z46" s="179">
        <f t="shared" si="28"/>
        <v>5.1239121217580746E-6</v>
      </c>
      <c r="AA46" s="179" t="e">
        <f t="shared" si="28"/>
        <v>#VALUE!</v>
      </c>
      <c r="AB46" s="179">
        <f t="shared" si="28"/>
        <v>3.2518544265620534E-4</v>
      </c>
      <c r="AC46" s="179">
        <f t="shared" si="28"/>
        <v>7.1513099376318836E-6</v>
      </c>
      <c r="AD46" s="179">
        <f t="shared" si="28"/>
        <v>6.4315559684150215E-6</v>
      </c>
      <c r="AE46" s="179" t="e">
        <f t="shared" si="28"/>
        <v>#VALUE!</v>
      </c>
      <c r="AF46" s="179">
        <f t="shared" ref="AF46" si="58">AF27*($AT58-$AN58)/($AT58-$AQ58)*($AT36-$AN36)/($AT36-$AQ36)*$P46/1000000000/AF$10*1000</f>
        <v>1.9258338990630113E-6</v>
      </c>
      <c r="AG46" s="129"/>
      <c r="AH46" s="129"/>
      <c r="AI46" s="129"/>
      <c r="AL46" s="136" t="s">
        <v>354</v>
      </c>
      <c r="AM46" s="137"/>
    </row>
    <row r="47" spans="2:59" ht="15.75" customHeight="1" x14ac:dyDescent="0.15">
      <c r="O47" s="123" t="s">
        <v>118</v>
      </c>
      <c r="P47" s="123">
        <f t="shared" si="27"/>
        <v>18.160499999999999</v>
      </c>
      <c r="Q47" s="129"/>
      <c r="R47" s="179" t="e">
        <f t="shared" si="28"/>
        <v>#VALUE!</v>
      </c>
      <c r="S47" s="179">
        <f t="shared" si="28"/>
        <v>2.0888055205466508E-5</v>
      </c>
      <c r="T47" s="179" t="e">
        <f t="shared" si="28"/>
        <v>#VALUE!</v>
      </c>
      <c r="U47" s="179">
        <f t="shared" si="28"/>
        <v>8.9343393842453006E-6</v>
      </c>
      <c r="V47" s="179">
        <f t="shared" si="28"/>
        <v>8.7892333618348711E-6</v>
      </c>
      <c r="W47" s="179">
        <f t="shared" si="28"/>
        <v>3.7016403719603874E-6</v>
      </c>
      <c r="X47" s="179" t="e">
        <f t="shared" si="28"/>
        <v>#VALUE!</v>
      </c>
      <c r="Y47" s="179" t="e">
        <f t="shared" si="28"/>
        <v>#VALUE!</v>
      </c>
      <c r="Z47" s="179">
        <f t="shared" si="28"/>
        <v>5.0049427663063986E-6</v>
      </c>
      <c r="AA47" s="179" t="e">
        <f t="shared" si="28"/>
        <v>#VALUE!</v>
      </c>
      <c r="AB47" s="179">
        <f t="shared" si="28"/>
        <v>5.1495591969596033E-4</v>
      </c>
      <c r="AC47" s="179">
        <f t="shared" si="28"/>
        <v>2.9891910577361972E-6</v>
      </c>
      <c r="AD47" s="179">
        <f t="shared" si="28"/>
        <v>3.9787425854225902E-6</v>
      </c>
      <c r="AE47" s="179" t="e">
        <f t="shared" si="28"/>
        <v>#VALUE!</v>
      </c>
      <c r="AF47" s="179">
        <f t="shared" ref="AF47" si="59">AF28*($AT59-$AN59)/($AT59-$AQ59)*($AT37-$AN37)/($AT37-$AQ37)*$P47/1000000000/AF$10*1000</f>
        <v>3.9712512204314693E-6</v>
      </c>
      <c r="AG47" s="129"/>
      <c r="AH47" s="129"/>
      <c r="AI47" s="129"/>
      <c r="AL47" s="144" t="s">
        <v>189</v>
      </c>
      <c r="AM47" s="144" t="s">
        <v>170</v>
      </c>
      <c r="AN47" s="145" t="s">
        <v>171</v>
      </c>
      <c r="AQ47" s="117" t="s">
        <v>413</v>
      </c>
    </row>
    <row r="48" spans="2:59" ht="15.75" customHeight="1" x14ac:dyDescent="0.15">
      <c r="O48" s="123" t="s">
        <v>119</v>
      </c>
      <c r="P48" s="123">
        <f t="shared" si="27"/>
        <v>18.002800000000001</v>
      </c>
      <c r="Q48" s="129"/>
      <c r="R48" s="179" t="e">
        <f t="shared" si="28"/>
        <v>#VALUE!</v>
      </c>
      <c r="S48" s="179">
        <f t="shared" si="28"/>
        <v>1.3252825144408489E-5</v>
      </c>
      <c r="T48" s="179" t="e">
        <f t="shared" si="28"/>
        <v>#VALUE!</v>
      </c>
      <c r="U48" s="179">
        <f t="shared" si="28"/>
        <v>3.5282716643516384E-6</v>
      </c>
      <c r="V48" s="179">
        <f t="shared" si="28"/>
        <v>5.0486802255242272E-6</v>
      </c>
      <c r="W48" s="179">
        <f t="shared" si="28"/>
        <v>3.2890942035218013E-6</v>
      </c>
      <c r="X48" s="179" t="e">
        <f t="shared" si="28"/>
        <v>#VALUE!</v>
      </c>
      <c r="Y48" s="179" t="e">
        <f t="shared" si="28"/>
        <v>#VALUE!</v>
      </c>
      <c r="Z48" s="179">
        <f t="shared" si="28"/>
        <v>3.503810524555681E-6</v>
      </c>
      <c r="AA48" s="179" t="e">
        <f t="shared" si="28"/>
        <v>#VALUE!</v>
      </c>
      <c r="AB48" s="179">
        <f t="shared" si="28"/>
        <v>4.0624712204169212E-4</v>
      </c>
      <c r="AC48" s="179">
        <f t="shared" si="28"/>
        <v>3.0906729281154133E-6</v>
      </c>
      <c r="AD48" s="179">
        <f t="shared" si="28"/>
        <v>3.856705635150085E-6</v>
      </c>
      <c r="AE48" s="179" t="e">
        <f t="shared" si="28"/>
        <v>#VALUE!</v>
      </c>
      <c r="AF48" s="179">
        <f t="shared" ref="AF48" si="60">AF29*($AT60-$AN60)/($AT60-$AQ60)*($AT38-$AN38)/($AT38-$AQ38)*$P48/1000000000/AF$10*1000</f>
        <v>1.796407221984274E-6</v>
      </c>
      <c r="AG48" s="129"/>
      <c r="AH48" s="129"/>
      <c r="AI48" s="129"/>
      <c r="AL48" s="146"/>
      <c r="AM48" s="146"/>
      <c r="AN48" s="147" t="s">
        <v>172</v>
      </c>
      <c r="AO48" s="146"/>
      <c r="AP48" s="146"/>
      <c r="AQ48" s="147" t="s">
        <v>173</v>
      </c>
      <c r="AR48" s="146"/>
      <c r="AS48" s="146"/>
      <c r="AT48" s="147" t="s">
        <v>174</v>
      </c>
      <c r="AU48" s="146"/>
    </row>
    <row r="49" spans="15:47" ht="15.75" customHeight="1" x14ac:dyDescent="0.15">
      <c r="O49" s="123" t="s">
        <v>120</v>
      </c>
      <c r="P49" s="123">
        <f t="shared" si="27"/>
        <v>18.003300000000003</v>
      </c>
      <c r="Q49" s="129"/>
      <c r="R49" s="179" t="e">
        <f t="shared" si="28"/>
        <v>#VALUE!</v>
      </c>
      <c r="S49" s="179">
        <f t="shared" si="28"/>
        <v>1.3253039532336824E-5</v>
      </c>
      <c r="T49" s="179" t="e">
        <f t="shared" si="28"/>
        <v>#VALUE!</v>
      </c>
      <c r="U49" s="179">
        <f t="shared" si="28"/>
        <v>5.1321145314869421E-6</v>
      </c>
      <c r="V49" s="179">
        <f t="shared" si="28"/>
        <v>1.0097523793744457E-5</v>
      </c>
      <c r="W49" s="179">
        <f t="shared" si="28"/>
        <v>3.5881608113980666E-6</v>
      </c>
      <c r="X49" s="179" t="e">
        <f t="shared" si="28"/>
        <v>#VALUE!</v>
      </c>
      <c r="Y49" s="179" t="e">
        <f t="shared" si="28"/>
        <v>#VALUE!</v>
      </c>
      <c r="Z49" s="179">
        <f t="shared" si="28"/>
        <v>5.9296214236752956E-6</v>
      </c>
      <c r="AA49" s="179" t="e">
        <f t="shared" si="28"/>
        <v>#VALUE!</v>
      </c>
      <c r="AB49" s="179">
        <f t="shared" si="28"/>
        <v>4.6216385562988365E-4</v>
      </c>
      <c r="AC49" s="179">
        <f t="shared" si="28"/>
        <v>2.3180421939196069E-6</v>
      </c>
      <c r="AD49" s="179">
        <f t="shared" si="28"/>
        <v>3.8567680241971216E-6</v>
      </c>
      <c r="AE49" s="179" t="e">
        <f t="shared" si="28"/>
        <v>#VALUE!</v>
      </c>
      <c r="AF49" s="179">
        <f t="shared" ref="AF49" si="61">AF30*($AT61-$AN61)/($AT61-$AQ61)*($AT39-$AN39)/($AT39-$AQ39)*$P49/1000000000/AF$10*1000</f>
        <v>2.3097037912122868E-6</v>
      </c>
      <c r="AG49" s="129"/>
      <c r="AH49" s="129"/>
      <c r="AI49" s="129"/>
      <c r="AL49" s="148" t="s">
        <v>128</v>
      </c>
      <c r="AM49" s="147" t="s">
        <v>176</v>
      </c>
      <c r="AN49" s="147" t="s">
        <v>177</v>
      </c>
      <c r="AO49" s="147" t="s">
        <v>178</v>
      </c>
      <c r="AP49" s="147" t="s">
        <v>176</v>
      </c>
      <c r="AQ49" s="147" t="s">
        <v>177</v>
      </c>
      <c r="AR49" s="147" t="s">
        <v>178</v>
      </c>
      <c r="AS49" s="147" t="s">
        <v>176</v>
      </c>
      <c r="AT49" s="147" t="s">
        <v>177</v>
      </c>
      <c r="AU49" s="147" t="s">
        <v>178</v>
      </c>
    </row>
    <row r="50" spans="15:47" ht="15.75" customHeight="1" x14ac:dyDescent="0.15">
      <c r="O50" s="123" t="s">
        <v>121</v>
      </c>
      <c r="P50" s="123">
        <f t="shared" si="27"/>
        <v>18.096799999999995</v>
      </c>
      <c r="Q50" s="129"/>
      <c r="R50" s="179" t="e">
        <f t="shared" si="28"/>
        <v>#VALUE!</v>
      </c>
      <c r="S50" s="179">
        <f t="shared" si="28"/>
        <v>1.2713653138656701E-5</v>
      </c>
      <c r="T50" s="179" t="e">
        <f t="shared" si="28"/>
        <v>#VALUE!</v>
      </c>
      <c r="U50" s="179">
        <f t="shared" si="28"/>
        <v>4.0281072864821515E-6</v>
      </c>
      <c r="V50" s="179">
        <f t="shared" si="28"/>
        <v>2.9720139417775506E-6</v>
      </c>
      <c r="W50" s="179">
        <f t="shared" si="28"/>
        <v>3.7550465461584584E-6</v>
      </c>
      <c r="X50" s="179" t="e">
        <f t="shared" si="28"/>
        <v>#VALUE!</v>
      </c>
      <c r="Y50" s="179" t="e">
        <f t="shared" si="28"/>
        <v>#VALUE!</v>
      </c>
      <c r="Z50" s="179">
        <f t="shared" si="28"/>
        <v>8.7439850377886337E-6</v>
      </c>
      <c r="AA50" s="179" t="e">
        <f t="shared" si="28"/>
        <v>#VALUE!</v>
      </c>
      <c r="AB50" s="179">
        <f t="shared" si="28"/>
        <v>4.2093920357748685E-4</v>
      </c>
      <c r="AC50" s="179">
        <f t="shared" si="28"/>
        <v>3.0323182236138027E-6</v>
      </c>
      <c r="AD50" s="179">
        <f t="shared" si="28"/>
        <v>4.2283441708395348E-6</v>
      </c>
      <c r="AE50" s="179" t="e">
        <f t="shared" si="28"/>
        <v>#VALUE!</v>
      </c>
      <c r="AF50" s="179">
        <f t="shared" ref="AF50" si="62">AF31*($AT62-$AN62)/($AT62-$AQ62)*($AT40-$AN40)/($AT40-$AQ40)*$P50/1000000000/AF$10*1000</f>
        <v>1.7457038128121034E-6</v>
      </c>
      <c r="AG50" s="129"/>
      <c r="AH50" s="129"/>
      <c r="AI50" s="129"/>
      <c r="AL50" s="142" t="s">
        <v>109</v>
      </c>
      <c r="AM50" s="143">
        <v>0</v>
      </c>
      <c r="AN50" s="123">
        <v>6.9177</v>
      </c>
      <c r="AO50" s="143">
        <v>0</v>
      </c>
      <c r="AP50" s="123">
        <v>0</v>
      </c>
      <c r="AQ50" s="123">
        <v>15.886100000000001</v>
      </c>
      <c r="AR50" s="123">
        <v>0</v>
      </c>
      <c r="AS50" s="123">
        <v>0</v>
      </c>
      <c r="AT50" s="123">
        <v>16.8811</v>
      </c>
      <c r="AU50" s="123">
        <v>0</v>
      </c>
    </row>
    <row r="51" spans="15:47" ht="15.75" customHeight="1" x14ac:dyDescent="0.15">
      <c r="O51" s="123" t="s">
        <v>122</v>
      </c>
      <c r="P51" s="123">
        <f t="shared" si="27"/>
        <v>18.091399999999993</v>
      </c>
      <c r="Q51" s="129"/>
      <c r="R51" s="179" t="e">
        <f t="shared" si="28"/>
        <v>#VALUE!</v>
      </c>
      <c r="S51" s="179">
        <f t="shared" si="28"/>
        <v>1.3014539183052418E-5</v>
      </c>
      <c r="T51" s="179" t="e">
        <f t="shared" si="28"/>
        <v>#VALUE!</v>
      </c>
      <c r="U51" s="179" t="e">
        <f t="shared" si="28"/>
        <v>#VALUE!</v>
      </c>
      <c r="V51" s="179" t="e">
        <f t="shared" si="28"/>
        <v>#VALUE!</v>
      </c>
      <c r="W51" s="179">
        <f t="shared" si="28"/>
        <v>3.0202188299796621E-6</v>
      </c>
      <c r="X51" s="179" t="e">
        <f t="shared" si="28"/>
        <v>#VALUE!</v>
      </c>
      <c r="Y51" s="179" t="e">
        <f t="shared" si="28"/>
        <v>#VALUE!</v>
      </c>
      <c r="Z51" s="179">
        <f t="shared" si="28"/>
        <v>4.3558410842995772E-6</v>
      </c>
      <c r="AA51" s="179" t="e">
        <f t="shared" si="28"/>
        <v>#VALUE!</v>
      </c>
      <c r="AB51" s="179">
        <f t="shared" si="28"/>
        <v>6.0454222274617872E-4</v>
      </c>
      <c r="AC51" s="179">
        <f t="shared" si="28"/>
        <v>1.5609099035972239E-6</v>
      </c>
      <c r="AD51" s="179">
        <f t="shared" si="28"/>
        <v>3.5245654714295337E-6</v>
      </c>
      <c r="AE51" s="179" t="e">
        <f t="shared" si="28"/>
        <v>#VALUE!</v>
      </c>
      <c r="AF51" s="179">
        <f t="shared" ref="AF51" si="63">AF32*($AT63-$AN63)/($AT63-$AQ63)*($AT41-$AN41)/($AT41-$AQ41)*$P51/1000000000/AF$10*1000</f>
        <v>4.9251009536687359E-6</v>
      </c>
      <c r="AG51" s="129"/>
      <c r="AH51" s="129"/>
      <c r="AI51" s="129"/>
      <c r="AL51" s="142" t="s">
        <v>110</v>
      </c>
      <c r="AM51" s="123">
        <v>0</v>
      </c>
      <c r="AN51" s="123">
        <v>6.8930999999999996</v>
      </c>
      <c r="AO51" s="143">
        <v>-1E-4</v>
      </c>
      <c r="AP51" s="123">
        <v>-1E-4</v>
      </c>
      <c r="AQ51" s="123">
        <v>15.934799999999999</v>
      </c>
      <c r="AR51" s="123">
        <v>-1E-4</v>
      </c>
      <c r="AS51" s="123">
        <v>-1E-4</v>
      </c>
      <c r="AT51" s="123">
        <v>16.930599999999998</v>
      </c>
      <c r="AU51" s="123">
        <v>0</v>
      </c>
    </row>
    <row r="52" spans="15:47" ht="15.75" customHeight="1" x14ac:dyDescent="0.15">
      <c r="O52" s="123" t="s">
        <v>123</v>
      </c>
      <c r="P52" s="123">
        <f t="shared" si="27"/>
        <v>17.978499999999997</v>
      </c>
      <c r="Q52" s="129"/>
      <c r="R52" s="179" t="e">
        <f t="shared" si="28"/>
        <v>#VALUE!</v>
      </c>
      <c r="S52" s="179">
        <f t="shared" si="28"/>
        <v>1.1854200028185137E-5</v>
      </c>
      <c r="T52" s="179" t="e">
        <f t="shared" si="28"/>
        <v>#VALUE!</v>
      </c>
      <c r="U52" s="179" t="e">
        <f t="shared" si="28"/>
        <v>#VALUE!</v>
      </c>
      <c r="V52" s="179">
        <f t="shared" si="28"/>
        <v>4.7416658599623546E-6</v>
      </c>
      <c r="W52" s="179">
        <f t="shared" si="28"/>
        <v>2.8884919794468524E-6</v>
      </c>
      <c r="X52" s="179" t="e">
        <f t="shared" si="28"/>
        <v>#VALUE!</v>
      </c>
      <c r="Y52" s="179" t="e">
        <f t="shared" si="28"/>
        <v>#VALUE!</v>
      </c>
      <c r="Z52" s="179">
        <f t="shared" si="28"/>
        <v>4.3394386108071119E-6</v>
      </c>
      <c r="AA52" s="179" t="e">
        <f t="shared" si="28"/>
        <v>#VALUE!</v>
      </c>
      <c r="AB52" s="179">
        <f t="shared" si="28"/>
        <v>5.8219021739497247E-4</v>
      </c>
      <c r="AC52" s="179">
        <f t="shared" si="28"/>
        <v>2.0733761318261928E-6</v>
      </c>
      <c r="AD52" s="179">
        <f t="shared" si="28"/>
        <v>3.7453794900933186E-6</v>
      </c>
      <c r="AE52" s="179" t="e">
        <f t="shared" si="28"/>
        <v>#VALUE!</v>
      </c>
      <c r="AF52" s="179">
        <f t="shared" ref="AF52" si="64">AF33*($AT64-$AN64)/($AT64-$AQ64)*($AT42-$AN42)/($AT42-$AQ42)*$P52/1000000000/AF$10*1000</f>
        <v>4.1318356713692415E-6</v>
      </c>
      <c r="AG52" s="129"/>
      <c r="AH52" s="129"/>
      <c r="AI52" s="129"/>
      <c r="AL52" s="142" t="s">
        <v>111</v>
      </c>
      <c r="AM52" s="123">
        <v>0</v>
      </c>
      <c r="AN52" s="123">
        <v>6.9029999999999996</v>
      </c>
      <c r="AO52" s="143">
        <v>1E-4</v>
      </c>
      <c r="AP52" s="123">
        <v>0</v>
      </c>
      <c r="AQ52" s="123">
        <v>15.824299999999999</v>
      </c>
      <c r="AR52" s="123">
        <v>0</v>
      </c>
      <c r="AS52" s="123">
        <v>0</v>
      </c>
      <c r="AT52" s="123">
        <v>16.810400000000001</v>
      </c>
      <c r="AU52" s="123">
        <v>0</v>
      </c>
    </row>
    <row r="53" spans="15:47" ht="15.75" customHeight="1" x14ac:dyDescent="0.15">
      <c r="O53" s="123" t="s">
        <v>124</v>
      </c>
      <c r="P53" s="123">
        <f t="shared" si="27"/>
        <v>18.1282</v>
      </c>
      <c r="Q53" s="129"/>
      <c r="R53" s="179">
        <f t="shared" si="28"/>
        <v>3.7986419772571817E-5</v>
      </c>
      <c r="S53" s="179">
        <f t="shared" si="28"/>
        <v>2.7170153046847838E-5</v>
      </c>
      <c r="T53" s="179" t="e">
        <f t="shared" si="28"/>
        <v>#VALUE!</v>
      </c>
      <c r="U53" s="179">
        <f t="shared" si="28"/>
        <v>5.7583258193960092E-6</v>
      </c>
      <c r="V53" s="179">
        <f t="shared" si="28"/>
        <v>2.2029788074749024E-6</v>
      </c>
      <c r="W53" s="179">
        <f t="shared" si="28"/>
        <v>3.2804295108435373E-6</v>
      </c>
      <c r="X53" s="179" t="e">
        <f t="shared" si="28"/>
        <v>#VALUE!</v>
      </c>
      <c r="Y53" s="179" t="e">
        <f t="shared" si="28"/>
        <v>#VALUE!</v>
      </c>
      <c r="Z53" s="179">
        <f t="shared" si="28"/>
        <v>6.8816348347855593E-5</v>
      </c>
      <c r="AA53" s="179" t="e">
        <f t="shared" si="28"/>
        <v>#VALUE!</v>
      </c>
      <c r="AB53" s="179">
        <f t="shared" si="28"/>
        <v>1.2873393320981046E-3</v>
      </c>
      <c r="AC53" s="179" t="e">
        <f t="shared" si="28"/>
        <v>#VALUE!</v>
      </c>
      <c r="AD53" s="179" t="e">
        <f t="shared" si="28"/>
        <v>#VALUE!</v>
      </c>
      <c r="AE53" s="179" t="e">
        <f t="shared" si="28"/>
        <v>#VALUE!</v>
      </c>
      <c r="AF53" s="179">
        <f t="shared" ref="AF53" si="65">AF34*($AT65-$AN65)/($AT65-$AQ65)*($AT43-$AN43)/($AT43-$AQ43)*$P53/1000000000/AF$10*1000</f>
        <v>1.4717328877152147E-5</v>
      </c>
      <c r="AG53" s="129"/>
      <c r="AH53" s="129"/>
      <c r="AI53" s="129"/>
      <c r="AL53" s="142" t="s">
        <v>112</v>
      </c>
      <c r="AM53" s="143">
        <v>0</v>
      </c>
      <c r="AN53" s="123">
        <v>6.8861999999999997</v>
      </c>
      <c r="AO53" s="123">
        <v>0</v>
      </c>
      <c r="AP53" s="123">
        <v>0</v>
      </c>
      <c r="AQ53" s="123">
        <v>15.833</v>
      </c>
      <c r="AR53" s="123">
        <v>-1E-4</v>
      </c>
      <c r="AS53" s="123">
        <v>-1E-4</v>
      </c>
      <c r="AT53" s="123">
        <v>16.8306</v>
      </c>
      <c r="AU53" s="123">
        <v>-1E-4</v>
      </c>
    </row>
    <row r="54" spans="15:47" ht="15.75" customHeight="1" x14ac:dyDescent="0.15">
      <c r="O54" s="176" t="s">
        <v>414</v>
      </c>
      <c r="P54" s="177" t="s">
        <v>415</v>
      </c>
      <c r="Q54" s="178"/>
      <c r="R54" s="174">
        <f>R18*($AT65-$AN65)/($AT65-$AQ65)*($AT43-$AN43)/($AT43-$AQ43)</f>
        <v>5.8169206699318936</v>
      </c>
      <c r="S54" s="174">
        <f t="shared" ref="S54:AF54" si="66">S18*($AT65-$AN65)/($AT65-$AQ65)*($AT43-$AN43)/($AT43-$AQ43)</f>
        <v>101.79611172380814</v>
      </c>
      <c r="T54" s="174">
        <f t="shared" si="66"/>
        <v>22.298195901405595</v>
      </c>
      <c r="U54" s="174">
        <f t="shared" si="66"/>
        <v>5.8169206699318936</v>
      </c>
      <c r="V54" s="174">
        <f t="shared" si="66"/>
        <v>63.016640590928851</v>
      </c>
      <c r="W54" s="174"/>
      <c r="X54" s="174">
        <f t="shared" si="66"/>
        <v>112.46046628534994</v>
      </c>
      <c r="Y54" s="174">
        <f t="shared" si="66"/>
        <v>19.389735566439647</v>
      </c>
      <c r="Z54" s="174">
        <f t="shared" si="66"/>
        <v>63.016640590928851</v>
      </c>
      <c r="AA54" s="174"/>
      <c r="AB54" s="174">
        <f t="shared" si="66"/>
        <v>176.44659365460078</v>
      </c>
      <c r="AC54" s="174"/>
      <c r="AD54" s="174">
        <f t="shared" si="66"/>
        <v>12.603328118185768</v>
      </c>
      <c r="AE54" s="174"/>
      <c r="AF54" s="174">
        <f t="shared" si="66"/>
        <v>32.962550462947398</v>
      </c>
      <c r="AG54" s="129"/>
      <c r="AH54" s="129"/>
      <c r="AI54" s="129"/>
      <c r="AL54" s="142" t="s">
        <v>113</v>
      </c>
      <c r="AM54" s="143">
        <v>-1E-4</v>
      </c>
      <c r="AN54" s="123">
        <v>6.8041999999999998</v>
      </c>
      <c r="AO54" s="143">
        <v>0</v>
      </c>
      <c r="AP54" s="123">
        <v>-1E-4</v>
      </c>
      <c r="AQ54" s="123">
        <v>15.746499999999999</v>
      </c>
      <c r="AR54" s="123">
        <v>-1E-4</v>
      </c>
      <c r="AS54" s="123">
        <v>-1E-4</v>
      </c>
      <c r="AT54" s="123">
        <v>16.742000000000001</v>
      </c>
      <c r="AU54" s="123">
        <v>1E-4</v>
      </c>
    </row>
    <row r="55" spans="15:47" ht="15.75" customHeight="1" x14ac:dyDescent="0.15">
      <c r="AG55" s="129"/>
      <c r="AH55" s="129"/>
      <c r="AI55" s="129"/>
      <c r="AL55" s="142" t="s">
        <v>114</v>
      </c>
      <c r="AM55" s="143">
        <v>0</v>
      </c>
      <c r="AN55" s="123">
        <v>6.9047999999999998</v>
      </c>
      <c r="AO55" s="143">
        <v>0</v>
      </c>
      <c r="AP55" s="123">
        <v>-1E-4</v>
      </c>
      <c r="AQ55" s="123">
        <v>15.8932</v>
      </c>
      <c r="AR55" s="123">
        <v>-1E-4</v>
      </c>
      <c r="AS55" s="123">
        <v>-1E-4</v>
      </c>
      <c r="AT55" s="123">
        <v>16.886099999999999</v>
      </c>
      <c r="AU55" s="123">
        <v>-2.0000000000000001E-4</v>
      </c>
    </row>
    <row r="56" spans="15:47" ht="15.75" customHeight="1" x14ac:dyDescent="0.15"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L56" s="142" t="s">
        <v>115</v>
      </c>
      <c r="AM56" s="123">
        <v>-2.0000000000000001E-4</v>
      </c>
      <c r="AN56" s="123">
        <v>6.8818000000000001</v>
      </c>
      <c r="AO56" s="143">
        <v>-1E-4</v>
      </c>
      <c r="AP56" s="123">
        <v>-1E-4</v>
      </c>
      <c r="AQ56" s="123">
        <v>15.8248</v>
      </c>
      <c r="AR56" s="123">
        <v>-1E-4</v>
      </c>
      <c r="AS56" s="123">
        <v>-1E-4</v>
      </c>
      <c r="AT56" s="123">
        <v>16.817799999999998</v>
      </c>
      <c r="AU56" s="123">
        <v>-1E-4</v>
      </c>
    </row>
    <row r="57" spans="15:47" ht="15.75" customHeight="1" x14ac:dyDescent="0.15">
      <c r="O57" s="132" t="s">
        <v>416</v>
      </c>
      <c r="P57" s="132"/>
      <c r="Q57" s="132"/>
      <c r="R57" s="133" t="s">
        <v>417</v>
      </c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L57" s="142" t="s">
        <v>116</v>
      </c>
      <c r="AM57" s="143">
        <v>0</v>
      </c>
      <c r="AN57" s="123">
        <v>6.9001000000000001</v>
      </c>
      <c r="AO57" s="143">
        <v>1E-4</v>
      </c>
      <c r="AP57" s="123">
        <v>0</v>
      </c>
      <c r="AQ57" s="123">
        <v>15.846399999999999</v>
      </c>
      <c r="AR57" s="123">
        <v>0</v>
      </c>
      <c r="AS57" s="123">
        <v>0</v>
      </c>
      <c r="AT57" s="123">
        <v>16.8461</v>
      </c>
      <c r="AU57" s="123">
        <v>0</v>
      </c>
    </row>
    <row r="58" spans="15:47" ht="15.75" customHeight="1" x14ac:dyDescent="0.15">
      <c r="O58" s="135" t="s">
        <v>128</v>
      </c>
      <c r="P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  <c r="AI58" s="135"/>
      <c r="AL58" s="142" t="s">
        <v>117</v>
      </c>
      <c r="AM58" s="123">
        <v>-1E-4</v>
      </c>
      <c r="AN58" s="123">
        <v>6.9210000000000003</v>
      </c>
      <c r="AO58" s="143">
        <v>-1E-4</v>
      </c>
      <c r="AP58" s="123">
        <v>-1E-4</v>
      </c>
      <c r="AQ58" s="123">
        <v>15.8817</v>
      </c>
      <c r="AR58" s="123">
        <v>-1E-4</v>
      </c>
      <c r="AS58" s="123">
        <v>-1E-4</v>
      </c>
      <c r="AT58" s="123">
        <v>16.876300000000001</v>
      </c>
      <c r="AU58" s="123">
        <v>-2.0000000000000001E-4</v>
      </c>
    </row>
    <row r="59" spans="15:47" ht="15.75" customHeight="1" x14ac:dyDescent="0.15">
      <c r="O59" s="123" t="s">
        <v>109</v>
      </c>
      <c r="R59" s="180"/>
      <c r="S59" s="180"/>
      <c r="T59" s="180"/>
      <c r="U59" s="180"/>
      <c r="V59" s="180"/>
      <c r="W59" s="180"/>
      <c r="X59" s="180"/>
      <c r="Y59" s="180"/>
      <c r="Z59" s="180"/>
      <c r="AA59" s="180"/>
      <c r="AB59" s="180"/>
      <c r="AC59" s="180"/>
      <c r="AD59" s="180"/>
      <c r="AE59" s="180"/>
      <c r="AF59" s="180"/>
      <c r="AG59" s="180"/>
      <c r="AH59" s="180"/>
      <c r="AI59" s="180"/>
      <c r="AL59" s="142" t="s">
        <v>118</v>
      </c>
      <c r="AM59" s="143">
        <v>-2.0000000000000001E-4</v>
      </c>
      <c r="AN59" s="123">
        <v>6.8293999999999997</v>
      </c>
      <c r="AO59" s="123">
        <v>-1E-4</v>
      </c>
      <c r="AP59" s="123">
        <v>-1E-4</v>
      </c>
      <c r="AQ59" s="123">
        <v>15.864599999999999</v>
      </c>
      <c r="AR59" s="123">
        <v>-2.0000000000000001E-4</v>
      </c>
      <c r="AS59" s="123">
        <v>-2.0000000000000001E-4</v>
      </c>
      <c r="AT59" s="123">
        <v>16.847799999999999</v>
      </c>
      <c r="AU59" s="123">
        <v>-2.0000000000000001E-4</v>
      </c>
    </row>
    <row r="60" spans="15:47" ht="15.75" customHeight="1" x14ac:dyDescent="0.15">
      <c r="O60" s="123" t="s">
        <v>110</v>
      </c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L60" s="142" t="s">
        <v>119</v>
      </c>
      <c r="AM60" s="143">
        <v>-2.0000000000000001E-4</v>
      </c>
      <c r="AN60" s="123">
        <v>6.9057000000000004</v>
      </c>
      <c r="AO60" s="123">
        <v>-1E-4</v>
      </c>
      <c r="AP60" s="123">
        <v>-1E-4</v>
      </c>
      <c r="AQ60" s="123">
        <v>15.8535</v>
      </c>
      <c r="AR60" s="123">
        <v>-1E-4</v>
      </c>
      <c r="AS60" s="123">
        <v>-1E-4</v>
      </c>
      <c r="AT60" s="123">
        <v>16.852399999999999</v>
      </c>
      <c r="AU60" s="123">
        <v>-1E-4</v>
      </c>
    </row>
    <row r="61" spans="15:47" ht="15.75" customHeight="1" x14ac:dyDescent="0.15">
      <c r="O61" s="123" t="s">
        <v>111</v>
      </c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L61" s="142" t="s">
        <v>120</v>
      </c>
      <c r="AM61" s="143">
        <v>-1E-4</v>
      </c>
      <c r="AN61" s="123">
        <v>6.8756000000000004</v>
      </c>
      <c r="AO61" s="143">
        <v>0</v>
      </c>
      <c r="AP61" s="123">
        <v>-1E-4</v>
      </c>
      <c r="AQ61" s="123">
        <v>15.8223</v>
      </c>
      <c r="AR61" s="123">
        <v>-1E-4</v>
      </c>
      <c r="AS61" s="123">
        <v>-1E-4</v>
      </c>
      <c r="AT61" s="123">
        <v>16.8184</v>
      </c>
      <c r="AU61" s="123">
        <v>-1E-4</v>
      </c>
    </row>
    <row r="62" spans="15:47" ht="15.75" customHeight="1" x14ac:dyDescent="0.15">
      <c r="O62" s="123" t="s">
        <v>112</v>
      </c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L62" s="142" t="s">
        <v>121</v>
      </c>
      <c r="AM62" s="143">
        <v>-1E-4</v>
      </c>
      <c r="AN62" s="123">
        <v>6.9143999999999997</v>
      </c>
      <c r="AO62" s="123">
        <v>-1E-4</v>
      </c>
      <c r="AP62" s="123">
        <v>-1E-4</v>
      </c>
      <c r="AQ62" s="123">
        <v>15.822800000000001</v>
      </c>
      <c r="AR62" s="123">
        <v>-1E-4</v>
      </c>
      <c r="AS62" s="123">
        <v>-1E-4</v>
      </c>
      <c r="AT62" s="123">
        <v>16.766100000000002</v>
      </c>
      <c r="AU62" s="123">
        <v>-2.0000000000000001E-4</v>
      </c>
    </row>
    <row r="63" spans="15:47" ht="15.75" customHeight="1" x14ac:dyDescent="0.15">
      <c r="O63" s="123" t="s">
        <v>113</v>
      </c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L63" s="142" t="s">
        <v>122</v>
      </c>
      <c r="AM63" s="143">
        <v>-2.0000000000000001E-4</v>
      </c>
      <c r="AN63" s="123">
        <v>6.8871000000000002</v>
      </c>
      <c r="AO63" s="143">
        <v>-1E-4</v>
      </c>
      <c r="AP63" s="123">
        <v>-1E-4</v>
      </c>
      <c r="AQ63" s="123">
        <v>15.904400000000001</v>
      </c>
      <c r="AR63" s="123">
        <v>-1E-4</v>
      </c>
      <c r="AS63" s="123">
        <v>-1E-4</v>
      </c>
      <c r="AT63" s="123">
        <v>16.898800000000001</v>
      </c>
      <c r="AU63" s="123">
        <v>-2.0000000000000001E-4</v>
      </c>
    </row>
    <row r="64" spans="15:47" ht="15.75" customHeight="1" x14ac:dyDescent="0.15">
      <c r="O64" s="123" t="s">
        <v>114</v>
      </c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L64" s="142" t="s">
        <v>123</v>
      </c>
      <c r="AM64" s="143">
        <v>-1E-4</v>
      </c>
      <c r="AN64" s="123">
        <v>6.9063999999999997</v>
      </c>
      <c r="AO64" s="123">
        <v>-1E-4</v>
      </c>
      <c r="AP64" s="123">
        <v>-1E-4</v>
      </c>
      <c r="AQ64" s="123">
        <v>15.886200000000001</v>
      </c>
      <c r="AR64" s="123">
        <v>-1E-4</v>
      </c>
      <c r="AS64" s="123">
        <v>-1E-4</v>
      </c>
      <c r="AT64" s="123">
        <v>16.811800000000002</v>
      </c>
      <c r="AU64" s="123">
        <v>-1E-4</v>
      </c>
    </row>
    <row r="65" spans="15:47" ht="15.75" customHeight="1" x14ac:dyDescent="0.15">
      <c r="O65" s="123" t="s">
        <v>115</v>
      </c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L65" s="142" t="s">
        <v>124</v>
      </c>
      <c r="AM65" s="143">
        <v>-1E-4</v>
      </c>
      <c r="AN65" s="123">
        <v>6.8372000000000002</v>
      </c>
      <c r="AO65" s="123">
        <v>0</v>
      </c>
      <c r="AP65" s="123">
        <v>-1E-4</v>
      </c>
      <c r="AQ65" s="123">
        <v>15.7311</v>
      </c>
      <c r="AR65" s="123">
        <v>-1E-4</v>
      </c>
      <c r="AS65" s="123">
        <v>-1E-4</v>
      </c>
      <c r="AT65" s="123">
        <v>16.725999999999999</v>
      </c>
      <c r="AU65" s="123">
        <v>-1E-4</v>
      </c>
    </row>
    <row r="66" spans="15:47" ht="15.75" customHeight="1" x14ac:dyDescent="0.15">
      <c r="O66" s="123" t="s">
        <v>116</v>
      </c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L66" s="117" t="s">
        <v>190</v>
      </c>
      <c r="AM66" s="123">
        <v>-1E-4</v>
      </c>
      <c r="AN66" s="123">
        <v>6.8510999999999997</v>
      </c>
      <c r="AO66" s="123">
        <v>0</v>
      </c>
      <c r="AP66" s="123">
        <v>0</v>
      </c>
      <c r="AQ66" s="123">
        <v>15.8095</v>
      </c>
      <c r="AR66" s="123">
        <v>-1E-4</v>
      </c>
      <c r="AS66" s="123">
        <v>-1E-4</v>
      </c>
      <c r="AT66" s="123">
        <v>16.804600000000001</v>
      </c>
      <c r="AU66" s="123">
        <v>-1E-4</v>
      </c>
    </row>
    <row r="67" spans="15:47" ht="15.75" customHeight="1" x14ac:dyDescent="0.15">
      <c r="O67" s="123" t="s">
        <v>117</v>
      </c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</row>
    <row r="68" spans="15:47" ht="15.75" customHeight="1" x14ac:dyDescent="0.15">
      <c r="O68" s="123" t="s">
        <v>118</v>
      </c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</row>
    <row r="69" spans="15:47" ht="15.75" customHeight="1" x14ac:dyDescent="0.15">
      <c r="O69" s="123" t="s">
        <v>119</v>
      </c>
      <c r="R69" s="180"/>
      <c r="S69" s="180"/>
      <c r="T69" s="180"/>
      <c r="U69" s="180"/>
      <c r="V69" s="180"/>
      <c r="W69" s="180"/>
      <c r="X69" s="180"/>
      <c r="Y69" s="180"/>
      <c r="Z69" s="180"/>
      <c r="AA69" s="180"/>
      <c r="AB69" s="180"/>
      <c r="AC69" s="180"/>
      <c r="AD69" s="180"/>
      <c r="AE69" s="180"/>
      <c r="AF69" s="180"/>
      <c r="AG69" s="180"/>
      <c r="AH69" s="180"/>
      <c r="AI69" s="180"/>
    </row>
    <row r="70" spans="15:47" ht="15.75" customHeight="1" x14ac:dyDescent="0.15">
      <c r="O70" s="123" t="s">
        <v>120</v>
      </c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80"/>
      <c r="AH70" s="180"/>
      <c r="AI70" s="180"/>
    </row>
    <row r="71" spans="15:47" ht="15.75" customHeight="1" x14ac:dyDescent="0.15">
      <c r="O71" s="123" t="s">
        <v>121</v>
      </c>
      <c r="R71" s="180"/>
      <c r="S71" s="180"/>
      <c r="T71" s="180"/>
      <c r="U71" s="180"/>
      <c r="V71" s="180"/>
      <c r="W71" s="180"/>
      <c r="X71" s="180"/>
      <c r="Y71" s="180"/>
      <c r="Z71" s="180"/>
      <c r="AA71" s="180"/>
      <c r="AB71" s="180"/>
      <c r="AC71" s="180"/>
      <c r="AD71" s="180"/>
      <c r="AE71" s="180"/>
      <c r="AF71" s="180"/>
      <c r="AG71" s="180"/>
      <c r="AH71" s="180"/>
      <c r="AI71" s="180"/>
    </row>
    <row r="72" spans="15:47" ht="15.75" customHeight="1" x14ac:dyDescent="0.15">
      <c r="O72" s="123" t="s">
        <v>122</v>
      </c>
      <c r="R72" s="180"/>
      <c r="S72" s="180"/>
      <c r="T72" s="180"/>
      <c r="U72" s="180"/>
      <c r="V72" s="180"/>
      <c r="W72" s="180"/>
      <c r="X72" s="180"/>
      <c r="Y72" s="180"/>
      <c r="Z72" s="180"/>
      <c r="AA72" s="180"/>
      <c r="AB72" s="180"/>
      <c r="AC72" s="180"/>
      <c r="AD72" s="180"/>
      <c r="AE72" s="180"/>
      <c r="AF72" s="180"/>
      <c r="AG72" s="180"/>
      <c r="AH72" s="180"/>
      <c r="AI72" s="180"/>
    </row>
    <row r="73" spans="15:47" ht="15.75" customHeight="1" x14ac:dyDescent="0.15">
      <c r="O73" s="123" t="s">
        <v>123</v>
      </c>
      <c r="R73" s="180"/>
      <c r="S73" s="180"/>
      <c r="T73" s="180"/>
      <c r="U73" s="180"/>
      <c r="V73" s="180"/>
      <c r="W73" s="180"/>
      <c r="X73" s="180"/>
      <c r="Y73" s="180"/>
      <c r="Z73" s="180"/>
      <c r="AA73" s="180"/>
      <c r="AB73" s="180"/>
      <c r="AC73" s="180"/>
      <c r="AD73" s="180"/>
      <c r="AE73" s="180"/>
      <c r="AF73" s="180"/>
      <c r="AG73" s="180"/>
      <c r="AH73" s="180"/>
      <c r="AI73" s="180"/>
    </row>
    <row r="74" spans="15:47" ht="15.75" customHeight="1" x14ac:dyDescent="0.15">
      <c r="O74" s="123" t="s">
        <v>124</v>
      </c>
      <c r="R74" s="180"/>
      <c r="S74" s="180"/>
      <c r="T74" s="180"/>
      <c r="U74" s="180"/>
      <c r="V74" s="180"/>
      <c r="W74" s="180"/>
      <c r="X74" s="180"/>
      <c r="Y74" s="180"/>
      <c r="Z74" s="180"/>
      <c r="AA74" s="180"/>
      <c r="AB74" s="180"/>
      <c r="AC74" s="180"/>
      <c r="AD74" s="180"/>
      <c r="AE74" s="180"/>
      <c r="AF74" s="180"/>
      <c r="AG74" s="180"/>
      <c r="AH74" s="180"/>
      <c r="AI74" s="180"/>
    </row>
    <row r="75" spans="15:47" ht="15.75" customHeight="1" x14ac:dyDescent="0.15">
      <c r="O75" s="176" t="s">
        <v>414</v>
      </c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0"/>
      <c r="AD75" s="180"/>
      <c r="AE75" s="180"/>
      <c r="AF75" s="180"/>
      <c r="AG75" s="180"/>
      <c r="AH75" s="180"/>
      <c r="AI75" s="18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DF990-E4E1-42C8-AEAF-F8F0A554E109}">
  <dimension ref="A1:N47"/>
  <sheetViews>
    <sheetView workbookViewId="0">
      <selection activeCell="I18" sqref="I18"/>
    </sheetView>
  </sheetViews>
  <sheetFormatPr baseColWidth="10" defaultColWidth="11" defaultRowHeight="16" x14ac:dyDescent="0.2"/>
  <cols>
    <col min="1" max="1" width="47.5" bestFit="1" customWidth="1"/>
    <col min="2" max="2" width="9"/>
    <col min="3" max="3" width="15.6640625" customWidth="1"/>
    <col min="4" max="4" width="13" customWidth="1"/>
    <col min="5" max="6" width="9"/>
    <col min="7" max="7" width="16.1640625" bestFit="1" customWidth="1"/>
    <col min="8" max="10" width="13.1640625" bestFit="1" customWidth="1"/>
  </cols>
  <sheetData>
    <row r="1" spans="1:14" x14ac:dyDescent="0.2">
      <c r="A1" s="84" t="s">
        <v>191</v>
      </c>
      <c r="B1" s="85"/>
      <c r="C1" s="86" t="s">
        <v>192</v>
      </c>
      <c r="D1" s="87"/>
      <c r="E1" s="88" t="s">
        <v>193</v>
      </c>
      <c r="G1" s="68" t="s">
        <v>194</v>
      </c>
      <c r="H1" s="82">
        <v>2.7310727069280527E-3</v>
      </c>
      <c r="I1" s="82">
        <v>2.986037023440328E-4</v>
      </c>
      <c r="J1" s="82">
        <v>1.9752128057437782E-3</v>
      </c>
      <c r="K1" s="82">
        <v>7.3642262726831631E-3</v>
      </c>
      <c r="L1" s="82">
        <v>7.1644148591092421E-3</v>
      </c>
      <c r="M1" s="82">
        <v>1.1289594219727759E-4</v>
      </c>
      <c r="N1" s="82">
        <v>6.237135907191417E-4</v>
      </c>
    </row>
    <row r="2" spans="1:14" x14ac:dyDescent="0.2">
      <c r="A2" s="89" t="s">
        <v>195</v>
      </c>
      <c r="B2" s="85"/>
      <c r="C2" s="88" t="s">
        <v>196</v>
      </c>
      <c r="D2" s="85"/>
      <c r="E2" s="85"/>
      <c r="H2" s="4" t="s">
        <v>197</v>
      </c>
      <c r="I2" s="4" t="s">
        <v>198</v>
      </c>
      <c r="J2" s="4" t="s">
        <v>199</v>
      </c>
      <c r="K2" s="4" t="s">
        <v>200</v>
      </c>
      <c r="L2" s="4" t="s">
        <v>201</v>
      </c>
      <c r="M2" s="4" t="s">
        <v>202</v>
      </c>
      <c r="N2" s="4" t="s">
        <v>203</v>
      </c>
    </row>
    <row r="3" spans="1:14" x14ac:dyDescent="0.2">
      <c r="A3" s="89"/>
      <c r="B3" s="85"/>
      <c r="C3" s="88"/>
      <c r="D3" s="85"/>
      <c r="E3" s="85"/>
      <c r="G3" s="68" t="s">
        <v>204</v>
      </c>
      <c r="H3" s="4">
        <v>2</v>
      </c>
      <c r="I3" s="4">
        <v>1</v>
      </c>
      <c r="J3" s="4">
        <v>2</v>
      </c>
      <c r="K3" s="4">
        <v>1</v>
      </c>
      <c r="L3" s="4">
        <v>1</v>
      </c>
      <c r="M3" s="4">
        <v>1</v>
      </c>
      <c r="N3" s="4">
        <v>2</v>
      </c>
    </row>
    <row r="4" spans="1:14" x14ac:dyDescent="0.2">
      <c r="A4" s="90" t="s">
        <v>205</v>
      </c>
      <c r="B4" s="85"/>
      <c r="C4" s="85"/>
      <c r="D4" s="85"/>
      <c r="E4" s="85"/>
      <c r="J4" s="4">
        <v>20</v>
      </c>
      <c r="K4" t="s">
        <v>206</v>
      </c>
    </row>
    <row r="5" spans="1:14" x14ac:dyDescent="0.2">
      <c r="A5" s="90"/>
      <c r="B5" s="90" t="s">
        <v>207</v>
      </c>
      <c r="C5" s="90" t="s">
        <v>207</v>
      </c>
      <c r="D5" s="90" t="s">
        <v>207</v>
      </c>
      <c r="E5" s="90" t="s">
        <v>207</v>
      </c>
      <c r="H5" s="90" t="s">
        <v>208</v>
      </c>
      <c r="I5" s="90" t="s">
        <v>208</v>
      </c>
      <c r="J5" s="90" t="s">
        <v>208</v>
      </c>
    </row>
    <row r="6" spans="1:14" x14ac:dyDescent="0.2">
      <c r="A6" s="91" t="s">
        <v>209</v>
      </c>
      <c r="B6" s="90">
        <v>40.078000000000003</v>
      </c>
      <c r="C6" s="90">
        <v>39.097999999999999</v>
      </c>
      <c r="D6" s="90">
        <v>24.305</v>
      </c>
      <c r="E6" s="90">
        <v>22.99</v>
      </c>
      <c r="H6">
        <v>35.453000000000003</v>
      </c>
      <c r="I6">
        <v>62.003999999999998</v>
      </c>
      <c r="J6" s="4">
        <v>96.061000000000007</v>
      </c>
    </row>
    <row r="7" spans="1:14" x14ac:dyDescent="0.2">
      <c r="A7" s="84" t="s">
        <v>128</v>
      </c>
      <c r="B7" s="84" t="s">
        <v>197</v>
      </c>
      <c r="C7" s="84" t="s">
        <v>198</v>
      </c>
      <c r="D7" s="84" t="s">
        <v>199</v>
      </c>
      <c r="E7" s="84" t="s">
        <v>200</v>
      </c>
      <c r="G7" s="84" t="s">
        <v>210</v>
      </c>
      <c r="H7" s="84" t="s">
        <v>201</v>
      </c>
      <c r="I7" s="84" t="s">
        <v>202</v>
      </c>
      <c r="J7" s="84" t="s">
        <v>203</v>
      </c>
    </row>
    <row r="8" spans="1:14" x14ac:dyDescent="0.2">
      <c r="A8" s="92"/>
      <c r="B8" s="92" t="s">
        <v>211</v>
      </c>
      <c r="C8" s="92" t="s">
        <v>211</v>
      </c>
      <c r="D8" s="92" t="s">
        <v>211</v>
      </c>
      <c r="E8" s="92" t="s">
        <v>211</v>
      </c>
      <c r="H8" s="92" t="s">
        <v>206</v>
      </c>
      <c r="I8" s="92" t="s">
        <v>206</v>
      </c>
      <c r="J8" s="92" t="s">
        <v>206</v>
      </c>
    </row>
    <row r="9" spans="1:14" x14ac:dyDescent="0.2">
      <c r="A9" s="93" t="s">
        <v>212</v>
      </c>
      <c r="B9" s="94"/>
      <c r="C9" s="95"/>
      <c r="D9" s="94"/>
      <c r="E9" s="94"/>
    </row>
    <row r="10" spans="1:14" x14ac:dyDescent="0.2">
      <c r="A10" s="96" t="s">
        <v>213</v>
      </c>
      <c r="B10" s="97">
        <v>109.4559319482625</v>
      </c>
      <c r="C10" s="97">
        <v>11.674807554246993</v>
      </c>
      <c r="D10" s="97">
        <v>48.007547243602531</v>
      </c>
      <c r="E10" s="97">
        <v>169.30356200898592</v>
      </c>
      <c r="F10" s="98"/>
      <c r="G10" s="98"/>
      <c r="H10" s="99">
        <v>254</v>
      </c>
      <c r="I10" s="99">
        <v>7</v>
      </c>
      <c r="J10" s="97">
        <v>59.914551238071475</v>
      </c>
    </row>
    <row r="12" spans="1:14" x14ac:dyDescent="0.2">
      <c r="A12" t="s">
        <v>351</v>
      </c>
      <c r="B12" s="8">
        <v>85.941665898086072</v>
      </c>
      <c r="C12" s="8">
        <v>10.89557989393588</v>
      </c>
      <c r="D12" s="8">
        <v>38.245709015448391</v>
      </c>
      <c r="E12" s="8">
        <v>145.64499654138777</v>
      </c>
    </row>
    <row r="14" spans="1:14" x14ac:dyDescent="0.2">
      <c r="A14" s="100" t="s">
        <v>214</v>
      </c>
      <c r="B14" s="101">
        <v>83.37</v>
      </c>
      <c r="C14" s="101">
        <v>15.44</v>
      </c>
      <c r="D14" s="101">
        <v>43.05</v>
      </c>
      <c r="E14" s="101">
        <v>128.6</v>
      </c>
    </row>
    <row r="15" spans="1:14" x14ac:dyDescent="0.2">
      <c r="A15" s="100" t="s">
        <v>215</v>
      </c>
      <c r="B15" s="101">
        <v>91.779368953040105</v>
      </c>
      <c r="C15" s="101">
        <v>14.1564</v>
      </c>
      <c r="D15" s="101">
        <v>40.593555588026483</v>
      </c>
      <c r="E15" s="101">
        <v>120.01511770382089</v>
      </c>
    </row>
    <row r="16" spans="1:14" x14ac:dyDescent="0.2">
      <c r="A16" s="100" t="s">
        <v>216</v>
      </c>
      <c r="B16" s="101">
        <v>88.683351946496401</v>
      </c>
      <c r="C16" s="101">
        <v>12.2123108804153</v>
      </c>
      <c r="D16" s="101">
        <v>39.892648263126397</v>
      </c>
      <c r="E16" s="101">
        <v>113.058439998004</v>
      </c>
    </row>
    <row r="17" spans="1:14" x14ac:dyDescent="0.2">
      <c r="A17" s="100" t="s">
        <v>217</v>
      </c>
      <c r="B17" s="101">
        <v>99.509949350990226</v>
      </c>
      <c r="C17" s="101">
        <v>14.035208962338841</v>
      </c>
      <c r="D17" s="101">
        <v>41.310822514131182</v>
      </c>
      <c r="E17" s="101">
        <v>145.19540476300881</v>
      </c>
      <c r="G17" s="102" t="s">
        <v>352</v>
      </c>
      <c r="H17" s="103">
        <v>1.8130068594948805E-2</v>
      </c>
      <c r="I17" s="104" t="s">
        <v>353</v>
      </c>
      <c r="J17" s="104"/>
      <c r="K17" s="104"/>
      <c r="L17" s="104"/>
      <c r="M17" s="104"/>
      <c r="N17" s="104"/>
    </row>
    <row r="18" spans="1:14" x14ac:dyDescent="0.2">
      <c r="A18" s="100" t="s">
        <v>218</v>
      </c>
      <c r="B18" s="101">
        <v>103.92534156298903</v>
      </c>
      <c r="C18" s="101">
        <v>15.911742227339099</v>
      </c>
      <c r="D18" s="101">
        <v>45.799269354020808</v>
      </c>
      <c r="E18" s="101">
        <v>177.22109718342907</v>
      </c>
      <c r="H18" s="7">
        <v>18.130068594948806</v>
      </c>
      <c r="I18" t="s">
        <v>219</v>
      </c>
    </row>
    <row r="19" spans="1:14" x14ac:dyDescent="0.2">
      <c r="A19" s="100" t="s">
        <v>220</v>
      </c>
      <c r="B19" s="101">
        <v>102.05620220527265</v>
      </c>
      <c r="C19" s="101">
        <v>13.269059906937464</v>
      </c>
      <c r="D19" s="101">
        <v>44.429542846644907</v>
      </c>
      <c r="E19" s="101">
        <v>164.40736245352704</v>
      </c>
    </row>
    <row r="20" spans="1:14" x14ac:dyDescent="0.2">
      <c r="A20" s="100" t="s">
        <v>221</v>
      </c>
      <c r="B20" s="101">
        <v>135.99918235782485</v>
      </c>
      <c r="C20" s="101">
        <v>10.355061472350592</v>
      </c>
      <c r="D20" s="101">
        <v>55.015144443419651</v>
      </c>
      <c r="E20" s="101">
        <v>265.35766614022725</v>
      </c>
    </row>
    <row r="21" spans="1:14" x14ac:dyDescent="0.2">
      <c r="A21" s="100" t="s">
        <v>222</v>
      </c>
      <c r="B21" s="101">
        <v>120.94756089210608</v>
      </c>
      <c r="C21" s="101">
        <v>7.3418346849630689</v>
      </c>
      <c r="D21" s="101">
        <v>50.523291311567235</v>
      </c>
      <c r="E21" s="101">
        <v>231.95403320630123</v>
      </c>
    </row>
    <row r="22" spans="1:14" x14ac:dyDescent="0.2">
      <c r="A22" s="100" t="s">
        <v>223</v>
      </c>
      <c r="B22" s="101">
        <v>111.7190710653059</v>
      </c>
      <c r="C22" s="101">
        <v>15.683049874932788</v>
      </c>
      <c r="D22" s="101">
        <v>47.363959440969275</v>
      </c>
      <c r="E22" s="101">
        <v>198.31224309646632</v>
      </c>
    </row>
    <row r="23" spans="1:14" x14ac:dyDescent="0.2">
      <c r="A23" s="100" t="s">
        <v>224</v>
      </c>
      <c r="B23" s="101">
        <v>96.789604913120044</v>
      </c>
      <c r="C23" s="101">
        <v>11.960834638103814</v>
      </c>
      <c r="D23" s="101">
        <v>44.64440849490623</v>
      </c>
      <c r="E23" s="101">
        <v>170.9554560505365</v>
      </c>
    </row>
    <row r="24" spans="1:14" x14ac:dyDescent="0.2">
      <c r="A24" s="100" t="s">
        <v>225</v>
      </c>
      <c r="B24" s="101">
        <v>137.70090957477009</v>
      </c>
      <c r="C24" s="101">
        <v>15.262342809529654</v>
      </c>
      <c r="D24" s="101">
        <v>55.890592620001883</v>
      </c>
      <c r="E24" s="101">
        <v>265.95845322327148</v>
      </c>
    </row>
    <row r="25" spans="1:14" x14ac:dyDescent="0.2">
      <c r="A25" s="100" t="s">
        <v>226</v>
      </c>
      <c r="B25" s="101">
        <v>119.16368251325744</v>
      </c>
      <c r="C25" s="101">
        <v>11.286815535546719</v>
      </c>
      <c r="D25" s="101">
        <v>53.345828475825037</v>
      </c>
      <c r="E25" s="101">
        <v>234.96764663882081</v>
      </c>
    </row>
    <row r="26" spans="1:14" x14ac:dyDescent="0.2">
      <c r="A26" s="100" t="s">
        <v>227</v>
      </c>
      <c r="B26" s="101">
        <v>135.64445930806644</v>
      </c>
      <c r="C26" s="101">
        <v>10.111222106829226</v>
      </c>
      <c r="D26" s="101">
        <v>57.58177454452764</v>
      </c>
      <c r="E26" s="101">
        <v>252.29951144081329</v>
      </c>
    </row>
    <row r="27" spans="1:14" x14ac:dyDescent="0.2">
      <c r="A27" s="100" t="s">
        <v>228</v>
      </c>
      <c r="B27" s="101">
        <v>120.64271360501472</v>
      </c>
      <c r="C27" s="101">
        <v>7.6913565283360699</v>
      </c>
      <c r="D27" s="101">
        <v>52.185623644655841</v>
      </c>
      <c r="E27" s="101">
        <v>240.37814256573128</v>
      </c>
    </row>
    <row r="28" spans="1:14" x14ac:dyDescent="0.2">
      <c r="A28" s="100" t="s">
        <v>229</v>
      </c>
      <c r="B28" s="101">
        <v>133.53167306863259</v>
      </c>
      <c r="C28" s="101">
        <v>10.065835317806393</v>
      </c>
      <c r="D28" s="101">
        <v>57.580771819142761</v>
      </c>
      <c r="E28" s="101">
        <v>241.83458636901602</v>
      </c>
    </row>
    <row r="29" spans="1:14" x14ac:dyDescent="0.2">
      <c r="A29" s="100" t="s">
        <v>230</v>
      </c>
      <c r="B29" s="101">
        <v>118.26871937079983</v>
      </c>
      <c r="C29" s="101">
        <v>7.8983348540503782</v>
      </c>
      <c r="D29" s="101">
        <v>53.362784767166346</v>
      </c>
      <c r="E29" s="101">
        <v>227.94657458677</v>
      </c>
    </row>
    <row r="30" spans="1:14" x14ac:dyDescent="0.2">
      <c r="A30" s="100" t="s">
        <v>231</v>
      </c>
      <c r="B30" s="101">
        <v>101.2337954464836</v>
      </c>
      <c r="C30" s="101">
        <v>14.802473061263205</v>
      </c>
      <c r="D30" s="101">
        <v>45.262199348887783</v>
      </c>
      <c r="E30" s="101">
        <v>199.66015515782135</v>
      </c>
    </row>
    <row r="31" spans="1:14" x14ac:dyDescent="0.2">
      <c r="A31" s="100" t="s">
        <v>232</v>
      </c>
      <c r="B31" s="101">
        <v>99.941848979125922</v>
      </c>
      <c r="C31" s="101">
        <v>12.43079745422388</v>
      </c>
      <c r="D31" s="101">
        <v>44.673487329982834</v>
      </c>
      <c r="E31" s="101">
        <v>201.08349622164948</v>
      </c>
    </row>
    <row r="32" spans="1:14" x14ac:dyDescent="0.2">
      <c r="A32" s="100" t="s">
        <v>233</v>
      </c>
      <c r="B32" s="101">
        <v>95.933593496990994</v>
      </c>
      <c r="C32" s="101">
        <v>13.833727313279676</v>
      </c>
      <c r="D32" s="101">
        <v>43.251092337067888</v>
      </c>
      <c r="E32" s="101">
        <v>178.08655128228438</v>
      </c>
    </row>
    <row r="33" spans="1:5" x14ac:dyDescent="0.2">
      <c r="A33" s="100" t="s">
        <v>234</v>
      </c>
      <c r="B33" s="101">
        <v>94.925757639352653</v>
      </c>
      <c r="C33" s="101">
        <v>12.117032407560519</v>
      </c>
      <c r="D33" s="101">
        <v>42.709206836574417</v>
      </c>
      <c r="E33" s="101">
        <v>178.66969504588852</v>
      </c>
    </row>
    <row r="34" spans="1:5" x14ac:dyDescent="0.2">
      <c r="A34" s="100" t="s">
        <v>235</v>
      </c>
      <c r="B34" s="101">
        <v>113.53409823590175</v>
      </c>
      <c r="C34" s="101">
        <v>8.955330857992351</v>
      </c>
      <c r="D34" s="101">
        <v>51.355816365605619</v>
      </c>
      <c r="E34" s="101">
        <v>143.50666106547044</v>
      </c>
    </row>
    <row r="35" spans="1:5" x14ac:dyDescent="0.2">
      <c r="A35" s="100" t="s">
        <v>236</v>
      </c>
      <c r="B35" s="101">
        <v>107.2456305823622</v>
      </c>
      <c r="C35" s="101">
        <v>8.2094543754759837</v>
      </c>
      <c r="D35" s="101">
        <v>48.964128496788092</v>
      </c>
      <c r="E35" s="101">
        <v>142.65845881962824</v>
      </c>
    </row>
    <row r="36" spans="1:5" x14ac:dyDescent="0.2">
      <c r="A36" s="100" t="s">
        <v>237</v>
      </c>
      <c r="B36" s="101">
        <v>119.53058348454209</v>
      </c>
      <c r="C36" s="101">
        <v>8.578965318506194</v>
      </c>
      <c r="D36" s="101">
        <v>51.296882526831418</v>
      </c>
      <c r="E36" s="101">
        <v>124.22835725053535</v>
      </c>
    </row>
    <row r="37" spans="1:5" x14ac:dyDescent="0.2">
      <c r="A37" s="100" t="s">
        <v>238</v>
      </c>
      <c r="B37" s="101">
        <v>117.07777058325151</v>
      </c>
      <c r="C37" s="101">
        <v>7.5999361160956642</v>
      </c>
      <c r="D37" s="101">
        <v>51.996474122476904</v>
      </c>
      <c r="E37" s="101">
        <v>111.90143257042961</v>
      </c>
    </row>
    <row r="38" spans="1:5" x14ac:dyDescent="0.2">
      <c r="A38" s="100" t="s">
        <v>239</v>
      </c>
      <c r="B38" s="101">
        <v>121.92215623867818</v>
      </c>
      <c r="C38" s="101">
        <v>8.9974853345868873</v>
      </c>
      <c r="D38" s="101">
        <v>49.835221873470239</v>
      </c>
      <c r="E38" s="101">
        <v>127.79321660147062</v>
      </c>
    </row>
    <row r="39" spans="1:5" x14ac:dyDescent="0.2">
      <c r="A39" s="100" t="s">
        <v>240</v>
      </c>
      <c r="B39" s="101">
        <v>110.59799225637092</v>
      </c>
      <c r="C39" s="101">
        <v>7.6960461120063739</v>
      </c>
      <c r="D39" s="101">
        <v>49.394696903424872</v>
      </c>
      <c r="E39" s="101">
        <v>112.56796861773938</v>
      </c>
    </row>
    <row r="40" spans="1:5" x14ac:dyDescent="0.2">
      <c r="A40" s="100" t="s">
        <v>241</v>
      </c>
      <c r="B40" s="101">
        <v>127.49026817999892</v>
      </c>
      <c r="C40" s="101">
        <v>11.705836697723969</v>
      </c>
      <c r="D40" s="101">
        <v>52.902517082119047</v>
      </c>
      <c r="E40" s="101">
        <v>155.52028457134742</v>
      </c>
    </row>
    <row r="41" spans="1:5" x14ac:dyDescent="0.2">
      <c r="A41" s="100" t="s">
        <v>242</v>
      </c>
      <c r="B41" s="101">
        <v>117.77737829555537</v>
      </c>
      <c r="C41" s="101">
        <v>10.893442012959994</v>
      </c>
      <c r="D41" s="101">
        <v>53.16754744418359</v>
      </c>
      <c r="E41" s="101">
        <v>138.25637426043534</v>
      </c>
    </row>
    <row r="42" spans="1:5" x14ac:dyDescent="0.2">
      <c r="A42" s="100" t="s">
        <v>243</v>
      </c>
      <c r="B42" s="101">
        <v>112.12568548046876</v>
      </c>
      <c r="C42" s="101">
        <v>12.037796722742195</v>
      </c>
      <c r="D42" s="101">
        <v>46.308956370126332</v>
      </c>
      <c r="E42" s="101">
        <v>139.78644352808874</v>
      </c>
    </row>
    <row r="43" spans="1:5" x14ac:dyDescent="0.2">
      <c r="A43" s="100" t="s">
        <v>244</v>
      </c>
      <c r="B43" s="101">
        <v>99.799405815905786</v>
      </c>
      <c r="C43" s="101">
        <v>10.999185037119489</v>
      </c>
      <c r="D43" s="101">
        <v>44.719431735948376</v>
      </c>
      <c r="E43" s="101">
        <v>120.59852966616707</v>
      </c>
    </row>
    <row r="44" spans="1:5" x14ac:dyDescent="0.2">
      <c r="A44" s="100" t="s">
        <v>245</v>
      </c>
      <c r="B44" s="101">
        <v>100.21586317688349</v>
      </c>
      <c r="C44" s="101">
        <v>14.176602851457279</v>
      </c>
      <c r="D44" s="101">
        <v>44.833404827631206</v>
      </c>
      <c r="E44" s="101">
        <v>128.73756549753818</v>
      </c>
    </row>
    <row r="45" spans="1:5" x14ac:dyDescent="0.2">
      <c r="A45" s="100" t="s">
        <v>246</v>
      </c>
      <c r="B45" s="101">
        <v>100.21326642076568</v>
      </c>
      <c r="C45" s="101">
        <v>12.360862483536261</v>
      </c>
      <c r="D45" s="101">
        <v>45.351499135596384</v>
      </c>
      <c r="E45" s="101">
        <v>114.96072205182853</v>
      </c>
    </row>
    <row r="46" spans="1:5" x14ac:dyDescent="0.2">
      <c r="A46" s="100" t="s">
        <v>247</v>
      </c>
      <c r="B46" s="101">
        <v>91.095339814803594</v>
      </c>
      <c r="C46" s="101">
        <v>15.392624548127433</v>
      </c>
      <c r="D46" s="101">
        <v>41.70864826190887</v>
      </c>
      <c r="E46" s="101">
        <v>137.23352389053309</v>
      </c>
    </row>
    <row r="47" spans="1:5" x14ac:dyDescent="0.2">
      <c r="A47" s="100" t="s">
        <v>248</v>
      </c>
      <c r="B47" s="101">
        <v>91.109461425797392</v>
      </c>
      <c r="C47" s="101">
        <v>13.474448340260897</v>
      </c>
      <c r="D47" s="101">
        <v>41.955377155730517</v>
      </c>
      <c r="E47" s="101">
        <v>122.60993678692111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68473-662B-9D48-82B8-3D95906E6C8B}">
  <dimension ref="B1:AH32"/>
  <sheetViews>
    <sheetView workbookViewId="0">
      <selection activeCell="J32" sqref="J32"/>
    </sheetView>
  </sheetViews>
  <sheetFormatPr baseColWidth="10" defaultColWidth="10.83203125" defaultRowHeight="13" x14ac:dyDescent="0.15"/>
  <cols>
    <col min="1" max="1" width="10.83203125" style="36"/>
    <col min="2" max="2" width="25.5" style="36" bestFit="1" customWidth="1"/>
    <col min="3" max="16384" width="10.83203125" style="36"/>
  </cols>
  <sheetData>
    <row r="1" spans="2:34" x14ac:dyDescent="0.15">
      <c r="H1" s="37" t="s">
        <v>249</v>
      </c>
      <c r="I1" s="38">
        <v>15.999000000000001</v>
      </c>
      <c r="J1" s="38"/>
      <c r="K1" s="38">
        <v>26.981999999999999</v>
      </c>
      <c r="L1" s="38"/>
      <c r="M1" s="38"/>
      <c r="N1" s="38">
        <v>40.078000000000003</v>
      </c>
      <c r="O1" s="38"/>
      <c r="P1" s="38"/>
      <c r="Q1" s="38">
        <v>55.844999999999999</v>
      </c>
      <c r="R1" s="38"/>
      <c r="S1" s="38">
        <v>39.097999999999999</v>
      </c>
      <c r="T1" s="38"/>
      <c r="U1" s="38"/>
      <c r="V1" s="38">
        <v>24.305</v>
      </c>
      <c r="W1" s="38"/>
      <c r="X1" s="38"/>
      <c r="Y1" s="38"/>
      <c r="Z1" s="38">
        <v>22.99</v>
      </c>
      <c r="AA1" s="38"/>
      <c r="AB1" s="38"/>
      <c r="AC1" s="38"/>
      <c r="AD1" s="38">
        <v>28.085999999999999</v>
      </c>
      <c r="AE1" s="38"/>
      <c r="AF1" s="38"/>
      <c r="AG1" s="38"/>
      <c r="AH1" s="38">
        <v>47.87</v>
      </c>
    </row>
    <row r="2" spans="2:34" x14ac:dyDescent="0.15">
      <c r="B2" s="10"/>
      <c r="C2" s="11" t="s">
        <v>93</v>
      </c>
      <c r="D2" s="11" t="s">
        <v>250</v>
      </c>
      <c r="E2" s="12" t="s">
        <v>251</v>
      </c>
      <c r="F2" s="11" t="s">
        <v>252</v>
      </c>
      <c r="G2" s="11"/>
      <c r="H2" s="11" t="s">
        <v>252</v>
      </c>
      <c r="I2" s="13"/>
      <c r="J2" s="13" t="s">
        <v>253</v>
      </c>
      <c r="K2" s="13" t="s">
        <v>67</v>
      </c>
      <c r="L2" s="13" t="s">
        <v>254</v>
      </c>
      <c r="M2" s="13" t="s">
        <v>255</v>
      </c>
      <c r="N2" s="13" t="s">
        <v>65</v>
      </c>
      <c r="O2" s="13" t="s">
        <v>65</v>
      </c>
      <c r="P2" s="13" t="s">
        <v>256</v>
      </c>
      <c r="Q2" s="13" t="s">
        <v>68</v>
      </c>
      <c r="R2" s="13" t="s">
        <v>257</v>
      </c>
      <c r="S2" s="13" t="s">
        <v>64</v>
      </c>
      <c r="T2" s="13" t="s">
        <v>64</v>
      </c>
      <c r="U2" s="13" t="s">
        <v>258</v>
      </c>
      <c r="V2" s="13" t="s">
        <v>63</v>
      </c>
      <c r="W2" s="13" t="s">
        <v>63</v>
      </c>
      <c r="X2" s="13" t="s">
        <v>259</v>
      </c>
      <c r="Y2" s="13" t="s">
        <v>260</v>
      </c>
      <c r="Z2" s="13" t="s">
        <v>62</v>
      </c>
      <c r="AA2" s="13" t="s">
        <v>62</v>
      </c>
      <c r="AB2" s="13" t="s">
        <v>261</v>
      </c>
      <c r="AC2" s="13" t="s">
        <v>14</v>
      </c>
      <c r="AD2" s="13" t="s">
        <v>66</v>
      </c>
      <c r="AE2" s="13" t="s">
        <v>262</v>
      </c>
      <c r="AF2" s="13" t="s">
        <v>148</v>
      </c>
      <c r="AG2" s="13" t="s">
        <v>17</v>
      </c>
      <c r="AH2" s="13" t="s">
        <v>69</v>
      </c>
    </row>
    <row r="3" spans="2:34" x14ac:dyDescent="0.15">
      <c r="B3" s="10"/>
      <c r="C3" s="14"/>
      <c r="D3" s="14" t="s">
        <v>263</v>
      </c>
      <c r="E3" s="15" t="s">
        <v>263</v>
      </c>
      <c r="F3" s="29" t="s">
        <v>264</v>
      </c>
      <c r="G3" s="29"/>
      <c r="H3" s="29" t="s">
        <v>265</v>
      </c>
      <c r="I3" s="16"/>
      <c r="J3" s="16" t="s">
        <v>35</v>
      </c>
      <c r="K3" s="16" t="s">
        <v>35</v>
      </c>
      <c r="L3" s="16" t="s">
        <v>35</v>
      </c>
      <c r="M3" s="16" t="s">
        <v>35</v>
      </c>
      <c r="N3" s="16" t="s">
        <v>35</v>
      </c>
      <c r="O3" s="16" t="s">
        <v>266</v>
      </c>
      <c r="P3" s="16" t="s">
        <v>35</v>
      </c>
      <c r="Q3" s="16" t="s">
        <v>35</v>
      </c>
      <c r="R3" s="16" t="s">
        <v>35</v>
      </c>
      <c r="S3" s="16" t="s">
        <v>35</v>
      </c>
      <c r="T3" s="16" t="s">
        <v>266</v>
      </c>
      <c r="U3" s="16" t="s">
        <v>35</v>
      </c>
      <c r="V3" s="16" t="s">
        <v>35</v>
      </c>
      <c r="W3" s="16" t="s">
        <v>266</v>
      </c>
      <c r="X3" s="16" t="s">
        <v>35</v>
      </c>
      <c r="Y3" s="16" t="s">
        <v>35</v>
      </c>
      <c r="Z3" s="16" t="s">
        <v>35</v>
      </c>
      <c r="AA3" s="16" t="s">
        <v>266</v>
      </c>
      <c r="AB3" s="16" t="s">
        <v>35</v>
      </c>
      <c r="AC3" s="16" t="s">
        <v>35</v>
      </c>
      <c r="AD3" s="16" t="s">
        <v>35</v>
      </c>
      <c r="AE3" s="16" t="s">
        <v>35</v>
      </c>
      <c r="AF3" s="16" t="s">
        <v>266</v>
      </c>
      <c r="AG3" s="16" t="s">
        <v>35</v>
      </c>
      <c r="AH3" s="16" t="s">
        <v>35</v>
      </c>
    </row>
    <row r="4" spans="2:34" x14ac:dyDescent="0.15">
      <c r="B4" s="28" t="s">
        <v>267</v>
      </c>
      <c r="C4" s="30" t="s">
        <v>268</v>
      </c>
      <c r="D4" s="30" t="s">
        <v>269</v>
      </c>
      <c r="E4" s="17">
        <v>4.5</v>
      </c>
      <c r="F4" s="18">
        <v>40.837330000000001</v>
      </c>
      <c r="G4" s="18"/>
      <c r="H4" s="18">
        <v>-77.899709999999999</v>
      </c>
      <c r="I4" s="10"/>
      <c r="J4" s="31">
        <v>2.8136000000000001</v>
      </c>
      <c r="K4" s="31">
        <f>(J4/100)/(2*$K$1+3*$I$1)*2*$K$1*100</f>
        <v>1.4891292788419102</v>
      </c>
      <c r="L4" s="31">
        <v>1.5649999999999997E-2</v>
      </c>
      <c r="M4" s="31">
        <v>0.67219999999999991</v>
      </c>
      <c r="N4" s="31">
        <f>(M4/100)/(1*$N$1+1*$I$1)*1*$N$1*100</f>
        <v>0.48041856019401885</v>
      </c>
      <c r="O4" s="20">
        <v>119.87089180947622</v>
      </c>
      <c r="P4" s="31">
        <v>1.0055000000000001</v>
      </c>
      <c r="Q4" s="31">
        <f>(P4/100)/(2*$Q$1+3*$I$1)*2*$Q$1*100</f>
        <v>0.70327763061489035</v>
      </c>
      <c r="R4" s="31">
        <v>0.56455</v>
      </c>
      <c r="S4" s="66">
        <f t="shared" ref="S4:S9" si="0">(R4/100)/(2*$S$1+1*$I$1)*1*$S$1*100</f>
        <v>0.23433065343171086</v>
      </c>
      <c r="T4" s="20">
        <v>119.86835819311007</v>
      </c>
      <c r="U4" s="31">
        <v>0.25380000000000003</v>
      </c>
      <c r="V4" s="31">
        <f>(U4/100)/(1*$V$1+1*$I$1)*1*$V$1*100</f>
        <v>0.15305202957522829</v>
      </c>
      <c r="W4" s="20">
        <v>62.971417229059149</v>
      </c>
      <c r="X4" s="31">
        <v>0.13200000000000001</v>
      </c>
      <c r="Y4" s="21">
        <v>0.1295</v>
      </c>
      <c r="Z4" s="31">
        <f>(Y4/100)/(2*$Z$1+1*$I$1)*2*$Z$1*100</f>
        <v>9.607141128446732E-2</v>
      </c>
      <c r="AA4" s="20">
        <v>33.214496396419513</v>
      </c>
      <c r="AB4" s="21">
        <v>0.20324999999999999</v>
      </c>
      <c r="AC4" s="21">
        <v>82.48814999999999</v>
      </c>
      <c r="AD4" s="31">
        <f>(AC4/100)/(1*$AD$1+2*$I$1)*1*$AD$1*100</f>
        <v>38.558720805871779</v>
      </c>
      <c r="AE4" s="22">
        <v>3.5999999999999999E-3</v>
      </c>
      <c r="AF4" s="20">
        <v>0.34742663025120879</v>
      </c>
      <c r="AG4" s="21">
        <v>0.30405000000000004</v>
      </c>
      <c r="AH4" s="31">
        <f>(AG4/100)/(1*$AH$1+2*$I$1)*1*$AH$1*100</f>
        <v>0.18223660915510592</v>
      </c>
    </row>
    <row r="5" spans="2:34" x14ac:dyDescent="0.15">
      <c r="B5" s="10"/>
      <c r="C5" s="30" t="s">
        <v>270</v>
      </c>
      <c r="D5" s="30" t="s">
        <v>271</v>
      </c>
      <c r="E5" s="17">
        <v>18.5</v>
      </c>
      <c r="F5" s="18"/>
      <c r="G5" s="18"/>
      <c r="H5" s="18"/>
      <c r="I5" s="10"/>
      <c r="J5" s="31">
        <v>3.1133500000000001</v>
      </c>
      <c r="K5" s="31">
        <f t="shared" ref="K5:K9" si="1">(J5/100)/(2*$K$1+3*$I$1)*2*$K$1*100</f>
        <v>1.6477753199752847</v>
      </c>
      <c r="L5" s="31">
        <v>1.265E-2</v>
      </c>
      <c r="M5" s="31">
        <v>6.0450000000000004E-2</v>
      </c>
      <c r="N5" s="31">
        <f t="shared" ref="N5:N32" si="2">(M5/100)/(1*$N$1+1*$I$1)*1*$N$1*100</f>
        <v>4.3203365015960199E-2</v>
      </c>
      <c r="O5" s="20">
        <v>10.779820603812615</v>
      </c>
      <c r="P5" s="31">
        <v>1.21445</v>
      </c>
      <c r="Q5" s="31">
        <f t="shared" ref="Q5:Q32" si="3">(P5/100)/(2*$Q$1+3*$I$1)*2*$Q$1*100</f>
        <v>0.84942368821507075</v>
      </c>
      <c r="R5" s="31">
        <v>0.57040000000000002</v>
      </c>
      <c r="S5" s="66">
        <f t="shared" si="0"/>
        <v>0.23675884282605233</v>
      </c>
      <c r="T5" s="20">
        <v>121.11046233876533</v>
      </c>
      <c r="U5" s="31">
        <v>0.19219999999999998</v>
      </c>
      <c r="V5" s="31">
        <f t="shared" ref="V5:V32" si="4">(U5/100)/(1*$V$1+1*$I$1)*1*$V$1*100</f>
        <v>0.1159046496625645</v>
      </c>
      <c r="W5" s="20">
        <v>47.687574434299322</v>
      </c>
      <c r="X5" s="31">
        <v>1.5800000000000002E-2</v>
      </c>
      <c r="Y5" s="21">
        <v>0.1132</v>
      </c>
      <c r="Z5" s="31">
        <f t="shared" ref="Z5:Z32" si="5">(Y5/100)/(2*$Z$1+1*$I$1)*2*$Z$1*100</f>
        <v>8.3979025153681094E-2</v>
      </c>
      <c r="AA5" s="20">
        <v>29.033830054630794</v>
      </c>
      <c r="AB5" s="21">
        <v>6.2700000000000006E-2</v>
      </c>
      <c r="AC5" s="21">
        <v>91.683199999999999</v>
      </c>
      <c r="AD5" s="31">
        <f t="shared" ref="AD5:AD32" si="6">(AC5/100)/(1*$AD$1+2*$I$1)*1*$AD$1*100</f>
        <v>42.856906251248247</v>
      </c>
      <c r="AE5" s="22">
        <v>1.8E-3</v>
      </c>
      <c r="AF5" s="20">
        <v>0.1737133151256044</v>
      </c>
      <c r="AG5" s="21">
        <v>0.28029999999999999</v>
      </c>
      <c r="AH5" s="31">
        <f t="shared" ref="AH5:AH9" si="7">(AG5/100)/(1*$AH$1+2*$I$1)*1*$AH$1*100</f>
        <v>0.16800171533029498</v>
      </c>
    </row>
    <row r="6" spans="2:34" x14ac:dyDescent="0.15">
      <c r="B6" s="10"/>
      <c r="C6" s="23" t="s">
        <v>272</v>
      </c>
      <c r="D6" s="23" t="s">
        <v>273</v>
      </c>
      <c r="E6" s="17">
        <v>44</v>
      </c>
      <c r="F6" s="18"/>
      <c r="G6" s="18"/>
      <c r="H6" s="18"/>
      <c r="I6" s="10"/>
      <c r="J6" s="19">
        <v>4.6617611161446808</v>
      </c>
      <c r="K6" s="31">
        <f t="shared" si="1"/>
        <v>2.4672892269753293</v>
      </c>
      <c r="L6" s="19">
        <v>9.8136897863090634E-3</v>
      </c>
      <c r="M6" s="19">
        <v>8.2688640444247563E-2</v>
      </c>
      <c r="N6" s="31">
        <f t="shared" si="2"/>
        <v>5.9097229376117721E-2</v>
      </c>
      <c r="O6" s="24">
        <v>14.745553514675812</v>
      </c>
      <c r="P6" s="19">
        <v>2.1723460887782937</v>
      </c>
      <c r="Q6" s="31">
        <f t="shared" si="3"/>
        <v>1.5194056789572574</v>
      </c>
      <c r="R6" s="19">
        <v>0.56526539715855273</v>
      </c>
      <c r="S6" s="66">
        <f t="shared" si="0"/>
        <v>0.2346275969860937</v>
      </c>
      <c r="T6" s="24">
        <v>120.02025524890976</v>
      </c>
      <c r="U6" s="19">
        <v>0.2972199227534707</v>
      </c>
      <c r="V6" s="31">
        <f t="shared" si="4"/>
        <v>0.1792360614957102</v>
      </c>
      <c r="W6" s="24">
        <v>73.744522318745197</v>
      </c>
      <c r="X6" s="19">
        <v>1.6032783293727149E-2</v>
      </c>
      <c r="Y6" s="19">
        <v>7.9165939763120252E-2</v>
      </c>
      <c r="Z6" s="31">
        <f t="shared" si="5"/>
        <v>5.8730374970687955E-2</v>
      </c>
      <c r="AA6" s="24">
        <v>20.30468587630364</v>
      </c>
      <c r="AB6" s="19">
        <v>6.9040846725606161E-2</v>
      </c>
      <c r="AC6" s="19">
        <v>87.429882620349574</v>
      </c>
      <c r="AD6" s="31">
        <f t="shared" si="6"/>
        <v>40.868711857984451</v>
      </c>
      <c r="AE6" s="17">
        <v>1.5725268106147232E-3</v>
      </c>
      <c r="AF6" s="24">
        <v>0.15176046966432052</v>
      </c>
      <c r="AG6" s="19">
        <v>0.26620026396042523</v>
      </c>
      <c r="AH6" s="31">
        <f t="shared" si="7"/>
        <v>0.15955084183634946</v>
      </c>
    </row>
    <row r="7" spans="2:34" x14ac:dyDescent="0.15">
      <c r="B7" s="10"/>
      <c r="C7" s="23" t="s">
        <v>274</v>
      </c>
      <c r="D7" s="23" t="s">
        <v>273</v>
      </c>
      <c r="E7" s="17">
        <v>44</v>
      </c>
      <c r="F7" s="18"/>
      <c r="G7" s="18"/>
      <c r="H7" s="18"/>
      <c r="I7" s="10"/>
      <c r="J7" s="19">
        <v>1.8111000000000002</v>
      </c>
      <c r="K7" s="31">
        <f t="shared" si="1"/>
        <v>0.9585449377703239</v>
      </c>
      <c r="L7" s="19">
        <v>5.9999999999999995E-4</v>
      </c>
      <c r="M7" s="19">
        <v>1.7100000000000001E-2</v>
      </c>
      <c r="N7" s="31">
        <f t="shared" si="2"/>
        <v>1.2221299284911818E-2</v>
      </c>
      <c r="O7" s="24">
        <v>3.049378533088432</v>
      </c>
      <c r="P7" s="19">
        <v>0.75870000000000004</v>
      </c>
      <c r="Q7" s="31">
        <f t="shared" si="3"/>
        <v>0.53065811869469648</v>
      </c>
      <c r="R7" s="19">
        <v>9.2950000000000005E-2</v>
      </c>
      <c r="S7" s="66">
        <f t="shared" si="0"/>
        <v>3.8581231487870911E-2</v>
      </c>
      <c r="T7" s="24">
        <v>19.735654758745163</v>
      </c>
      <c r="U7" s="19">
        <v>0.11069999999999999</v>
      </c>
      <c r="V7" s="31">
        <f t="shared" si="4"/>
        <v>6.6756736304088918E-2</v>
      </c>
      <c r="W7" s="24">
        <v>27.466256450972605</v>
      </c>
      <c r="X7" s="19">
        <v>5.4999999999999992E-4</v>
      </c>
      <c r="Y7" s="19">
        <v>3.1899999999999998E-2</v>
      </c>
      <c r="Z7" s="31">
        <f t="shared" si="5"/>
        <v>2.3665467335710483E-2</v>
      </c>
      <c r="AA7" s="24">
        <v>8.1817948652183965</v>
      </c>
      <c r="AB7" s="19">
        <v>3.8949999999999999E-2</v>
      </c>
      <c r="AC7" s="19">
        <v>95.742199999999997</v>
      </c>
      <c r="AD7" s="31">
        <f t="shared" si="6"/>
        <v>44.754267845016969</v>
      </c>
      <c r="AE7" s="17">
        <v>0</v>
      </c>
      <c r="AF7" s="24">
        <v>0</v>
      </c>
      <c r="AG7" s="19">
        <v>9.8799999999999999E-2</v>
      </c>
      <c r="AH7" s="31">
        <f t="shared" si="7"/>
        <v>5.9217158311213505E-2</v>
      </c>
    </row>
    <row r="8" spans="2:34" x14ac:dyDescent="0.15">
      <c r="B8" s="10"/>
      <c r="C8" s="23" t="s">
        <v>275</v>
      </c>
      <c r="D8" s="23" t="s">
        <v>276</v>
      </c>
      <c r="E8" s="17">
        <v>69.5</v>
      </c>
      <c r="F8" s="18"/>
      <c r="G8" s="18"/>
      <c r="H8" s="18"/>
      <c r="I8" s="10"/>
      <c r="J8" s="19">
        <v>4.9863674368490294</v>
      </c>
      <c r="K8" s="31">
        <f t="shared" si="1"/>
        <v>2.6390907539365149</v>
      </c>
      <c r="L8" s="19">
        <v>1.0744207839891721E-2</v>
      </c>
      <c r="M8" s="19">
        <v>5.9412615140215175E-2</v>
      </c>
      <c r="N8" s="31">
        <f t="shared" si="2"/>
        <v>4.2461950346658055E-2</v>
      </c>
      <c r="O8" s="24">
        <v>10.594827672702744</v>
      </c>
      <c r="P8" s="19">
        <v>2.2202253180324334</v>
      </c>
      <c r="Q8" s="31">
        <f t="shared" si="3"/>
        <v>1.5528938847310205</v>
      </c>
      <c r="R8" s="19">
        <v>0.29073136803063065</v>
      </c>
      <c r="S8" s="66">
        <f t="shared" si="0"/>
        <v>0.12067535460758637</v>
      </c>
      <c r="T8" s="24">
        <v>61.729681624423947</v>
      </c>
      <c r="U8" s="19">
        <v>0.20824393643127867</v>
      </c>
      <c r="V8" s="31">
        <f t="shared" si="4"/>
        <v>0.12557981527794332</v>
      </c>
      <c r="W8" s="24">
        <v>51.668304989896448</v>
      </c>
      <c r="X8" s="19">
        <v>0.12239207807609005</v>
      </c>
      <c r="Y8" s="19">
        <v>2.2067943519189257E-2</v>
      </c>
      <c r="Z8" s="31">
        <f t="shared" si="5"/>
        <v>1.6371416818798661E-2</v>
      </c>
      <c r="AA8" s="24">
        <v>5.6600434787220131</v>
      </c>
      <c r="AB8" s="19">
        <v>5.4815406980751165E-2</v>
      </c>
      <c r="AC8" s="19">
        <v>88.368670219755941</v>
      </c>
      <c r="AD8" s="31">
        <f t="shared" si="6"/>
        <v>41.307543968312117</v>
      </c>
      <c r="AE8" s="17">
        <v>5.4583125811356133E-4</v>
      </c>
      <c r="AF8" s="24">
        <v>5.2676754081158988E-2</v>
      </c>
      <c r="AG8" s="19">
        <v>0.2243397559016643</v>
      </c>
      <c r="AH8" s="31">
        <f t="shared" si="7"/>
        <v>0.13446116235554503</v>
      </c>
    </row>
    <row r="9" spans="2:34" x14ac:dyDescent="0.15">
      <c r="B9" s="10"/>
      <c r="C9" s="30" t="s">
        <v>277</v>
      </c>
      <c r="D9" s="30" t="s">
        <v>278</v>
      </c>
      <c r="E9" s="17">
        <v>99.5</v>
      </c>
      <c r="F9" s="18"/>
      <c r="G9" s="18"/>
      <c r="H9" s="18"/>
      <c r="I9" s="10"/>
      <c r="J9" s="31">
        <v>17.078150000000001</v>
      </c>
      <c r="K9" s="31">
        <f t="shared" si="1"/>
        <v>9.038801959572778</v>
      </c>
      <c r="L9" s="31">
        <v>3.6500000000000005E-2</v>
      </c>
      <c r="M9" s="31">
        <v>8.4999999999999992E-2</v>
      </c>
      <c r="N9" s="31">
        <f t="shared" si="2"/>
        <v>6.0749148492251721E-2</v>
      </c>
      <c r="O9" s="20">
        <v>15.157729550439573</v>
      </c>
      <c r="P9" s="31">
        <v>7.2309999999999999</v>
      </c>
      <c r="Q9" s="31">
        <f t="shared" si="3"/>
        <v>5.0575838358789378</v>
      </c>
      <c r="R9" s="31">
        <v>1.2015500000000001</v>
      </c>
      <c r="S9" s="66">
        <f t="shared" si="0"/>
        <v>0.4987334985933437</v>
      </c>
      <c r="T9" s="20">
        <v>255.1196984977972</v>
      </c>
      <c r="U9" s="31">
        <v>0.62585000000000002</v>
      </c>
      <c r="V9" s="31">
        <f t="shared" si="4"/>
        <v>0.37741376166137358</v>
      </c>
      <c r="W9" s="20">
        <v>155.28235410877335</v>
      </c>
      <c r="X9" s="31">
        <v>0.33355000000000001</v>
      </c>
      <c r="Y9" s="21">
        <v>3.56E-2</v>
      </c>
      <c r="Z9" s="31">
        <f t="shared" si="5"/>
        <v>2.6410364800980971E-2</v>
      </c>
      <c r="AA9" s="20">
        <v>9.1307804765446683</v>
      </c>
      <c r="AB9" s="21">
        <v>0.1217</v>
      </c>
      <c r="AC9" s="21">
        <v>65.837500000000006</v>
      </c>
      <c r="AD9" s="31">
        <f t="shared" si="6"/>
        <v>30.775448122628319</v>
      </c>
      <c r="AE9" s="22">
        <v>1.6000000000000001E-3</v>
      </c>
      <c r="AF9" s="20">
        <v>0.1544118356672039</v>
      </c>
      <c r="AG9" s="21">
        <v>0.68385000000000007</v>
      </c>
      <c r="AH9" s="31">
        <f t="shared" si="7"/>
        <v>0.4098750375619773</v>
      </c>
    </row>
    <row r="10" spans="2:34" x14ac:dyDescent="0.15">
      <c r="B10" s="10"/>
      <c r="C10" s="30"/>
      <c r="D10" s="32"/>
      <c r="E10" s="17"/>
      <c r="F10" s="18"/>
      <c r="G10" s="18"/>
      <c r="H10" s="18"/>
      <c r="I10" s="25"/>
      <c r="J10" s="33"/>
      <c r="K10" s="33"/>
      <c r="L10" s="33"/>
      <c r="M10" s="33"/>
      <c r="N10" s="41"/>
      <c r="O10" s="40"/>
      <c r="P10" s="40"/>
      <c r="Q10" s="41"/>
      <c r="R10" s="40"/>
      <c r="S10" s="40"/>
      <c r="T10" s="40"/>
      <c r="U10" s="40"/>
      <c r="V10" s="41"/>
      <c r="W10" s="40"/>
      <c r="X10" s="40"/>
      <c r="Y10" s="40"/>
      <c r="Z10" s="41"/>
      <c r="AA10" s="40"/>
      <c r="AB10" s="40"/>
      <c r="AC10" s="40"/>
      <c r="AD10" s="41"/>
      <c r="AE10" s="34"/>
      <c r="AF10" s="34"/>
      <c r="AG10" s="33"/>
      <c r="AH10" s="33"/>
    </row>
    <row r="11" spans="2:34" x14ac:dyDescent="0.15">
      <c r="B11" s="10"/>
      <c r="C11" s="30"/>
      <c r="D11" s="32"/>
      <c r="E11" s="17"/>
      <c r="F11" s="18"/>
      <c r="G11" s="18"/>
      <c r="H11" s="18"/>
      <c r="I11" s="25"/>
      <c r="J11" s="33"/>
      <c r="K11" s="33"/>
      <c r="L11" s="33"/>
      <c r="M11" s="33"/>
      <c r="N11" s="41"/>
      <c r="O11" s="40"/>
      <c r="P11" s="40"/>
      <c r="Q11" s="41"/>
      <c r="R11" s="40"/>
      <c r="S11" s="40"/>
      <c r="T11" s="40"/>
      <c r="U11" s="40"/>
      <c r="V11" s="41"/>
      <c r="W11" s="40"/>
      <c r="X11" s="40"/>
      <c r="Y11" s="40"/>
      <c r="Z11" s="41"/>
      <c r="AA11" s="40"/>
      <c r="AB11" s="40"/>
      <c r="AC11" s="40"/>
      <c r="AD11" s="41"/>
      <c r="AE11" s="34"/>
      <c r="AF11" s="34"/>
      <c r="AG11" s="33"/>
      <c r="AH11" s="33"/>
    </row>
    <row r="12" spans="2:34" ht="16" x14ac:dyDescent="0.2">
      <c r="B12" s="10"/>
      <c r="C12" s="23" t="s">
        <v>279</v>
      </c>
      <c r="D12" s="23" t="s">
        <v>269</v>
      </c>
      <c r="E12" s="17">
        <v>4.5</v>
      </c>
      <c r="F12" s="18">
        <v>40.837470000000003</v>
      </c>
      <c r="G12" s="18"/>
      <c r="H12" s="18">
        <v>-77.899959999999993</v>
      </c>
      <c r="I12" s="10"/>
      <c r="J12" s="43">
        <v>3.1543038611374463</v>
      </c>
      <c r="K12" s="43">
        <f t="shared" ref="K12:K32" si="8">(J12/100)/(2*$K$1+3*$I$1)*2*$K$1*100</f>
        <v>1.6694506091782264</v>
      </c>
      <c r="L12" s="43">
        <v>1.2560834237564541E-2</v>
      </c>
      <c r="M12" s="43">
        <v>0.23427732342673468</v>
      </c>
      <c r="N12" s="43">
        <f t="shared" si="2"/>
        <v>0.16743703422609396</v>
      </c>
      <c r="O12" s="44">
        <v>41.77779186239183</v>
      </c>
      <c r="P12" s="43">
        <v>1.2153032222958566</v>
      </c>
      <c r="Q12" s="43">
        <f t="shared" si="3"/>
        <v>0.85002045813512817</v>
      </c>
      <c r="R12" s="43">
        <v>0.91454435960923464</v>
      </c>
      <c r="S12" s="45">
        <f t="shared" ref="S12:S17" si="9">(R12/100)/(2*$S$1+1*$I$1)*1*$S$1*100</f>
        <v>0.37960460079624037</v>
      </c>
      <c r="T12" s="44">
        <v>194.18108383868247</v>
      </c>
      <c r="U12" s="43">
        <v>0.18857871242350377</v>
      </c>
      <c r="V12" s="43">
        <f t="shared" si="4"/>
        <v>0.11372086158826068</v>
      </c>
      <c r="W12" s="44">
        <v>46.789081089595015</v>
      </c>
      <c r="X12" s="43">
        <v>7.3657232825108401E-2</v>
      </c>
      <c r="Y12" s="43">
        <v>6.6654012860203463E-2</v>
      </c>
      <c r="Z12" s="65">
        <f t="shared" si="5"/>
        <v>4.9448224581102547E-2</v>
      </c>
      <c r="AA12" s="44">
        <v>17.09559436256469</v>
      </c>
      <c r="AB12" s="43">
        <v>9.4932931315643537E-2</v>
      </c>
      <c r="AC12" s="43">
        <v>87.604491574995407</v>
      </c>
      <c r="AD12" s="43">
        <f t="shared" si="6"/>
        <v>40.950332041397388</v>
      </c>
      <c r="AE12" s="45">
        <v>1.9323719282808927E-3</v>
      </c>
      <c r="AF12" s="44">
        <v>0.18648818539851694</v>
      </c>
      <c r="AG12" s="43">
        <v>0.20370792299291254</v>
      </c>
      <c r="AH12" s="45">
        <f t="shared" ref="AH12:AH17" si="10">(AG12/100)/(1*$AH$1+2*$I$1)*1*$AH$1*100</f>
        <v>0.12209518547692094</v>
      </c>
    </row>
    <row r="13" spans="2:34" x14ac:dyDescent="0.15">
      <c r="B13" s="10"/>
      <c r="C13" s="23" t="s">
        <v>280</v>
      </c>
      <c r="D13" s="23" t="s">
        <v>281</v>
      </c>
      <c r="E13" s="17">
        <v>24.5</v>
      </c>
      <c r="F13" s="18"/>
      <c r="G13" s="18"/>
      <c r="H13" s="18"/>
      <c r="I13" s="10"/>
      <c r="J13" s="19">
        <v>4.0518999999999998</v>
      </c>
      <c r="K13" s="31">
        <f t="shared" si="8"/>
        <v>2.1445134080677906</v>
      </c>
      <c r="L13" s="19">
        <v>1.83E-2</v>
      </c>
      <c r="M13" s="19">
        <v>6.7099999999999993E-2</v>
      </c>
      <c r="N13" s="31">
        <f t="shared" si="2"/>
        <v>4.795609251564812E-2</v>
      </c>
      <c r="O13" s="24">
        <v>11.965690033347004</v>
      </c>
      <c r="P13" s="19">
        <v>1.14615</v>
      </c>
      <c r="Q13" s="31">
        <f t="shared" si="3"/>
        <v>0.80165256720960365</v>
      </c>
      <c r="R13" s="19">
        <v>1.5485500000000001</v>
      </c>
      <c r="S13" s="66">
        <f t="shared" si="9"/>
        <v>0.6427645618132598</v>
      </c>
      <c r="T13" s="24">
        <v>328.79664525717925</v>
      </c>
      <c r="U13" s="19">
        <v>0.16220000000000001</v>
      </c>
      <c r="V13" s="31">
        <f t="shared" si="4"/>
        <v>9.7813393211591909E-2</v>
      </c>
      <c r="W13" s="24">
        <v>40.24414450178643</v>
      </c>
      <c r="X13" s="19">
        <v>7.2499999999999995E-3</v>
      </c>
      <c r="Y13" s="19">
        <v>0.10895000000000001</v>
      </c>
      <c r="Z13" s="31">
        <f t="shared" si="5"/>
        <v>8.0826102389519025E-2</v>
      </c>
      <c r="AA13" s="24">
        <v>27.943779014593858</v>
      </c>
      <c r="AB13" s="19">
        <v>8.3299999999999999E-2</v>
      </c>
      <c r="AC13" s="19">
        <v>90.976249999999993</v>
      </c>
      <c r="AD13" s="31">
        <f t="shared" si="6"/>
        <v>42.526445601158372</v>
      </c>
      <c r="AE13" s="17">
        <v>2.0499999999999997E-3</v>
      </c>
      <c r="AF13" s="24">
        <v>0.19784016444860494</v>
      </c>
      <c r="AG13" s="19">
        <v>0.29105000000000003</v>
      </c>
      <c r="AH13" s="31">
        <f t="shared" si="10"/>
        <v>0.17444487779836731</v>
      </c>
    </row>
    <row r="14" spans="2:34" x14ac:dyDescent="0.15">
      <c r="B14" s="10"/>
      <c r="C14" s="23" t="s">
        <v>282</v>
      </c>
      <c r="D14" s="23" t="s">
        <v>283</v>
      </c>
      <c r="E14" s="17">
        <v>50</v>
      </c>
      <c r="F14" s="18"/>
      <c r="G14" s="18"/>
      <c r="H14" s="18"/>
      <c r="I14" s="10"/>
      <c r="J14" s="19">
        <v>2.0685500000000001</v>
      </c>
      <c r="K14" s="31">
        <f t="shared" si="8"/>
        <v>1.0948032306470121</v>
      </c>
      <c r="L14" s="19">
        <v>4.4000000000000003E-3</v>
      </c>
      <c r="M14" s="19">
        <v>1.685E-2</v>
      </c>
      <c r="N14" s="31">
        <f t="shared" si="2"/>
        <v>1.2042625318758136E-2</v>
      </c>
      <c r="O14" s="24">
        <v>3.0047969755871389</v>
      </c>
      <c r="P14" s="19">
        <v>0.80984999999999996</v>
      </c>
      <c r="Q14" s="31">
        <f t="shared" si="3"/>
        <v>0.5664340021416896</v>
      </c>
      <c r="R14" s="19">
        <v>0.49829999999999997</v>
      </c>
      <c r="S14" s="66">
        <f t="shared" si="9"/>
        <v>0.2068319273846807</v>
      </c>
      <c r="T14" s="24">
        <v>105.80179415043261</v>
      </c>
      <c r="U14" s="19">
        <v>0.11030000000000001</v>
      </c>
      <c r="V14" s="31">
        <f t="shared" si="4"/>
        <v>6.6515519551409288E-2</v>
      </c>
      <c r="W14" s="24">
        <v>27.367010718539099</v>
      </c>
      <c r="X14" s="19">
        <v>1.3350000000000001E-2</v>
      </c>
      <c r="Y14" s="19">
        <v>4.02E-2</v>
      </c>
      <c r="Z14" s="31">
        <f t="shared" si="5"/>
        <v>2.9822940028074025E-2</v>
      </c>
      <c r="AA14" s="24">
        <v>10.310600425761114</v>
      </c>
      <c r="AB14" s="19">
        <v>4.7450000000000006E-2</v>
      </c>
      <c r="AC14" s="19">
        <v>95.829499999999996</v>
      </c>
      <c r="AD14" s="31">
        <f t="shared" si="6"/>
        <v>44.795075843818651</v>
      </c>
      <c r="AE14" s="17">
        <v>4.0000000000000002E-4</v>
      </c>
      <c r="AF14" s="24">
        <v>3.8602958916800975E-2</v>
      </c>
      <c r="AG14" s="19">
        <v>0.12309999999999999</v>
      </c>
      <c r="AH14" s="31">
        <f t="shared" si="10"/>
        <v>7.3781702308809538E-2</v>
      </c>
    </row>
    <row r="15" spans="2:34" x14ac:dyDescent="0.15">
      <c r="B15" s="10"/>
      <c r="C15" s="23" t="s">
        <v>284</v>
      </c>
      <c r="D15" s="23" t="s">
        <v>285</v>
      </c>
      <c r="E15" s="17">
        <v>70</v>
      </c>
      <c r="F15" s="18"/>
      <c r="G15" s="18"/>
      <c r="H15" s="18"/>
      <c r="I15" s="10"/>
      <c r="J15" s="19">
        <v>4.1492000000000004</v>
      </c>
      <c r="K15" s="31">
        <f t="shared" si="8"/>
        <v>2.1960105216700505</v>
      </c>
      <c r="L15" s="19">
        <v>8.0999999999999996E-3</v>
      </c>
      <c r="M15" s="19">
        <v>3.8600000000000002E-2</v>
      </c>
      <c r="N15" s="31">
        <f t="shared" si="2"/>
        <v>2.7587260374128432E-2</v>
      </c>
      <c r="O15" s="24">
        <v>6.8833924781996174</v>
      </c>
      <c r="P15" s="19">
        <v>1.6515499999999999</v>
      </c>
      <c r="Q15" s="31">
        <f t="shared" si="3"/>
        <v>1.1551448740348305</v>
      </c>
      <c r="R15" s="19">
        <v>0.92070000000000007</v>
      </c>
      <c r="S15" s="66">
        <f t="shared" si="9"/>
        <v>0.38215965390944318</v>
      </c>
      <c r="T15" s="24">
        <v>195.48808323159406</v>
      </c>
      <c r="U15" s="19">
        <v>0.21304999999999999</v>
      </c>
      <c r="V15" s="31">
        <f t="shared" si="4"/>
        <v>0.12847807289599047</v>
      </c>
      <c r="W15" s="24">
        <v>52.860758237395792</v>
      </c>
      <c r="X15" s="19">
        <v>8.9150000000000007E-2</v>
      </c>
      <c r="Y15" s="19">
        <v>5.5150000000000005E-2</v>
      </c>
      <c r="Z15" s="31">
        <f t="shared" si="5"/>
        <v>4.0913809516126429E-2</v>
      </c>
      <c r="AA15" s="24">
        <v>14.145015260714562</v>
      </c>
      <c r="AB15" s="19">
        <v>5.1299999999999998E-2</v>
      </c>
      <c r="AC15" s="19">
        <v>90.737200000000001</v>
      </c>
      <c r="AD15" s="31">
        <f t="shared" si="6"/>
        <v>42.41470273616936</v>
      </c>
      <c r="AE15" s="17">
        <v>8.0000000000000004E-4</v>
      </c>
      <c r="AF15" s="24">
        <v>7.720591783360195E-2</v>
      </c>
      <c r="AG15" s="19">
        <v>0.17745</v>
      </c>
      <c r="AH15" s="31">
        <f t="shared" si="10"/>
        <v>0.10635713301948214</v>
      </c>
    </row>
    <row r="16" spans="2:34" x14ac:dyDescent="0.15">
      <c r="B16" s="10"/>
      <c r="C16" s="23" t="s">
        <v>286</v>
      </c>
      <c r="D16" s="23" t="s">
        <v>287</v>
      </c>
      <c r="E16" s="17">
        <v>90</v>
      </c>
      <c r="F16" s="18"/>
      <c r="G16" s="18"/>
      <c r="H16" s="18"/>
      <c r="I16" s="10"/>
      <c r="J16" s="19">
        <v>8.5866242726851763</v>
      </c>
      <c r="K16" s="31">
        <f t="shared" si="8"/>
        <v>4.5445669643411</v>
      </c>
      <c r="L16" s="19">
        <v>1.8596758855767923E-2</v>
      </c>
      <c r="M16" s="19">
        <v>8.2124363121390473E-2</v>
      </c>
      <c r="N16" s="31">
        <f t="shared" si="2"/>
        <v>5.86939427069759E-2</v>
      </c>
      <c r="O16" s="24">
        <v>14.644928067013298</v>
      </c>
      <c r="P16" s="19">
        <v>3.4483407458571391</v>
      </c>
      <c r="Q16" s="31">
        <f t="shared" si="3"/>
        <v>2.4118755935347513</v>
      </c>
      <c r="R16" s="19">
        <v>1.9023392332728601</v>
      </c>
      <c r="S16" s="66">
        <f t="shared" si="9"/>
        <v>0.78961366678170064</v>
      </c>
      <c r="T16" s="24">
        <v>403.91511933178197</v>
      </c>
      <c r="U16" s="19">
        <v>0.42784466336749893</v>
      </c>
      <c r="V16" s="31">
        <f t="shared" si="4"/>
        <v>0.25800825087204893</v>
      </c>
      <c r="W16" s="24">
        <v>106.15439245918492</v>
      </c>
      <c r="X16" s="19">
        <v>6.3536923032270806E-2</v>
      </c>
      <c r="Y16" s="19">
        <v>6.7970402964303331E-2</v>
      </c>
      <c r="Z16" s="31">
        <f t="shared" si="5"/>
        <v>5.0424807245981168E-2</v>
      </c>
      <c r="AA16" s="24">
        <v>17.433225515992543</v>
      </c>
      <c r="AB16" s="19">
        <v>6.1931777704633699E-2</v>
      </c>
      <c r="AC16" s="19">
        <v>79.453234970694297</v>
      </c>
      <c r="AD16" s="31">
        <f t="shared" si="6"/>
        <v>37.140063201300173</v>
      </c>
      <c r="AE16" s="17">
        <v>2.2840238185249293E-3</v>
      </c>
      <c r="AF16" s="24">
        <v>0.22042519407878183</v>
      </c>
      <c r="AG16" s="19">
        <v>0.32917637850457898</v>
      </c>
      <c r="AH16" s="31">
        <f t="shared" si="10"/>
        <v>0.19729645463782988</v>
      </c>
    </row>
    <row r="17" spans="2:34" x14ac:dyDescent="0.15">
      <c r="B17" s="10"/>
      <c r="C17" s="23" t="s">
        <v>288</v>
      </c>
      <c r="D17" s="23" t="s">
        <v>289</v>
      </c>
      <c r="E17" s="17">
        <v>110</v>
      </c>
      <c r="F17" s="18"/>
      <c r="G17" s="18"/>
      <c r="H17" s="18"/>
      <c r="I17" s="10"/>
      <c r="J17" s="19">
        <v>6.6370000000000005</v>
      </c>
      <c r="K17" s="31">
        <f t="shared" si="8"/>
        <v>3.5127065054285462</v>
      </c>
      <c r="L17" s="19">
        <v>9.5999999999999992E-3</v>
      </c>
      <c r="M17" s="19">
        <v>4.4950000000000004E-2</v>
      </c>
      <c r="N17" s="31">
        <f t="shared" si="2"/>
        <v>3.2125579114431944E-2</v>
      </c>
      <c r="O17" s="24">
        <v>8.0157640387324562</v>
      </c>
      <c r="P17" s="19">
        <v>2.6456499999999998</v>
      </c>
      <c r="Q17" s="31">
        <f t="shared" si="3"/>
        <v>1.8504489939694522</v>
      </c>
      <c r="R17" s="19">
        <v>1.2222499999999998</v>
      </c>
      <c r="S17" s="66">
        <f t="shared" si="9"/>
        <v>0.5073255533733213</v>
      </c>
      <c r="T17" s="24">
        <v>259.51483624396201</v>
      </c>
      <c r="U17" s="19">
        <v>0.32219999999999999</v>
      </c>
      <c r="V17" s="31">
        <f t="shared" si="4"/>
        <v>0.1943000942834458</v>
      </c>
      <c r="W17" s="24">
        <v>79.942437475188555</v>
      </c>
      <c r="X17" s="19">
        <v>7.0199999999999999E-2</v>
      </c>
      <c r="Y17" s="19">
        <v>4.1149999999999999E-2</v>
      </c>
      <c r="Z17" s="31">
        <f t="shared" si="5"/>
        <v>3.0527710998886716E-2</v>
      </c>
      <c r="AA17" s="24">
        <v>10.554258893534074</v>
      </c>
      <c r="AB17" s="19">
        <v>5.2299999999999999E-2</v>
      </c>
      <c r="AC17" s="19">
        <v>86.144199999999998</v>
      </c>
      <c r="AD17" s="31">
        <f t="shared" si="6"/>
        <v>40.267725204713393</v>
      </c>
      <c r="AE17" s="17">
        <v>8.5000000000000006E-4</v>
      </c>
      <c r="AF17" s="24">
        <v>8.2031287698202074E-2</v>
      </c>
      <c r="AG17" s="19">
        <v>0.22220000000000001</v>
      </c>
      <c r="AH17" s="31">
        <f t="shared" si="10"/>
        <v>0.13317866980517853</v>
      </c>
    </row>
    <row r="18" spans="2:34" x14ac:dyDescent="0.15">
      <c r="B18" s="10"/>
      <c r="C18" s="23"/>
      <c r="D18" s="10"/>
      <c r="E18" s="17"/>
      <c r="F18" s="18"/>
      <c r="G18" s="18"/>
      <c r="H18" s="18"/>
      <c r="I18" s="39"/>
      <c r="J18" s="40"/>
      <c r="K18" s="40"/>
      <c r="L18" s="40"/>
      <c r="M18" s="40"/>
      <c r="N18" s="41"/>
      <c r="O18" s="40"/>
      <c r="P18" s="40"/>
      <c r="Q18" s="41"/>
      <c r="R18" s="40"/>
      <c r="S18" s="40"/>
      <c r="T18" s="40"/>
      <c r="U18" s="40"/>
      <c r="V18" s="41"/>
      <c r="W18" s="40"/>
      <c r="X18" s="40"/>
      <c r="Y18" s="40"/>
      <c r="Z18" s="41"/>
      <c r="AA18" s="40"/>
      <c r="AB18" s="40"/>
      <c r="AC18" s="40"/>
      <c r="AD18" s="41"/>
      <c r="AE18" s="42"/>
      <c r="AF18" s="42"/>
      <c r="AG18" s="40"/>
      <c r="AH18" s="40"/>
    </row>
    <row r="19" spans="2:34" x14ac:dyDescent="0.15">
      <c r="B19" s="10"/>
      <c r="C19" s="23"/>
      <c r="D19" s="10"/>
      <c r="E19" s="17"/>
      <c r="F19" s="18"/>
      <c r="G19" s="18"/>
      <c r="H19" s="18"/>
      <c r="I19" s="39"/>
      <c r="J19" s="40"/>
      <c r="K19" s="40"/>
      <c r="L19" s="40"/>
      <c r="M19" s="40"/>
      <c r="N19" s="41"/>
      <c r="O19" s="40"/>
      <c r="P19" s="40"/>
      <c r="Q19" s="41"/>
      <c r="R19" s="40"/>
      <c r="S19" s="40"/>
      <c r="T19" s="40"/>
      <c r="U19" s="40"/>
      <c r="V19" s="41"/>
      <c r="W19" s="40"/>
      <c r="X19" s="40"/>
      <c r="Y19" s="40"/>
      <c r="Z19" s="41"/>
      <c r="AA19" s="40"/>
      <c r="AB19" s="40"/>
      <c r="AC19" s="40"/>
      <c r="AD19" s="41"/>
      <c r="AE19" s="42"/>
      <c r="AF19" s="42"/>
      <c r="AG19" s="40"/>
      <c r="AH19" s="40"/>
    </row>
    <row r="20" spans="2:34" x14ac:dyDescent="0.15">
      <c r="B20" s="10"/>
      <c r="C20" s="30" t="s">
        <v>290</v>
      </c>
      <c r="D20" s="30" t="s">
        <v>291</v>
      </c>
      <c r="E20" s="17">
        <v>4</v>
      </c>
      <c r="F20" s="18">
        <v>40.82949</v>
      </c>
      <c r="G20" s="18"/>
      <c r="H20" s="18">
        <v>-77.895179999999996</v>
      </c>
      <c r="I20" s="10"/>
      <c r="J20" s="31">
        <v>7.6283999999999992</v>
      </c>
      <c r="K20" s="31">
        <f t="shared" si="8"/>
        <v>4.0374160473122078</v>
      </c>
      <c r="L20" s="31">
        <v>2.18E-2</v>
      </c>
      <c r="M20" s="31">
        <v>0.61349999999999993</v>
      </c>
      <c r="N20" s="31">
        <f t="shared" si="2"/>
        <v>0.43846591294113446</v>
      </c>
      <c r="O20" s="20">
        <v>109.40314210817266</v>
      </c>
      <c r="P20" s="31">
        <v>5.4209499999999995</v>
      </c>
      <c r="Q20" s="31">
        <f t="shared" si="3"/>
        <v>3.7915791861579207</v>
      </c>
      <c r="R20" s="31">
        <v>0.73924999999999996</v>
      </c>
      <c r="S20" s="66">
        <f t="shared" ref="S20:S25" si="11">(R20/100)/(2*$S$1+1*$I$1)*1*$S$1*100</f>
        <v>0.3068442751738415</v>
      </c>
      <c r="T20" s="20">
        <v>156.96162216678169</v>
      </c>
      <c r="U20" s="31">
        <v>0.35315000000000002</v>
      </c>
      <c r="V20" s="31">
        <f t="shared" si="4"/>
        <v>0.21296424052203253</v>
      </c>
      <c r="W20" s="20">
        <v>87.621576022231039</v>
      </c>
      <c r="X20" s="31">
        <v>0.14515</v>
      </c>
      <c r="Y20" s="21">
        <v>0.10275000000000001</v>
      </c>
      <c r="Z20" s="31">
        <f t="shared" si="5"/>
        <v>7.6226544474741434E-2</v>
      </c>
      <c r="AA20" s="20">
        <v>26.353586909128218</v>
      </c>
      <c r="AB20" s="21">
        <v>0.2742</v>
      </c>
      <c r="AC20" s="21">
        <v>66.60390000000001</v>
      </c>
      <c r="AD20" s="31">
        <f t="shared" si="6"/>
        <v>31.133698412222888</v>
      </c>
      <c r="AE20" s="22">
        <v>3.8500000000000001E-3</v>
      </c>
      <c r="AF20" s="20">
        <v>0.37155347957420937</v>
      </c>
      <c r="AG20" s="21">
        <v>0.73380000000000001</v>
      </c>
      <c r="AH20" s="31">
        <f t="shared" ref="AH20:AH25" si="12">(AG20/100)/(1*$AH$1+2*$I$1)*1*$AH$1*100</f>
        <v>0.43981326689036909</v>
      </c>
    </row>
    <row r="21" spans="2:34" x14ac:dyDescent="0.15">
      <c r="B21" s="10"/>
      <c r="C21" s="30" t="s">
        <v>292</v>
      </c>
      <c r="D21" s="30" t="s">
        <v>293</v>
      </c>
      <c r="E21" s="17">
        <v>23.5</v>
      </c>
      <c r="F21" s="18"/>
      <c r="G21" s="18"/>
      <c r="H21" s="18"/>
      <c r="I21" s="10"/>
      <c r="J21" s="31">
        <v>13.700800000000001</v>
      </c>
      <c r="K21" s="31">
        <f t="shared" si="8"/>
        <v>7.251301685938742</v>
      </c>
      <c r="L21" s="31">
        <v>1.9099999999999999E-2</v>
      </c>
      <c r="M21" s="31">
        <v>0.1071</v>
      </c>
      <c r="N21" s="31">
        <f t="shared" si="2"/>
        <v>7.6543927100237164E-2</v>
      </c>
      <c r="O21" s="20">
        <v>19.098739233553861</v>
      </c>
      <c r="P21" s="31">
        <v>9.113150000000001</v>
      </c>
      <c r="Q21" s="31">
        <f t="shared" si="3"/>
        <v>6.3740174434988441</v>
      </c>
      <c r="R21" s="31">
        <v>0.89795000000000003</v>
      </c>
      <c r="S21" s="66">
        <f t="shared" si="11"/>
        <v>0.37271669515367056</v>
      </c>
      <c r="T21" s="20">
        <v>190.65767822071237</v>
      </c>
      <c r="U21" s="31">
        <v>0.40920000000000001</v>
      </c>
      <c r="V21" s="31">
        <f t="shared" si="4"/>
        <v>0.24676473799126636</v>
      </c>
      <c r="W21" s="20">
        <v>101.52838427947599</v>
      </c>
      <c r="X21" s="31">
        <v>3.0550000000000001E-2</v>
      </c>
      <c r="Y21" s="21">
        <v>5.9149999999999994E-2</v>
      </c>
      <c r="Z21" s="31">
        <f t="shared" si="5"/>
        <v>4.3881266235337765E-2</v>
      </c>
      <c r="AA21" s="20">
        <v>15.170945651337554</v>
      </c>
      <c r="AB21" s="21">
        <v>0.14615</v>
      </c>
      <c r="AC21" s="21">
        <v>67.532049999999998</v>
      </c>
      <c r="AD21" s="31">
        <f t="shared" si="6"/>
        <v>31.567558023766722</v>
      </c>
      <c r="AE21" s="22">
        <v>3.0000000000000001E-3</v>
      </c>
      <c r="AF21" s="20">
        <v>0.28952219187600736</v>
      </c>
      <c r="AG21" s="21">
        <v>0.90259999999999996</v>
      </c>
      <c r="AH21" s="31">
        <f t="shared" si="12"/>
        <v>0.54098590173786743</v>
      </c>
    </row>
    <row r="22" spans="2:34" x14ac:dyDescent="0.15">
      <c r="B22" s="10"/>
      <c r="C22" s="23" t="s">
        <v>294</v>
      </c>
      <c r="D22" s="23" t="s">
        <v>295</v>
      </c>
      <c r="E22" s="17">
        <v>50</v>
      </c>
      <c r="F22" s="18"/>
      <c r="G22" s="18"/>
      <c r="H22" s="18"/>
      <c r="I22" s="10"/>
      <c r="J22" s="19">
        <v>14.768071223542984</v>
      </c>
      <c r="K22" s="31">
        <f t="shared" si="8"/>
        <v>7.8161669217374632</v>
      </c>
      <c r="L22" s="19">
        <v>1.5405633952698618E-2</v>
      </c>
      <c r="M22" s="19">
        <v>6.3418977396796958E-2</v>
      </c>
      <c r="N22" s="31">
        <f t="shared" si="2"/>
        <v>4.5325280883585575E-2</v>
      </c>
      <c r="O22" s="24">
        <v>11.309267149953984</v>
      </c>
      <c r="P22" s="19">
        <v>10.552013965861864</v>
      </c>
      <c r="Q22" s="31">
        <f t="shared" si="3"/>
        <v>7.3804031627315396</v>
      </c>
      <c r="R22" s="19">
        <v>0.80750830386947892</v>
      </c>
      <c r="S22" s="66">
        <f t="shared" si="11"/>
        <v>0.33517659817069789</v>
      </c>
      <c r="T22" s="24">
        <v>171.45460032262415</v>
      </c>
      <c r="U22" s="19">
        <v>0.42903764066803696</v>
      </c>
      <c r="V22" s="31">
        <f t="shared" si="4"/>
        <v>0.25872766614818971</v>
      </c>
      <c r="W22" s="24">
        <v>106.45038722410602</v>
      </c>
      <c r="X22" s="19">
        <v>8.3255555190442768E-2</v>
      </c>
      <c r="Y22" s="19">
        <v>4.2159225112146759E-2</v>
      </c>
      <c r="Z22" s="31">
        <f t="shared" si="5"/>
        <v>3.1276418958945895E-2</v>
      </c>
      <c r="AA22" s="24">
        <v>10.813107571916889</v>
      </c>
      <c r="AB22" s="19">
        <v>0.15669568517060939</v>
      </c>
      <c r="AC22" s="19">
        <v>63.104343159702054</v>
      </c>
      <c r="AD22" s="31">
        <f t="shared" si="6"/>
        <v>29.497846048588507</v>
      </c>
      <c r="AE22" s="17">
        <v>2.7288562326423164E-3</v>
      </c>
      <c r="AF22" s="24">
        <v>0.26335481259636906</v>
      </c>
      <c r="AG22" s="19">
        <v>0.79785260832501048</v>
      </c>
      <c r="AH22" s="31">
        <f t="shared" si="12"/>
        <v>0.47820409125705221</v>
      </c>
    </row>
    <row r="23" spans="2:34" x14ac:dyDescent="0.15">
      <c r="B23" s="10"/>
      <c r="C23" s="30" t="s">
        <v>296</v>
      </c>
      <c r="D23" s="30" t="s">
        <v>297</v>
      </c>
      <c r="E23" s="17">
        <v>79</v>
      </c>
      <c r="F23" s="18"/>
      <c r="G23" s="18"/>
      <c r="H23" s="18"/>
      <c r="I23" s="10"/>
      <c r="J23" s="31">
        <v>16.835900000000002</v>
      </c>
      <c r="K23" s="31">
        <f t="shared" si="8"/>
        <v>8.9105884367552317</v>
      </c>
      <c r="L23" s="31">
        <v>1.8950000000000002E-2</v>
      </c>
      <c r="M23" s="31">
        <v>5.1299999999999998E-2</v>
      </c>
      <c r="N23" s="31">
        <f t="shared" si="2"/>
        <v>3.6663897854735457E-2</v>
      </c>
      <c r="O23" s="20">
        <v>9.1481355992652951</v>
      </c>
      <c r="P23" s="31">
        <v>10.556100000000001</v>
      </c>
      <c r="Q23" s="31">
        <f t="shared" si="3"/>
        <v>7.3832610606999927</v>
      </c>
      <c r="R23" s="31">
        <v>0.95250000000000001</v>
      </c>
      <c r="S23" s="66">
        <f t="shared" si="11"/>
        <v>0.39535904241201775</v>
      </c>
      <c r="T23" s="20">
        <v>202.24003397207923</v>
      </c>
      <c r="U23" s="31">
        <v>0.45799999999999996</v>
      </c>
      <c r="V23" s="31">
        <f t="shared" si="4"/>
        <v>0.27619318181818181</v>
      </c>
      <c r="W23" s="20">
        <v>113.63636363636361</v>
      </c>
      <c r="X23" s="31">
        <v>0.13464999999999999</v>
      </c>
      <c r="Y23" s="21">
        <v>4.4749999999999998E-2</v>
      </c>
      <c r="Z23" s="31">
        <f t="shared" si="5"/>
        <v>3.3198422046176929E-2</v>
      </c>
      <c r="AA23" s="20">
        <v>11.477596245094771</v>
      </c>
      <c r="AB23" s="21">
        <v>0.16835</v>
      </c>
      <c r="AC23" s="21">
        <v>61.872100000000003</v>
      </c>
      <c r="AD23" s="31">
        <f t="shared" si="6"/>
        <v>28.921839434791295</v>
      </c>
      <c r="AE23" s="22">
        <v>2.9499999999999999E-3</v>
      </c>
      <c r="AF23" s="20">
        <v>0.28469682201140717</v>
      </c>
      <c r="AG23" s="21">
        <v>0.86535000000000006</v>
      </c>
      <c r="AH23" s="31">
        <f t="shared" si="12"/>
        <v>0.51865959458105881</v>
      </c>
    </row>
    <row r="24" spans="2:34" x14ac:dyDescent="0.15">
      <c r="B24" s="10"/>
      <c r="C24" s="23" t="s">
        <v>298</v>
      </c>
      <c r="D24" s="23" t="s">
        <v>299</v>
      </c>
      <c r="E24" s="17">
        <v>108.5</v>
      </c>
      <c r="F24" s="18"/>
      <c r="G24" s="18"/>
      <c r="H24" s="18"/>
      <c r="I24" s="10"/>
      <c r="J24" s="19">
        <v>18.606413588683793</v>
      </c>
      <c r="K24" s="31">
        <f t="shared" si="8"/>
        <v>9.847652562251568</v>
      </c>
      <c r="L24" s="19">
        <v>1.9254262353147405E-2</v>
      </c>
      <c r="M24" s="19">
        <v>3.8376908120825989E-2</v>
      </c>
      <c r="N24" s="31">
        <f t="shared" si="2"/>
        <v>2.7427817530653636E-2</v>
      </c>
      <c r="O24" s="24">
        <v>6.843609344441747</v>
      </c>
      <c r="P24" s="19">
        <v>10.738190165242283</v>
      </c>
      <c r="Q24" s="31">
        <f t="shared" si="3"/>
        <v>7.5106205236237802</v>
      </c>
      <c r="R24" s="19">
        <v>1.1344265068706705</v>
      </c>
      <c r="S24" s="66">
        <f t="shared" si="11"/>
        <v>0.47087220728944712</v>
      </c>
      <c r="T24" s="24">
        <v>240.86766959406987</v>
      </c>
      <c r="U24" s="19">
        <v>0.51764541432941025</v>
      </c>
      <c r="V24" s="31">
        <f t="shared" si="4"/>
        <v>0.31216186471011104</v>
      </c>
      <c r="W24" s="24">
        <v>128.43524571491918</v>
      </c>
      <c r="X24" s="19">
        <v>0.13911120142110703</v>
      </c>
      <c r="Y24" s="19">
        <v>3.6090975870412968E-2</v>
      </c>
      <c r="Z24" s="31">
        <f t="shared" si="5"/>
        <v>2.6774602212387876E-2</v>
      </c>
      <c r="AA24" s="24">
        <v>9.2567072431744766</v>
      </c>
      <c r="AB24" s="19">
        <v>0.2016552854354895</v>
      </c>
      <c r="AC24" s="19">
        <v>57.584442487842715</v>
      </c>
      <c r="AD24" s="31">
        <f t="shared" si="6"/>
        <v>26.917592898501269</v>
      </c>
      <c r="AE24" s="17">
        <v>2.5647409125102165E-3</v>
      </c>
      <c r="AF24" s="24">
        <v>0.24751647019467632</v>
      </c>
      <c r="AG24" s="19">
        <v>0.72845662349621576</v>
      </c>
      <c r="AH24" s="31">
        <f t="shared" si="12"/>
        <v>0.43661063963995406</v>
      </c>
    </row>
    <row r="25" spans="2:34" x14ac:dyDescent="0.15">
      <c r="B25" s="10"/>
      <c r="C25" s="30" t="s">
        <v>300</v>
      </c>
      <c r="D25" s="30" t="s">
        <v>301</v>
      </c>
      <c r="E25" s="17">
        <v>97.5</v>
      </c>
      <c r="F25" s="18"/>
      <c r="G25" s="18"/>
      <c r="H25" s="18"/>
      <c r="I25" s="10"/>
      <c r="J25" s="31">
        <v>16.4984</v>
      </c>
      <c r="K25" s="31">
        <f t="shared" si="8"/>
        <v>8.7319627857710298</v>
      </c>
      <c r="L25" s="31">
        <v>7.9300000000000009E-2</v>
      </c>
      <c r="M25" s="31">
        <v>2.5649999999999999E-2</v>
      </c>
      <c r="N25" s="31">
        <f t="shared" si="2"/>
        <v>1.8331948927367728E-2</v>
      </c>
      <c r="O25" s="20">
        <v>4.5740677996326475</v>
      </c>
      <c r="P25" s="31">
        <v>6.1225500000000004</v>
      </c>
      <c r="Q25" s="31">
        <f t="shared" si="3"/>
        <v>4.282299808375134</v>
      </c>
      <c r="R25" s="31">
        <v>2.7888500000000001</v>
      </c>
      <c r="S25" s="66">
        <f t="shared" si="11"/>
        <v>1.1575822209246776</v>
      </c>
      <c r="T25" s="20">
        <v>592.14395668559905</v>
      </c>
      <c r="U25" s="31">
        <v>0.81915000000000004</v>
      </c>
      <c r="V25" s="31">
        <f t="shared" si="4"/>
        <v>0.49398175739380706</v>
      </c>
      <c r="W25" s="20">
        <v>203.24285430726479</v>
      </c>
      <c r="X25" s="31">
        <v>0.94884999999999997</v>
      </c>
      <c r="Y25" s="21">
        <v>4.5749999999999999E-2</v>
      </c>
      <c r="Z25" s="31">
        <f t="shared" si="5"/>
        <v>3.394028622597977E-2</v>
      </c>
      <c r="AA25" s="20">
        <v>11.734078842750518</v>
      </c>
      <c r="AB25" s="21">
        <v>8.2949999999999996E-2</v>
      </c>
      <c r="AC25" s="21">
        <v>65.36</v>
      </c>
      <c r="AD25" s="31">
        <f t="shared" si="6"/>
        <v>30.552242859996003</v>
      </c>
      <c r="AE25" s="22">
        <v>3.0999999999999999E-3</v>
      </c>
      <c r="AF25" s="20">
        <v>0.29917293160520758</v>
      </c>
      <c r="AG25" s="21">
        <v>0.68530000000000002</v>
      </c>
      <c r="AH25" s="31">
        <f t="shared" si="12"/>
        <v>0.41074411529022897</v>
      </c>
    </row>
    <row r="26" spans="2:34" x14ac:dyDescent="0.15">
      <c r="B26" s="10"/>
      <c r="C26" s="30"/>
      <c r="D26" s="30"/>
      <c r="E26" s="17"/>
      <c r="F26" s="18"/>
      <c r="G26" s="18"/>
      <c r="H26" s="18"/>
      <c r="I26" s="10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21"/>
      <c r="Z26" s="31"/>
      <c r="AA26" s="21"/>
      <c r="AB26" s="21"/>
      <c r="AC26" s="21"/>
      <c r="AD26" s="31"/>
      <c r="AE26" s="22"/>
      <c r="AF26" s="24"/>
      <c r="AG26" s="21"/>
      <c r="AH26" s="21"/>
    </row>
    <row r="27" spans="2:34" x14ac:dyDescent="0.15">
      <c r="B27" s="10"/>
      <c r="C27" s="30" t="s">
        <v>302</v>
      </c>
      <c r="D27" s="17" t="s">
        <v>291</v>
      </c>
      <c r="E27" s="17">
        <v>4</v>
      </c>
      <c r="F27" s="18">
        <v>40.839289999999998</v>
      </c>
      <c r="G27" s="18"/>
      <c r="H27" s="18">
        <v>-77.897900000000007</v>
      </c>
      <c r="I27" s="10"/>
      <c r="J27" s="31">
        <v>3.7796500000000002</v>
      </c>
      <c r="K27" s="31">
        <f t="shared" si="8"/>
        <v>2.0004220496072032</v>
      </c>
      <c r="L27" s="19">
        <v>1.0100000000000001E-2</v>
      </c>
      <c r="M27" s="19">
        <v>5.4949999999999999E-2</v>
      </c>
      <c r="N27" s="31">
        <f t="shared" si="2"/>
        <v>3.92725377605792E-2</v>
      </c>
      <c r="O27" s="24">
        <v>9.7990263387841701</v>
      </c>
      <c r="P27" s="19">
        <v>2.0781000000000001</v>
      </c>
      <c r="Q27" s="31">
        <f t="shared" si="3"/>
        <v>1.4534870653215353</v>
      </c>
      <c r="R27" s="19">
        <v>0.39219999999999999</v>
      </c>
      <c r="S27" s="66">
        <f t="shared" ref="S27:S32" si="13">(R27/100)/(2*$S$1+1*$I$1)*1*$S$1*100</f>
        <v>0.16279245819841817</v>
      </c>
      <c r="T27" s="24">
        <v>83.274059132650365</v>
      </c>
      <c r="U27" s="19">
        <v>0.17144999999999999</v>
      </c>
      <c r="V27" s="31">
        <f t="shared" si="4"/>
        <v>0.10339153061730844</v>
      </c>
      <c r="W27" s="24">
        <v>42.539202064311226</v>
      </c>
      <c r="X27" s="19">
        <v>0.13045000000000001</v>
      </c>
      <c r="Y27" s="19">
        <v>9.0249999999999997E-2</v>
      </c>
      <c r="Z27" s="31">
        <f t="shared" si="5"/>
        <v>6.6953242227205972E-2</v>
      </c>
      <c r="AA27" s="24">
        <v>23.147554438431353</v>
      </c>
      <c r="AB27" s="19">
        <v>9.69E-2</v>
      </c>
      <c r="AC27" s="31">
        <v>76.223399999999998</v>
      </c>
      <c r="AD27" s="31">
        <f t="shared" si="6"/>
        <v>35.630291132414612</v>
      </c>
      <c r="AE27" s="35">
        <v>1.5500000000000002E-3</v>
      </c>
      <c r="AF27" s="24">
        <v>0.14958646580260379</v>
      </c>
      <c r="AG27" s="31">
        <v>0.42805000000000004</v>
      </c>
      <c r="AH27" s="31">
        <f t="shared" ref="AH27:AH32" si="14">(AG27/100)/(1*$AH$1+2*$I$1)*1*$AH$1*100</f>
        <v>0.256557739019382</v>
      </c>
    </row>
    <row r="28" spans="2:34" x14ac:dyDescent="0.15">
      <c r="B28" s="10"/>
      <c r="C28" s="30" t="s">
        <v>303</v>
      </c>
      <c r="D28" s="17" t="s">
        <v>304</v>
      </c>
      <c r="E28" s="17">
        <v>11</v>
      </c>
      <c r="F28" s="26"/>
      <c r="G28" s="26"/>
      <c r="H28" s="26"/>
      <c r="I28" s="10"/>
      <c r="J28" s="31">
        <v>3.3322000000000003</v>
      </c>
      <c r="K28" s="31">
        <f t="shared" si="8"/>
        <v>1.7636041309912618</v>
      </c>
      <c r="L28" s="19">
        <v>6.9499999999999996E-3</v>
      </c>
      <c r="M28" s="27">
        <v>8.5000000000000006E-4</v>
      </c>
      <c r="N28" s="31">
        <f t="shared" si="2"/>
        <v>6.0749148492251722E-4</v>
      </c>
      <c r="O28" s="24">
        <v>0.15157729550439575</v>
      </c>
      <c r="P28" s="19">
        <v>1.7909999999999999</v>
      </c>
      <c r="Q28" s="31">
        <f t="shared" si="3"/>
        <v>1.2526804937158313</v>
      </c>
      <c r="R28" s="19">
        <v>0.30649999999999999</v>
      </c>
      <c r="S28" s="66">
        <f t="shared" si="13"/>
        <v>0.1272205212590902</v>
      </c>
      <c r="T28" s="24">
        <v>65.077764212537829</v>
      </c>
      <c r="U28" s="19">
        <v>0.14465</v>
      </c>
      <c r="V28" s="31">
        <f t="shared" si="4"/>
        <v>8.7230008187772934E-2</v>
      </c>
      <c r="W28" s="24">
        <v>35.889737991266379</v>
      </c>
      <c r="X28" s="19">
        <v>4.6350000000000002E-2</v>
      </c>
      <c r="Y28" s="19">
        <v>6.275E-2</v>
      </c>
      <c r="Z28" s="31">
        <f t="shared" si="5"/>
        <v>4.6551977282627985E-2</v>
      </c>
      <c r="AA28" s="24">
        <v>16.094283002898255</v>
      </c>
      <c r="AB28" s="19">
        <v>5.4300000000000001E-2</v>
      </c>
      <c r="AC28" s="31">
        <v>89.881149999999991</v>
      </c>
      <c r="AD28" s="31">
        <f t="shared" si="6"/>
        <v>42.014545950669053</v>
      </c>
      <c r="AE28" s="35">
        <v>7.5000000000000002E-4</v>
      </c>
      <c r="AF28" s="24">
        <v>7.2380547969001841E-2</v>
      </c>
      <c r="AG28" s="31">
        <v>0.31879999999999997</v>
      </c>
      <c r="AH28" s="31">
        <f t="shared" si="14"/>
        <v>0.19107722742525166</v>
      </c>
    </row>
    <row r="29" spans="2:34" x14ac:dyDescent="0.15">
      <c r="B29" s="10"/>
      <c r="C29" s="30" t="s">
        <v>305</v>
      </c>
      <c r="D29" s="17" t="s">
        <v>306</v>
      </c>
      <c r="E29" s="17">
        <v>25.5</v>
      </c>
      <c r="F29" s="26"/>
      <c r="G29" s="26"/>
      <c r="H29" s="26"/>
      <c r="I29" s="10"/>
      <c r="J29" s="31">
        <v>5.4638500000000008</v>
      </c>
      <c r="K29" s="31">
        <f t="shared" si="8"/>
        <v>2.8918037426074674</v>
      </c>
      <c r="L29" s="19">
        <v>8.5000000000000006E-3</v>
      </c>
      <c r="M29" s="27">
        <v>-6.0000000000000006E-4</v>
      </c>
      <c r="N29" s="31">
        <f t="shared" si="2"/>
        <v>-4.2881751876883573E-4</v>
      </c>
      <c r="O29" s="24">
        <v>-0.10699573800310287</v>
      </c>
      <c r="P29" s="19">
        <v>2.5564999999999998</v>
      </c>
      <c r="Q29" s="31">
        <f t="shared" si="3"/>
        <v>1.7880947415882316</v>
      </c>
      <c r="R29" s="19">
        <v>0.43640000000000001</v>
      </c>
      <c r="S29" s="66">
        <f t="shared" si="13"/>
        <v>0.18113877806677636</v>
      </c>
      <c r="T29" s="24">
        <v>92.658846010934752</v>
      </c>
      <c r="U29" s="19">
        <v>0.22259999999999999</v>
      </c>
      <c r="V29" s="31">
        <f t="shared" si="4"/>
        <v>0.13423712286621675</v>
      </c>
      <c r="W29" s="24">
        <v>55.23025009924573</v>
      </c>
      <c r="X29" s="19">
        <v>2.3599999999999999E-2</v>
      </c>
      <c r="Y29" s="19">
        <v>5.645E-2</v>
      </c>
      <c r="Z29" s="31">
        <f t="shared" si="5"/>
        <v>4.1878232949870114E-2</v>
      </c>
      <c r="AA29" s="24">
        <v>14.478442637667035</v>
      </c>
      <c r="AB29" s="19">
        <v>6.1399999999999996E-2</v>
      </c>
      <c r="AC29" s="31">
        <v>86.649650000000008</v>
      </c>
      <c r="AD29" s="31">
        <f t="shared" si="6"/>
        <v>40.503995571200321</v>
      </c>
      <c r="AE29" s="35">
        <v>8.5000000000000006E-4</v>
      </c>
      <c r="AF29" s="24">
        <v>8.2031287698202074E-2</v>
      </c>
      <c r="AG29" s="31">
        <v>0.34589999999999999</v>
      </c>
      <c r="AH29" s="31">
        <f t="shared" si="14"/>
        <v>0.20731999048429908</v>
      </c>
    </row>
    <row r="30" spans="2:34" x14ac:dyDescent="0.15">
      <c r="B30" s="10"/>
      <c r="C30" s="30" t="s">
        <v>307</v>
      </c>
      <c r="D30" s="17" t="s">
        <v>308</v>
      </c>
      <c r="E30" s="17">
        <v>48.5</v>
      </c>
      <c r="F30" s="26"/>
      <c r="G30" s="26"/>
      <c r="H30" s="26"/>
      <c r="I30" s="10"/>
      <c r="J30" s="31">
        <v>8.0975000000000001</v>
      </c>
      <c r="K30" s="31">
        <f t="shared" si="8"/>
        <v>4.2856924706505435</v>
      </c>
      <c r="L30" s="19">
        <v>3.65E-3</v>
      </c>
      <c r="M30" s="27">
        <v>0</v>
      </c>
      <c r="N30" s="31">
        <f t="shared" si="2"/>
        <v>0</v>
      </c>
      <c r="O30" s="24">
        <v>0</v>
      </c>
      <c r="P30" s="19">
        <v>3.5207000000000002</v>
      </c>
      <c r="Q30" s="31">
        <f t="shared" si="3"/>
        <v>2.4624858817561854</v>
      </c>
      <c r="R30" s="19">
        <v>0.44830000000000003</v>
      </c>
      <c r="S30" s="66">
        <f t="shared" si="13"/>
        <v>0.18607817187748821</v>
      </c>
      <c r="T30" s="24">
        <v>95.185519401242118</v>
      </c>
      <c r="U30" s="19">
        <v>0.26585000000000003</v>
      </c>
      <c r="V30" s="31">
        <f t="shared" si="4"/>
        <v>0.16031868424970228</v>
      </c>
      <c r="W30" s="24">
        <v>65.961194918618503</v>
      </c>
      <c r="X30" s="19">
        <v>1.6199999999999999E-2</v>
      </c>
      <c r="Y30" s="19">
        <v>1.315E-2</v>
      </c>
      <c r="Z30" s="31">
        <f t="shared" si="5"/>
        <v>9.7555139644072975E-3</v>
      </c>
      <c r="AA30" s="24">
        <v>3.3727461591731003</v>
      </c>
      <c r="AB30" s="19">
        <v>5.1900000000000002E-2</v>
      </c>
      <c r="AC30" s="31">
        <v>83.760500000000008</v>
      </c>
      <c r="AD30" s="31">
        <f t="shared" si="6"/>
        <v>39.15347518474136</v>
      </c>
      <c r="AE30" s="35">
        <v>3.5E-4</v>
      </c>
      <c r="AF30" s="24">
        <v>3.3777589052200852E-2</v>
      </c>
      <c r="AG30" s="31">
        <v>0.2828</v>
      </c>
      <c r="AH30" s="31">
        <f t="shared" si="14"/>
        <v>0.16950012520659086</v>
      </c>
    </row>
    <row r="31" spans="2:34" x14ac:dyDescent="0.15">
      <c r="B31" s="10"/>
      <c r="C31" s="30" t="s">
        <v>309</v>
      </c>
      <c r="D31" s="17" t="s">
        <v>310</v>
      </c>
      <c r="E31" s="17">
        <v>69</v>
      </c>
      <c r="F31" s="26"/>
      <c r="G31" s="26"/>
      <c r="H31" s="26"/>
      <c r="I31" s="10"/>
      <c r="J31" s="31">
        <v>9.8375500000000002</v>
      </c>
      <c r="K31" s="31">
        <f t="shared" si="8"/>
        <v>5.2066334010062674</v>
      </c>
      <c r="L31" s="19">
        <v>5.6500000000000005E-3</v>
      </c>
      <c r="M31" s="27">
        <v>0</v>
      </c>
      <c r="N31" s="31">
        <f t="shared" si="2"/>
        <v>0</v>
      </c>
      <c r="O31" s="24">
        <v>0</v>
      </c>
      <c r="P31" s="19">
        <v>4.2204999999999995</v>
      </c>
      <c r="Q31" s="31">
        <f t="shared" si="3"/>
        <v>2.9519475286028287</v>
      </c>
      <c r="R31" s="19">
        <v>0.56364999999999998</v>
      </c>
      <c r="S31" s="66">
        <f t="shared" si="13"/>
        <v>0.23395708583258137</v>
      </c>
      <c r="T31" s="24">
        <v>119.67726524762462</v>
      </c>
      <c r="U31" s="19">
        <v>0.31424999999999997</v>
      </c>
      <c r="V31" s="31">
        <f t="shared" si="4"/>
        <v>0.18950591132393804</v>
      </c>
      <c r="W31" s="24">
        <v>77.969928543072655</v>
      </c>
      <c r="X31" s="19">
        <v>4.65E-2</v>
      </c>
      <c r="Y31" s="19">
        <v>1.865E-2</v>
      </c>
      <c r="Z31" s="31">
        <f t="shared" si="5"/>
        <v>1.3835766953322899E-2</v>
      </c>
      <c r="AA31" s="24">
        <v>4.7834004462797211</v>
      </c>
      <c r="AB31" s="19">
        <v>6.1699999999999998E-2</v>
      </c>
      <c r="AC31" s="31">
        <v>79.101150000000004</v>
      </c>
      <c r="AD31" s="31">
        <f t="shared" si="6"/>
        <v>36.975482639304971</v>
      </c>
      <c r="AE31" s="35">
        <v>5.0000000000000001E-4</v>
      </c>
      <c r="AF31" s="24">
        <v>4.8253698646001222E-2</v>
      </c>
      <c r="AG31" s="31">
        <v>0.32419999999999999</v>
      </c>
      <c r="AH31" s="31">
        <f t="shared" si="14"/>
        <v>0.19431379275805077</v>
      </c>
    </row>
    <row r="32" spans="2:34" x14ac:dyDescent="0.15">
      <c r="B32" s="10"/>
      <c r="C32" s="30" t="s">
        <v>311</v>
      </c>
      <c r="D32" s="17" t="s">
        <v>312</v>
      </c>
      <c r="E32" s="17">
        <v>99</v>
      </c>
      <c r="F32" s="26"/>
      <c r="G32" s="26"/>
      <c r="H32" s="26"/>
      <c r="I32" s="10"/>
      <c r="J32" s="31">
        <v>14.878599999999999</v>
      </c>
      <c r="K32" s="31">
        <f t="shared" si="8"/>
        <v>7.8746655132844889</v>
      </c>
      <c r="L32" s="19">
        <v>1.5050000000000001E-2</v>
      </c>
      <c r="M32" s="27">
        <v>-1E-4</v>
      </c>
      <c r="N32" s="31">
        <f t="shared" si="2"/>
        <v>-7.1469586461472622E-5</v>
      </c>
      <c r="O32" s="24">
        <v>-1.7832623000517144E-2</v>
      </c>
      <c r="P32" s="19">
        <v>6.8568999999999996</v>
      </c>
      <c r="Q32" s="31">
        <f t="shared" si="3"/>
        <v>4.7959267880290808</v>
      </c>
      <c r="R32" s="19">
        <v>0.91195000000000004</v>
      </c>
      <c r="S32" s="66">
        <f t="shared" si="13"/>
        <v>0.37852774669568451</v>
      </c>
      <c r="T32" s="24">
        <v>193.63023515048573</v>
      </c>
      <c r="U32" s="19">
        <v>0.48799999999999999</v>
      </c>
      <c r="V32" s="31">
        <f t="shared" si="4"/>
        <v>0.2942844382691544</v>
      </c>
      <c r="W32" s="24">
        <v>121.07979356887654</v>
      </c>
      <c r="X32" s="19">
        <v>0.1736</v>
      </c>
      <c r="Y32" s="19">
        <v>1.3049999999999999E-2</v>
      </c>
      <c r="Z32" s="31">
        <f t="shared" si="5"/>
        <v>9.6813275464270147E-3</v>
      </c>
      <c r="AA32" s="24">
        <v>3.3470978994075256</v>
      </c>
      <c r="AB32" s="19">
        <v>9.2249999999999999E-2</v>
      </c>
      <c r="AC32" s="31">
        <v>68.820999999999998</v>
      </c>
      <c r="AD32" s="31">
        <f t="shared" si="6"/>
        <v>32.170071999201113</v>
      </c>
      <c r="AE32" s="35">
        <v>5.4999999999999992E-4</v>
      </c>
      <c r="AF32" s="24">
        <v>5.3079068510601332E-2</v>
      </c>
      <c r="AG32" s="31">
        <v>0.4854</v>
      </c>
      <c r="AH32" s="31">
        <f t="shared" si="14"/>
        <v>0.29093126158160965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91A9-4424-0648-8866-967DA460F46E}">
  <dimension ref="A1:W78"/>
  <sheetViews>
    <sheetView zoomScale="90" zoomScaleNormal="90" workbookViewId="0">
      <selection activeCell="C18" sqref="C18:C25"/>
    </sheetView>
  </sheetViews>
  <sheetFormatPr baseColWidth="10" defaultColWidth="11" defaultRowHeight="16" x14ac:dyDescent="0.2"/>
  <cols>
    <col min="1" max="1" width="26.6640625" customWidth="1"/>
    <col min="2" max="2" width="12.1640625" bestFit="1" customWidth="1"/>
    <col min="3" max="3" width="18.1640625" bestFit="1" customWidth="1"/>
  </cols>
  <sheetData>
    <row r="1" spans="1:14" x14ac:dyDescent="0.2">
      <c r="A1" s="67" t="s">
        <v>313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4" x14ac:dyDescent="0.2">
      <c r="A2" s="59" t="s">
        <v>314</v>
      </c>
      <c r="B2" s="4">
        <v>1</v>
      </c>
      <c r="C2" s="4">
        <v>1</v>
      </c>
      <c r="D2" s="4">
        <v>2</v>
      </c>
      <c r="E2" s="4">
        <v>1</v>
      </c>
      <c r="F2" s="4">
        <v>1</v>
      </c>
      <c r="G2" s="4">
        <v>1</v>
      </c>
      <c r="H2" s="4">
        <v>1</v>
      </c>
      <c r="I2" s="4">
        <v>2</v>
      </c>
      <c r="J2" s="4">
        <v>2</v>
      </c>
      <c r="K2" s="4">
        <v>2</v>
      </c>
      <c r="L2" s="4">
        <v>1</v>
      </c>
      <c r="M2" s="4">
        <v>2</v>
      </c>
    </row>
    <row r="3" spans="1:14" x14ac:dyDescent="0.2">
      <c r="A3" s="59" t="s">
        <v>315</v>
      </c>
      <c r="B3" s="4">
        <v>2</v>
      </c>
      <c r="C3" s="4">
        <v>2</v>
      </c>
      <c r="D3" s="4">
        <v>3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3</v>
      </c>
      <c r="L3" s="4">
        <v>1</v>
      </c>
      <c r="M3" s="4">
        <v>5</v>
      </c>
    </row>
    <row r="4" spans="1:14" x14ac:dyDescent="0.2">
      <c r="A4" s="59" t="s">
        <v>316</v>
      </c>
      <c r="B4" s="4">
        <v>28.085999999999999</v>
      </c>
      <c r="C4" s="4">
        <v>47.87</v>
      </c>
      <c r="D4" s="4">
        <v>26.981999999999999</v>
      </c>
      <c r="E4" s="4">
        <v>55.844999999999999</v>
      </c>
      <c r="F4" s="4"/>
      <c r="G4" s="4">
        <v>24.305</v>
      </c>
      <c r="H4" s="4">
        <v>40.078000000000003</v>
      </c>
      <c r="I4" s="4">
        <v>22.99</v>
      </c>
      <c r="J4" s="4">
        <v>39.097999999999999</v>
      </c>
      <c r="K4" s="4">
        <v>55.844999999999999</v>
      </c>
      <c r="L4" s="4">
        <v>55.844999999999999</v>
      </c>
      <c r="M4" s="4"/>
    </row>
    <row r="5" spans="1:14" x14ac:dyDescent="0.2">
      <c r="A5" s="60" t="s">
        <v>317</v>
      </c>
      <c r="B5" s="60" t="s">
        <v>14</v>
      </c>
      <c r="C5" s="60" t="s">
        <v>17</v>
      </c>
      <c r="D5" s="60" t="s">
        <v>253</v>
      </c>
      <c r="E5" s="60" t="s">
        <v>318</v>
      </c>
      <c r="F5" s="60" t="s">
        <v>259</v>
      </c>
      <c r="G5" s="60" t="s">
        <v>258</v>
      </c>
      <c r="H5" s="60" t="s">
        <v>255</v>
      </c>
      <c r="I5" s="60" t="s">
        <v>260</v>
      </c>
      <c r="J5" s="60" t="s">
        <v>257</v>
      </c>
      <c r="K5" s="60" t="s">
        <v>319</v>
      </c>
      <c r="L5" s="60" t="s">
        <v>320</v>
      </c>
      <c r="M5" s="60" t="s">
        <v>261</v>
      </c>
    </row>
    <row r="6" spans="1:14" x14ac:dyDescent="0.2">
      <c r="A6" s="4" t="s">
        <v>321</v>
      </c>
      <c r="B6" s="4">
        <v>41.58</v>
      </c>
      <c r="C6" s="4">
        <v>3.72</v>
      </c>
      <c r="D6" s="4">
        <v>11.69</v>
      </c>
      <c r="E6" s="4">
        <v>14.07</v>
      </c>
      <c r="F6" s="4">
        <v>0.19</v>
      </c>
      <c r="G6" s="4">
        <v>11.99</v>
      </c>
      <c r="H6" s="4">
        <v>11.13</v>
      </c>
      <c r="I6" s="4">
        <v>3.91</v>
      </c>
      <c r="J6" s="4">
        <v>0.77</v>
      </c>
      <c r="K6" s="4">
        <v>2.35</v>
      </c>
      <c r="L6" s="4">
        <v>11.96</v>
      </c>
      <c r="M6" s="4">
        <v>0.71</v>
      </c>
      <c r="N6">
        <f t="shared" ref="N6:N14" si="0">SUM(B6:M6)-SUM(K6:L6)</f>
        <v>99.759999999999977</v>
      </c>
    </row>
    <row r="7" spans="1:14" x14ac:dyDescent="0.2">
      <c r="A7" s="4" t="s">
        <v>322</v>
      </c>
      <c r="B7" s="4">
        <v>41.72</v>
      </c>
      <c r="C7" s="4">
        <v>3.79</v>
      </c>
      <c r="D7" s="4">
        <v>11.07</v>
      </c>
      <c r="E7" s="4">
        <v>14.29</v>
      </c>
      <c r="F7" s="4">
        <v>0.19</v>
      </c>
      <c r="G7" s="4">
        <v>12.44</v>
      </c>
      <c r="H7" s="4">
        <v>10.99</v>
      </c>
      <c r="I7" s="4">
        <v>3.85</v>
      </c>
      <c r="J7" s="4">
        <v>0.69</v>
      </c>
      <c r="K7" s="4">
        <v>2.38</v>
      </c>
      <c r="L7" s="4">
        <v>12.15</v>
      </c>
      <c r="M7" s="4">
        <v>0.72</v>
      </c>
      <c r="N7">
        <f t="shared" si="0"/>
        <v>99.749999999999986</v>
      </c>
    </row>
    <row r="8" spans="1:14" x14ac:dyDescent="0.2">
      <c r="A8" s="4" t="s">
        <v>323</v>
      </c>
      <c r="B8" s="4">
        <v>43.77</v>
      </c>
      <c r="C8" s="4">
        <v>3.67</v>
      </c>
      <c r="D8" s="4">
        <v>12.04</v>
      </c>
      <c r="E8" s="4">
        <v>14.41</v>
      </c>
      <c r="F8" s="4">
        <v>0.2</v>
      </c>
      <c r="G8" s="4">
        <v>10.56</v>
      </c>
      <c r="H8" s="4">
        <v>10.14</v>
      </c>
      <c r="I8" s="4">
        <v>3.56</v>
      </c>
      <c r="J8" s="4">
        <v>0.85</v>
      </c>
      <c r="K8" s="4">
        <v>2.4</v>
      </c>
      <c r="L8" s="4">
        <v>12.25</v>
      </c>
      <c r="M8" s="4">
        <v>0.55000000000000004</v>
      </c>
      <c r="N8">
        <f t="shared" si="0"/>
        <v>99.75</v>
      </c>
    </row>
    <row r="9" spans="1:14" x14ac:dyDescent="0.2">
      <c r="A9" s="4" t="s">
        <v>324</v>
      </c>
      <c r="B9" s="4">
        <v>43.6</v>
      </c>
      <c r="C9" s="4">
        <v>3.57</v>
      </c>
      <c r="D9" s="4">
        <v>12.36</v>
      </c>
      <c r="E9" s="4">
        <v>14.58</v>
      </c>
      <c r="F9" s="4">
        <v>0.2</v>
      </c>
      <c r="G9" s="4">
        <v>10.07</v>
      </c>
      <c r="H9" s="4">
        <v>10.44</v>
      </c>
      <c r="I9" s="4">
        <v>3.4</v>
      </c>
      <c r="J9" s="4">
        <v>0.93</v>
      </c>
      <c r="K9" s="4">
        <v>2.4300000000000002</v>
      </c>
      <c r="L9" s="4">
        <v>12.4</v>
      </c>
      <c r="M9" s="4">
        <v>0.57999999999999996</v>
      </c>
      <c r="N9">
        <f t="shared" si="0"/>
        <v>99.730000000000018</v>
      </c>
    </row>
    <row r="10" spans="1:14" x14ac:dyDescent="0.2">
      <c r="A10" s="4" t="s">
        <v>325</v>
      </c>
      <c r="B10" s="4">
        <v>42.65</v>
      </c>
      <c r="C10" s="4">
        <v>3.68</v>
      </c>
      <c r="D10" s="4">
        <v>11.39</v>
      </c>
      <c r="E10" s="4">
        <v>14.47</v>
      </c>
      <c r="F10" s="4">
        <v>0.21</v>
      </c>
      <c r="G10" s="4">
        <v>11.86</v>
      </c>
      <c r="H10" s="4">
        <v>10.08</v>
      </c>
      <c r="I10" s="4">
        <v>3.65</v>
      </c>
      <c r="J10" s="4">
        <v>1.0900000000000001</v>
      </c>
      <c r="K10" s="4">
        <v>2.41</v>
      </c>
      <c r="L10" s="4">
        <v>12.3</v>
      </c>
      <c r="M10" s="4">
        <v>0.66</v>
      </c>
      <c r="N10">
        <f t="shared" si="0"/>
        <v>99.739999999999981</v>
      </c>
    </row>
    <row r="11" spans="1:14" x14ac:dyDescent="0.2">
      <c r="A11" s="4" t="s">
        <v>326</v>
      </c>
      <c r="B11" s="4">
        <v>42.97</v>
      </c>
      <c r="C11" s="4">
        <v>3.67</v>
      </c>
      <c r="D11" s="4">
        <v>11.61</v>
      </c>
      <c r="E11" s="4">
        <v>14.34</v>
      </c>
      <c r="F11" s="4">
        <v>0.2</v>
      </c>
      <c r="G11" s="4">
        <v>11.28</v>
      </c>
      <c r="H11" s="4">
        <v>10.01</v>
      </c>
      <c r="I11" s="4">
        <v>4.04</v>
      </c>
      <c r="J11" s="4">
        <v>1</v>
      </c>
      <c r="K11" s="4">
        <v>2.39</v>
      </c>
      <c r="L11" s="4">
        <v>12.18</v>
      </c>
      <c r="M11" s="4">
        <v>0.63</v>
      </c>
      <c r="N11">
        <f t="shared" si="0"/>
        <v>99.750000000000028</v>
      </c>
    </row>
    <row r="12" spans="1:14" x14ac:dyDescent="0.2">
      <c r="A12" s="4" t="s">
        <v>327</v>
      </c>
      <c r="B12" s="4">
        <v>43.03</v>
      </c>
      <c r="C12" s="4">
        <v>3.73</v>
      </c>
      <c r="D12" s="4">
        <v>11.17</v>
      </c>
      <c r="E12" s="4">
        <v>14.57</v>
      </c>
      <c r="F12" s="4">
        <v>0.21</v>
      </c>
      <c r="G12" s="4">
        <v>11.86</v>
      </c>
      <c r="H12" s="4">
        <v>10.07</v>
      </c>
      <c r="I12" s="4">
        <v>3.71</v>
      </c>
      <c r="J12" s="4">
        <v>0.84</v>
      </c>
      <c r="K12" s="4">
        <v>2.4300000000000002</v>
      </c>
      <c r="L12" s="4">
        <v>12.38</v>
      </c>
      <c r="M12" s="4">
        <v>0.56000000000000005</v>
      </c>
      <c r="N12">
        <f t="shared" si="0"/>
        <v>99.749999999999986</v>
      </c>
    </row>
    <row r="13" spans="1:14" x14ac:dyDescent="0.2">
      <c r="A13" s="4" t="s">
        <v>328</v>
      </c>
      <c r="B13" s="4">
        <v>42.86</v>
      </c>
      <c r="C13" s="4">
        <v>3.93</v>
      </c>
      <c r="D13" s="4">
        <v>10.78</v>
      </c>
      <c r="E13" s="4">
        <v>15.32</v>
      </c>
      <c r="F13" s="4">
        <v>0.21</v>
      </c>
      <c r="G13" s="4">
        <v>11.46</v>
      </c>
      <c r="H13" s="4">
        <v>10.51</v>
      </c>
      <c r="I13" s="4">
        <v>3.31</v>
      </c>
      <c r="J13" s="4">
        <v>0.72</v>
      </c>
      <c r="K13" s="4">
        <v>2.56</v>
      </c>
      <c r="L13" s="4">
        <v>13.02</v>
      </c>
      <c r="M13" s="4">
        <v>0.63</v>
      </c>
      <c r="N13">
        <f t="shared" si="0"/>
        <v>99.73</v>
      </c>
    </row>
    <row r="14" spans="1:14" x14ac:dyDescent="0.2">
      <c r="A14" s="46" t="s">
        <v>329</v>
      </c>
      <c r="B14" s="46">
        <v>48.3</v>
      </c>
      <c r="C14" s="46">
        <v>1.9</v>
      </c>
      <c r="D14" s="46">
        <v>16.29</v>
      </c>
      <c r="E14" s="46">
        <v>11.2</v>
      </c>
      <c r="F14" s="46">
        <v>0.17</v>
      </c>
      <c r="G14" s="46">
        <v>8.26</v>
      </c>
      <c r="H14" s="46">
        <v>9.64</v>
      </c>
      <c r="I14" s="46">
        <v>3.36</v>
      </c>
      <c r="J14" s="46">
        <v>0.55000000000000004</v>
      </c>
      <c r="K14" s="46">
        <v>1.87</v>
      </c>
      <c r="L14" s="46">
        <v>9.52</v>
      </c>
      <c r="M14" s="46">
        <v>0.14000000000000001</v>
      </c>
      <c r="N14">
        <f t="shared" si="0"/>
        <v>99.81</v>
      </c>
    </row>
    <row r="15" spans="1:14" x14ac:dyDescent="0.2">
      <c r="A15" s="4" t="s">
        <v>330</v>
      </c>
      <c r="B15" s="7">
        <f>B14/100/(B$4*B$2+15.999*B$3)*B$2*B$4*100</f>
        <v>22.577621330137802</v>
      </c>
      <c r="C15" s="7">
        <f>C14/100/(C$4*C$2+15.999*C$3)*C$2*C$4*100</f>
        <v>1.1387915059848752</v>
      </c>
      <c r="D15" s="7">
        <f>D14/100/(D$4*D$2+15.999*D$3)*D$2*D$4*100</f>
        <v>8.6216647541707125</v>
      </c>
      <c r="E15" s="7">
        <f>E14/100/(E$4*E$2+15.999*E$3)*E$2*E$4*100</f>
        <v>8.7058627025221309</v>
      </c>
      <c r="F15" s="7"/>
      <c r="G15" s="7">
        <f t="shared" ref="G15:L15" si="1">G14/100/(G$4*G$2+15.999*G$3)*G$2*G$4*100</f>
        <v>4.9811259428344581</v>
      </c>
      <c r="H15" s="7">
        <f>H14/100/(H$4*H$2+15.999*H$3)*H$2*H$4*100</f>
        <v>6.8896681348859596</v>
      </c>
      <c r="I15" s="7">
        <f t="shared" si="1"/>
        <v>2.4926636441375303</v>
      </c>
      <c r="J15" s="7">
        <f t="shared" si="1"/>
        <v>0.45658262115823561</v>
      </c>
      <c r="K15" s="7">
        <f t="shared" si="1"/>
        <v>1.3079355238685679</v>
      </c>
      <c r="L15" s="7">
        <f t="shared" si="1"/>
        <v>7.3999832971438115</v>
      </c>
    </row>
    <row r="17" spans="1:16" x14ac:dyDescent="0.2">
      <c r="A17" s="5"/>
      <c r="B17" s="80" t="s">
        <v>329</v>
      </c>
      <c r="C17" s="60" t="s">
        <v>331</v>
      </c>
      <c r="D17" s="60" t="s">
        <v>332</v>
      </c>
      <c r="G17" s="60" t="s">
        <v>331</v>
      </c>
      <c r="H17" s="60" t="s">
        <v>332</v>
      </c>
    </row>
    <row r="18" spans="1:16" x14ac:dyDescent="0.2">
      <c r="A18" s="48" t="s">
        <v>35</v>
      </c>
      <c r="B18" s="59" t="s">
        <v>44</v>
      </c>
      <c r="C18" s="7">
        <f>G15</f>
        <v>4.9811259428344581</v>
      </c>
      <c r="D18" s="7">
        <f>H39</f>
        <v>3.6604278940000001</v>
      </c>
      <c r="F18" t="s">
        <v>258</v>
      </c>
      <c r="G18" s="8">
        <f>G14</f>
        <v>8.26</v>
      </c>
      <c r="H18" s="8">
        <f>H32</f>
        <v>6.07</v>
      </c>
    </row>
    <row r="19" spans="1:16" x14ac:dyDescent="0.2">
      <c r="A19" s="48" t="s">
        <v>35</v>
      </c>
      <c r="B19" s="59" t="s">
        <v>46</v>
      </c>
      <c r="C19" s="7">
        <f>H15</f>
        <v>6.8896681348859596</v>
      </c>
      <c r="D19" s="7">
        <f>D39</f>
        <v>10.07713981</v>
      </c>
      <c r="F19" t="s">
        <v>255</v>
      </c>
      <c r="G19" s="8">
        <f>H14</f>
        <v>9.64</v>
      </c>
      <c r="H19" s="8">
        <f>D32</f>
        <v>14.1</v>
      </c>
    </row>
    <row r="20" spans="1:16" x14ac:dyDescent="0.2">
      <c r="A20" s="48" t="s">
        <v>35</v>
      </c>
      <c r="B20" s="59" t="s">
        <v>47</v>
      </c>
      <c r="C20" s="7">
        <f>B15</f>
        <v>22.577621330137802</v>
      </c>
      <c r="D20" s="7">
        <f>L39</f>
        <v>21.10389953</v>
      </c>
      <c r="F20" t="s">
        <v>14</v>
      </c>
      <c r="G20" s="8">
        <f>B14</f>
        <v>48.3</v>
      </c>
      <c r="H20" s="8">
        <f>L32</f>
        <v>45.1</v>
      </c>
    </row>
    <row r="21" spans="1:16" x14ac:dyDescent="0.2">
      <c r="A21" s="48" t="s">
        <v>35</v>
      </c>
      <c r="B21" s="59" t="s">
        <v>48</v>
      </c>
      <c r="C21" s="7">
        <f>D15</f>
        <v>8.6216647541707125</v>
      </c>
      <c r="D21" s="7">
        <f>B39</f>
        <v>8.6798077679999999</v>
      </c>
      <c r="F21" t="s">
        <v>253</v>
      </c>
      <c r="G21" s="8">
        <f>D14</f>
        <v>16.29</v>
      </c>
      <c r="H21" s="8">
        <f>B32</f>
        <v>16.399999999999999</v>
      </c>
    </row>
    <row r="22" spans="1:16" x14ac:dyDescent="0.2">
      <c r="A22" s="48" t="s">
        <v>35</v>
      </c>
      <c r="B22" s="59" t="s">
        <v>49</v>
      </c>
      <c r="C22" s="7">
        <f>E15</f>
        <v>8.7058627025221309</v>
      </c>
      <c r="D22" s="7">
        <f>E39</f>
        <v>5.9381225410000003</v>
      </c>
      <c r="F22" t="s">
        <v>338</v>
      </c>
      <c r="G22" s="8">
        <f>E14</f>
        <v>11.2</v>
      </c>
      <c r="H22" s="8">
        <f>F32</f>
        <v>7.6393316475481603</v>
      </c>
    </row>
    <row r="23" spans="1:16" x14ac:dyDescent="0.2">
      <c r="A23" s="48" t="s">
        <v>35</v>
      </c>
      <c r="B23" s="59" t="s">
        <v>50</v>
      </c>
      <c r="C23" s="7">
        <f>C15</f>
        <v>1.1387915059848752</v>
      </c>
      <c r="D23" s="7">
        <f>N39</f>
        <v>0.55738749899999995</v>
      </c>
      <c r="F23" t="s">
        <v>17</v>
      </c>
      <c r="G23" s="8">
        <f>C14</f>
        <v>1.9</v>
      </c>
      <c r="H23" s="8">
        <f>N32</f>
        <v>0.93</v>
      </c>
    </row>
    <row r="24" spans="1:16" x14ac:dyDescent="0.2">
      <c r="A24" s="48" t="s">
        <v>35</v>
      </c>
      <c r="B24" s="59" t="s">
        <v>43</v>
      </c>
      <c r="C24" s="7">
        <f>I15</f>
        <v>2.4926636441375303</v>
      </c>
      <c r="D24" s="7">
        <f>J39</f>
        <v>2.7077732910000001</v>
      </c>
      <c r="F24" t="s">
        <v>260</v>
      </c>
      <c r="G24" s="8">
        <f>I14</f>
        <v>3.36</v>
      </c>
      <c r="H24" s="8">
        <f>J32</f>
        <v>3.65</v>
      </c>
    </row>
    <row r="25" spans="1:16" x14ac:dyDescent="0.2">
      <c r="A25" s="48" t="s">
        <v>35</v>
      </c>
      <c r="B25" s="59" t="s">
        <v>45</v>
      </c>
      <c r="C25" s="7">
        <f>J15</f>
        <v>0.45658262115823561</v>
      </c>
      <c r="D25" s="7">
        <f>G39</f>
        <v>0.65578889600000001</v>
      </c>
      <c r="F25" t="s">
        <v>257</v>
      </c>
      <c r="G25" s="8">
        <f>J14</f>
        <v>0.55000000000000004</v>
      </c>
      <c r="H25" s="8">
        <f>G32</f>
        <v>0.79</v>
      </c>
    </row>
    <row r="27" spans="1:16" x14ac:dyDescent="0.2">
      <c r="B27" s="59" t="s">
        <v>54</v>
      </c>
      <c r="C27" s="7">
        <f>(C19/100/H4)/(C23/100/C4)</f>
        <v>7.2262248430963778</v>
      </c>
      <c r="D27" s="7">
        <f>(D19/100/I4)/(D23/100/D4)</f>
        <v>21.218526745560695</v>
      </c>
    </row>
    <row r="28" spans="1:16" x14ac:dyDescent="0.2">
      <c r="A28" s="4" t="s">
        <v>333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6" x14ac:dyDescent="0.2">
      <c r="A29" s="4"/>
      <c r="B29" s="4" t="s">
        <v>35</v>
      </c>
      <c r="C29" s="4" t="s">
        <v>35</v>
      </c>
      <c r="D29" s="4" t="s">
        <v>35</v>
      </c>
      <c r="E29" s="4" t="s">
        <v>35</v>
      </c>
      <c r="F29" s="4" t="s">
        <v>35</v>
      </c>
      <c r="G29" s="4" t="s">
        <v>35</v>
      </c>
      <c r="H29" s="4" t="s">
        <v>35</v>
      </c>
      <c r="I29" s="4" t="s">
        <v>35</v>
      </c>
      <c r="J29" s="4" t="s">
        <v>35</v>
      </c>
      <c r="K29" s="4" t="s">
        <v>35</v>
      </c>
      <c r="L29" s="4" t="s">
        <v>35</v>
      </c>
      <c r="M29" s="4" t="s">
        <v>35</v>
      </c>
      <c r="N29" s="4" t="s">
        <v>35</v>
      </c>
      <c r="O29" s="4" t="s">
        <v>35</v>
      </c>
    </row>
    <row r="30" spans="1:16" x14ac:dyDescent="0.2">
      <c r="A30" s="60" t="s">
        <v>93</v>
      </c>
      <c r="B30" s="60" t="s">
        <v>94</v>
      </c>
      <c r="C30" s="60" t="s">
        <v>95</v>
      </c>
      <c r="D30" s="60" t="s">
        <v>96</v>
      </c>
      <c r="E30" s="60" t="s">
        <v>97</v>
      </c>
      <c r="F30" s="60" t="s">
        <v>338</v>
      </c>
      <c r="G30" s="60" t="s">
        <v>98</v>
      </c>
      <c r="H30" s="60" t="s">
        <v>99</v>
      </c>
      <c r="I30" s="60" t="s">
        <v>100</v>
      </c>
      <c r="J30" s="60" t="s">
        <v>101</v>
      </c>
      <c r="K30" s="60" t="s">
        <v>102</v>
      </c>
      <c r="L30" s="60" t="s">
        <v>103</v>
      </c>
      <c r="M30" s="60" t="s">
        <v>104</v>
      </c>
      <c r="N30" s="60" t="s">
        <v>105</v>
      </c>
      <c r="O30" s="60" t="s">
        <v>107</v>
      </c>
      <c r="P30" s="4"/>
    </row>
    <row r="31" spans="1:16" x14ac:dyDescent="0.2">
      <c r="A31" s="4" t="s">
        <v>334</v>
      </c>
      <c r="B31" s="4">
        <v>17.2</v>
      </c>
      <c r="C31" s="4">
        <v>0.02</v>
      </c>
      <c r="D31" s="4">
        <v>11.7</v>
      </c>
      <c r="E31" s="4">
        <v>7.99</v>
      </c>
      <c r="F31" s="8">
        <f>E31/100/$E$35*2*$F$35*100</f>
        <v>7.1894299015205885</v>
      </c>
      <c r="G31" s="4">
        <v>0.76</v>
      </c>
      <c r="H31" s="4">
        <v>6.04</v>
      </c>
      <c r="I31" s="4">
        <v>0.11</v>
      </c>
      <c r="J31" s="4">
        <v>3.57</v>
      </c>
      <c r="K31" s="4">
        <v>0.28999999999999998</v>
      </c>
      <c r="L31" s="4">
        <v>47.7</v>
      </c>
      <c r="M31" s="4">
        <v>0.08</v>
      </c>
      <c r="N31" s="4">
        <v>1.01</v>
      </c>
      <c r="O31" s="4">
        <v>96.5</v>
      </c>
      <c r="P31" s="4"/>
    </row>
    <row r="32" spans="1:16" x14ac:dyDescent="0.2">
      <c r="A32" s="46" t="s">
        <v>335</v>
      </c>
      <c r="B32" s="46">
        <v>16.399999999999999</v>
      </c>
      <c r="C32" s="46">
        <v>0.04</v>
      </c>
      <c r="D32" s="46">
        <v>14.1</v>
      </c>
      <c r="E32" s="46">
        <v>8.49</v>
      </c>
      <c r="F32" s="43">
        <f>E32/100/$E$35*2*$F$35*100</f>
        <v>7.6393316475481603</v>
      </c>
      <c r="G32" s="46">
        <v>0.79</v>
      </c>
      <c r="H32" s="46">
        <v>6.07</v>
      </c>
      <c r="I32" s="46">
        <v>0.13</v>
      </c>
      <c r="J32" s="46">
        <v>3.65</v>
      </c>
      <c r="K32" s="46">
        <v>0.32</v>
      </c>
      <c r="L32" s="46">
        <v>45.1</v>
      </c>
      <c r="M32" s="46">
        <v>0.13</v>
      </c>
      <c r="N32" s="46">
        <v>0.93</v>
      </c>
      <c r="O32" s="46">
        <v>96.2</v>
      </c>
      <c r="P32" s="4"/>
    </row>
    <row r="33" spans="1:23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23" x14ac:dyDescent="0.2">
      <c r="A34" s="81" t="s">
        <v>340</v>
      </c>
      <c r="B34" s="4">
        <v>26.9815</v>
      </c>
      <c r="C34" s="4">
        <v>137.327</v>
      </c>
      <c r="D34" s="4">
        <v>40.078000000000003</v>
      </c>
      <c r="E34" s="4">
        <v>55.844999999999999</v>
      </c>
      <c r="F34" s="4">
        <v>55.844999999999999</v>
      </c>
      <c r="G34" s="4">
        <v>39.098300000000002</v>
      </c>
      <c r="H34" s="4">
        <v>24.305</v>
      </c>
      <c r="I34" s="4">
        <v>54.938000000000002</v>
      </c>
      <c r="J34" s="4">
        <v>22.989699999999999</v>
      </c>
      <c r="K34" s="4">
        <v>30.973700000000001</v>
      </c>
      <c r="L34" s="4">
        <v>28.0855</v>
      </c>
      <c r="M34" s="4">
        <v>87.62</v>
      </c>
      <c r="N34" s="4">
        <v>47.866999999999997</v>
      </c>
      <c r="O34" s="4"/>
      <c r="P34" s="4"/>
    </row>
    <row r="35" spans="1:23" x14ac:dyDescent="0.2">
      <c r="A35" s="81" t="s">
        <v>339</v>
      </c>
      <c r="B35" s="4">
        <v>101.96</v>
      </c>
      <c r="C35" s="4">
        <v>153.33000000000001</v>
      </c>
      <c r="D35" s="4">
        <v>56.077399999999997</v>
      </c>
      <c r="E35" s="4">
        <v>159.68819999999999</v>
      </c>
      <c r="F35" s="4">
        <f>55.845+15.999</f>
        <v>71.843999999999994</v>
      </c>
      <c r="G35" s="4">
        <v>94.2</v>
      </c>
      <c r="H35" s="4">
        <v>40.304400000000001</v>
      </c>
      <c r="I35" s="4">
        <v>70.937399999999997</v>
      </c>
      <c r="J35" s="4">
        <v>61.978900000000003</v>
      </c>
      <c r="K35" s="4">
        <v>283.88900000000001</v>
      </c>
      <c r="L35" s="4">
        <v>60.02</v>
      </c>
      <c r="M35" s="4">
        <v>103.62</v>
      </c>
      <c r="N35" s="4">
        <v>79.866</v>
      </c>
      <c r="O35" s="4"/>
      <c r="P35" s="4"/>
    </row>
    <row r="36" spans="1:23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23" x14ac:dyDescent="0.2">
      <c r="A37" s="81" t="s">
        <v>336</v>
      </c>
      <c r="B37" s="4">
        <v>86798.077680000002</v>
      </c>
      <c r="C37" s="4">
        <v>358.25213589999998</v>
      </c>
      <c r="D37" s="4">
        <v>100771.39810000001</v>
      </c>
      <c r="E37" s="4">
        <v>59381.225409999999</v>
      </c>
      <c r="F37" s="4"/>
      <c r="G37" s="4">
        <v>6557.8889600000002</v>
      </c>
      <c r="H37" s="4">
        <v>36604.278939999997</v>
      </c>
      <c r="I37" s="4">
        <v>1006.794723</v>
      </c>
      <c r="J37" s="4">
        <v>27077.732909999999</v>
      </c>
      <c r="K37" s="4">
        <v>698.27178930000002</v>
      </c>
      <c r="L37" s="4">
        <v>211038.99530000001</v>
      </c>
      <c r="M37" s="4">
        <v>1099.2665509999999</v>
      </c>
      <c r="N37" s="4">
        <v>5573.8749909999997</v>
      </c>
      <c r="O37" s="4">
        <v>536966.0575</v>
      </c>
      <c r="P37" s="4"/>
    </row>
    <row r="38" spans="1:23" x14ac:dyDescent="0.2">
      <c r="A38" s="8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23" x14ac:dyDescent="0.2">
      <c r="A39" s="81" t="s">
        <v>337</v>
      </c>
      <c r="B39" s="4">
        <v>8.6798077679999999</v>
      </c>
      <c r="C39" s="4">
        <v>3.5825214000000001E-2</v>
      </c>
      <c r="D39" s="4">
        <v>10.07713981</v>
      </c>
      <c r="E39" s="4">
        <v>5.9381225410000003</v>
      </c>
      <c r="F39" s="4"/>
      <c r="G39" s="4">
        <v>0.65578889600000001</v>
      </c>
      <c r="H39" s="4">
        <v>3.6604278940000001</v>
      </c>
      <c r="I39" s="4">
        <v>0.10067947200000001</v>
      </c>
      <c r="J39" s="4">
        <v>2.7077732910000001</v>
      </c>
      <c r="K39" s="4">
        <v>6.9827179000000003E-2</v>
      </c>
      <c r="L39" s="4">
        <v>21.10389953</v>
      </c>
      <c r="M39" s="4">
        <v>0.109926655</v>
      </c>
      <c r="N39" s="4">
        <v>0.55738749899999995</v>
      </c>
      <c r="O39" s="4"/>
      <c r="P39" s="4"/>
      <c r="V39" s="1" t="s">
        <v>463</v>
      </c>
      <c r="W39" t="s">
        <v>462</v>
      </c>
    </row>
    <row r="40" spans="1:23" x14ac:dyDescent="0.2">
      <c r="A40" s="8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23" x14ac:dyDescent="0.2">
      <c r="A41" s="4"/>
      <c r="B41" s="4"/>
      <c r="C41" s="194" t="s">
        <v>451</v>
      </c>
      <c r="D41" s="197">
        <v>2</v>
      </c>
      <c r="E41" s="197">
        <v>2</v>
      </c>
      <c r="F41" s="197">
        <v>3</v>
      </c>
      <c r="G41" s="197">
        <v>3</v>
      </c>
      <c r="H41" s="197">
        <v>1</v>
      </c>
      <c r="I41" s="197">
        <v>1</v>
      </c>
      <c r="J41" s="197">
        <v>1</v>
      </c>
      <c r="K41" s="197">
        <v>1</v>
      </c>
      <c r="L41" s="197">
        <v>1</v>
      </c>
      <c r="M41" s="197">
        <v>1</v>
      </c>
      <c r="N41" s="197"/>
      <c r="O41" s="197"/>
    </row>
    <row r="42" spans="1:23" x14ac:dyDescent="0.2">
      <c r="A42" s="4"/>
      <c r="B42" s="4"/>
      <c r="C42" s="194" t="s">
        <v>450</v>
      </c>
      <c r="D42" s="197">
        <v>1</v>
      </c>
      <c r="E42" s="197">
        <v>1</v>
      </c>
      <c r="F42" s="197">
        <v>2</v>
      </c>
      <c r="G42" s="197">
        <v>2</v>
      </c>
      <c r="H42" s="197">
        <v>1</v>
      </c>
      <c r="I42" s="197">
        <v>1</v>
      </c>
      <c r="J42" s="197">
        <v>1</v>
      </c>
      <c r="K42" s="197">
        <v>1</v>
      </c>
      <c r="L42" s="197">
        <v>2</v>
      </c>
      <c r="M42" s="197">
        <v>2</v>
      </c>
      <c r="N42" s="197"/>
      <c r="O42" s="197"/>
    </row>
    <row r="43" spans="1:23" x14ac:dyDescent="0.2">
      <c r="C43" s="194" t="s">
        <v>449</v>
      </c>
      <c r="D43" s="197">
        <v>28.085999999999999</v>
      </c>
      <c r="E43" s="197">
        <v>47.87</v>
      </c>
      <c r="F43" s="197">
        <v>26.981999999999999</v>
      </c>
      <c r="G43" s="197">
        <v>51.996000000000002</v>
      </c>
      <c r="H43" s="197">
        <v>55.844999999999999</v>
      </c>
      <c r="I43" s="197">
        <v>54.938000000000002</v>
      </c>
      <c r="J43" s="197">
        <v>24.305</v>
      </c>
      <c r="K43" s="197">
        <v>40.078000000000003</v>
      </c>
      <c r="L43" s="197">
        <v>22.99</v>
      </c>
      <c r="M43" s="197">
        <v>39.097999999999999</v>
      </c>
      <c r="N43" s="197"/>
      <c r="O43" s="197"/>
    </row>
    <row r="44" spans="1:23" x14ac:dyDescent="0.2">
      <c r="A44" s="194" t="s">
        <v>317</v>
      </c>
      <c r="B44" s="194" t="s">
        <v>442</v>
      </c>
      <c r="C44" s="194" t="s">
        <v>443</v>
      </c>
      <c r="D44" s="195" t="s">
        <v>14</v>
      </c>
      <c r="E44" s="195" t="s">
        <v>17</v>
      </c>
      <c r="F44" s="195" t="s">
        <v>253</v>
      </c>
      <c r="G44" s="195" t="s">
        <v>444</v>
      </c>
      <c r="H44" s="195" t="s">
        <v>320</v>
      </c>
      <c r="I44" s="195" t="s">
        <v>259</v>
      </c>
      <c r="J44" s="195" t="s">
        <v>258</v>
      </c>
      <c r="K44" s="195" t="s">
        <v>255</v>
      </c>
      <c r="L44" s="195" t="s">
        <v>260</v>
      </c>
      <c r="M44" s="195" t="s">
        <v>257</v>
      </c>
      <c r="N44" s="195" t="s">
        <v>445</v>
      </c>
      <c r="O44" s="195" t="s">
        <v>107</v>
      </c>
    </row>
    <row r="45" spans="1:23" x14ac:dyDescent="0.2">
      <c r="A45" s="190" t="s">
        <v>329</v>
      </c>
      <c r="B45" s="191" t="s">
        <v>448</v>
      </c>
      <c r="C45" s="191">
        <v>1</v>
      </c>
      <c r="D45" s="192">
        <v>47.616999999999997</v>
      </c>
      <c r="E45" s="192">
        <v>2.1270000000000002</v>
      </c>
      <c r="F45" s="192">
        <v>4.0060000000000002</v>
      </c>
      <c r="G45" s="192">
        <v>1.7666666666666667E-2</v>
      </c>
      <c r="H45" s="192">
        <v>8.6176666666666666</v>
      </c>
      <c r="I45" s="192">
        <v>0.153</v>
      </c>
      <c r="J45" s="192">
        <v>13.077</v>
      </c>
      <c r="K45" s="192">
        <v>21.711333333333332</v>
      </c>
      <c r="L45" s="192">
        <v>0.50700000000000001</v>
      </c>
      <c r="M45" s="192">
        <v>5.4999999999999997E-3</v>
      </c>
      <c r="N45" s="192" t="s">
        <v>447</v>
      </c>
      <c r="O45" s="192">
        <v>97.839166666666657</v>
      </c>
    </row>
    <row r="46" spans="1:23" x14ac:dyDescent="0.2">
      <c r="A46" s="190" t="s">
        <v>329</v>
      </c>
      <c r="B46" s="191" t="s">
        <v>448</v>
      </c>
      <c r="C46" s="191">
        <v>2</v>
      </c>
      <c r="D46" s="192">
        <v>50.06066666666667</v>
      </c>
      <c r="E46" s="192">
        <v>1.173</v>
      </c>
      <c r="F46" s="192">
        <v>2.1483333333333334</v>
      </c>
      <c r="G46" s="192">
        <v>3.6666666666666667E-2</v>
      </c>
      <c r="H46" s="192">
        <v>7.6970000000000001</v>
      </c>
      <c r="I46" s="192">
        <v>0.15666666666666665</v>
      </c>
      <c r="J46" s="192">
        <v>14.781666666666666</v>
      </c>
      <c r="K46" s="192">
        <v>21.556999999999999</v>
      </c>
      <c r="L46" s="192">
        <v>0.35933333333333328</v>
      </c>
      <c r="M46" s="192">
        <v>1.1999999999999999E-2</v>
      </c>
      <c r="N46" s="192" t="s">
        <v>447</v>
      </c>
      <c r="O46" s="192">
        <v>97.982333333333344</v>
      </c>
    </row>
    <row r="47" spans="1:23" x14ac:dyDescent="0.2">
      <c r="A47" s="190" t="s">
        <v>329</v>
      </c>
      <c r="B47" s="191" t="s">
        <v>448</v>
      </c>
      <c r="C47" s="191">
        <v>3</v>
      </c>
      <c r="D47" s="192">
        <v>46.694333333333333</v>
      </c>
      <c r="E47" s="192">
        <v>2.8800000000000003</v>
      </c>
      <c r="F47" s="192">
        <v>4.3620000000000001</v>
      </c>
      <c r="G47" s="192">
        <v>0.01</v>
      </c>
      <c r="H47" s="192">
        <v>9.2010000000000005</v>
      </c>
      <c r="I47" s="192">
        <v>0.16766666666666666</v>
      </c>
      <c r="J47" s="192">
        <v>12.420666666666667</v>
      </c>
      <c r="K47" s="192" t="s">
        <v>447</v>
      </c>
      <c r="L47" s="192">
        <v>0.61833333333333329</v>
      </c>
      <c r="M47" s="192">
        <v>0</v>
      </c>
      <c r="N47" s="192" t="s">
        <v>447</v>
      </c>
      <c r="O47" s="192">
        <v>76.354000000000013</v>
      </c>
    </row>
    <row r="48" spans="1:23" x14ac:dyDescent="0.2">
      <c r="A48" s="190" t="s">
        <v>329</v>
      </c>
      <c r="B48" s="191" t="s">
        <v>448</v>
      </c>
      <c r="C48" s="191">
        <v>4</v>
      </c>
      <c r="D48" s="192">
        <v>48.113</v>
      </c>
      <c r="E48" s="192">
        <v>1.7836666666666667</v>
      </c>
      <c r="F48" s="192">
        <v>4.2043333333333335</v>
      </c>
      <c r="G48" s="192">
        <v>0.18333333333333335</v>
      </c>
      <c r="H48" s="192">
        <v>7.5876666666666663</v>
      </c>
      <c r="I48" s="192">
        <v>0.14466666666666669</v>
      </c>
      <c r="J48" s="192">
        <v>13.68</v>
      </c>
      <c r="K48" s="192">
        <v>21.86</v>
      </c>
      <c r="L48" s="192">
        <v>0.44366666666666665</v>
      </c>
      <c r="M48" s="192">
        <v>4.6666666666666671E-3</v>
      </c>
      <c r="N48" s="192" t="s">
        <v>447</v>
      </c>
      <c r="O48" s="192">
        <v>98.004999999999995</v>
      </c>
    </row>
    <row r="49" spans="1:15" x14ac:dyDescent="0.2">
      <c r="A49" s="190" t="s">
        <v>329</v>
      </c>
      <c r="B49" s="191" t="s">
        <v>446</v>
      </c>
      <c r="C49" s="191">
        <v>1</v>
      </c>
      <c r="D49" s="192">
        <v>39.758999999999993</v>
      </c>
      <c r="E49" s="192">
        <v>5.0000000000000001E-3</v>
      </c>
      <c r="F49" s="192">
        <v>6.0666666666666667E-2</v>
      </c>
      <c r="G49" s="192">
        <v>2.3666666666666669E-2</v>
      </c>
      <c r="H49" s="192">
        <v>14.852333333333334</v>
      </c>
      <c r="I49" s="192">
        <v>0.16966666666666666</v>
      </c>
      <c r="J49" s="192">
        <v>44.25866666666667</v>
      </c>
      <c r="K49" s="192">
        <v>0.24166666666666667</v>
      </c>
      <c r="L49" s="192">
        <v>2.066666666666667E-2</v>
      </c>
      <c r="M49" s="192">
        <v>0</v>
      </c>
      <c r="N49" s="192">
        <v>0.29966666666666669</v>
      </c>
      <c r="O49" s="192">
        <v>99.690999999999988</v>
      </c>
    </row>
    <row r="50" spans="1:15" x14ac:dyDescent="0.2">
      <c r="A50" s="190" t="s">
        <v>329</v>
      </c>
      <c r="B50" s="191" t="s">
        <v>446</v>
      </c>
      <c r="C50" s="191">
        <v>2</v>
      </c>
      <c r="D50" s="192">
        <v>36.794333333333334</v>
      </c>
      <c r="E50" s="192">
        <v>1.9E-2</v>
      </c>
      <c r="F50" s="192">
        <v>2.633333333333333E-2</v>
      </c>
      <c r="G50" s="192">
        <v>4.6666666666666671E-3</v>
      </c>
      <c r="H50" s="192">
        <v>29.365666666666669</v>
      </c>
      <c r="I50" s="192">
        <v>0.41100000000000003</v>
      </c>
      <c r="J50" s="192">
        <v>32.195</v>
      </c>
      <c r="K50" s="192">
        <v>0.43966666666666665</v>
      </c>
      <c r="L50" s="192">
        <v>2.5333333333333333E-2</v>
      </c>
      <c r="M50" s="192">
        <v>6.0000000000000001E-3</v>
      </c>
      <c r="N50" s="192">
        <v>0.11366666666666665</v>
      </c>
      <c r="O50" s="192">
        <v>99.400666666666666</v>
      </c>
    </row>
    <row r="51" spans="1:15" x14ac:dyDescent="0.2">
      <c r="A51" s="190" t="s">
        <v>329</v>
      </c>
      <c r="B51" s="191" t="s">
        <v>446</v>
      </c>
      <c r="C51" s="191">
        <v>3</v>
      </c>
      <c r="D51" s="192">
        <v>39.785333333333334</v>
      </c>
      <c r="E51" s="192">
        <v>4.9999999999999992E-3</v>
      </c>
      <c r="F51" s="192">
        <v>5.8000000000000003E-2</v>
      </c>
      <c r="G51" s="192">
        <v>2.1333333333333333E-2</v>
      </c>
      <c r="H51" s="192">
        <v>14.78</v>
      </c>
      <c r="I51" s="192">
        <v>0.16933333333333334</v>
      </c>
      <c r="J51" s="192">
        <v>44.404666666666664</v>
      </c>
      <c r="K51" s="192">
        <v>0.25066666666666665</v>
      </c>
      <c r="L51" s="192">
        <v>1.0666666666666666E-2</v>
      </c>
      <c r="M51" s="192">
        <v>6.9999999999999993E-3</v>
      </c>
      <c r="N51" s="192">
        <v>0.29333333333333328</v>
      </c>
      <c r="O51" s="192">
        <v>99.785333333333341</v>
      </c>
    </row>
    <row r="52" spans="1:15" x14ac:dyDescent="0.2">
      <c r="A52" s="190" t="s">
        <v>329</v>
      </c>
      <c r="B52" s="191" t="s">
        <v>446</v>
      </c>
      <c r="C52" s="191">
        <v>5</v>
      </c>
      <c r="D52" s="192">
        <v>39.371000000000002</v>
      </c>
      <c r="E52" s="192">
        <v>4.333333333333334E-3</v>
      </c>
      <c r="F52" s="192">
        <v>5.3333333333333337E-2</v>
      </c>
      <c r="G52" s="192">
        <v>2.1333333333333333E-2</v>
      </c>
      <c r="H52" s="192">
        <v>16.740666666666666</v>
      </c>
      <c r="I52" s="192">
        <v>0.19600000000000004</v>
      </c>
      <c r="J52" s="192">
        <v>42.746333333333332</v>
      </c>
      <c r="K52" s="192">
        <v>0.24366666666666667</v>
      </c>
      <c r="L52" s="192">
        <v>1.2666666666666666E-2</v>
      </c>
      <c r="M52" s="192">
        <v>0.01</v>
      </c>
      <c r="N52" s="192">
        <v>0.24199999999999999</v>
      </c>
      <c r="O52" s="192">
        <v>99.64133333333335</v>
      </c>
    </row>
    <row r="53" spans="1:15" x14ac:dyDescent="0.2">
      <c r="A53" s="190" t="s">
        <v>329</v>
      </c>
      <c r="B53" s="191" t="s">
        <v>446</v>
      </c>
      <c r="C53" s="191">
        <v>6</v>
      </c>
      <c r="D53" s="192">
        <v>37.098999999999997</v>
      </c>
      <c r="E53" s="192">
        <v>1.9E-2</v>
      </c>
      <c r="F53" s="192">
        <v>4.6000000000000006E-2</v>
      </c>
      <c r="G53" s="192" t="s">
        <v>447</v>
      </c>
      <c r="H53" s="192">
        <v>27.907</v>
      </c>
      <c r="I53" s="192">
        <v>0.38866666666666666</v>
      </c>
      <c r="J53" s="192">
        <v>33.082333333333338</v>
      </c>
      <c r="K53" s="192">
        <v>0.41366666666666668</v>
      </c>
      <c r="L53" s="192">
        <v>1.7999999999999999E-2</v>
      </c>
      <c r="M53" s="192">
        <v>1.1333333333333334E-2</v>
      </c>
      <c r="N53" s="192">
        <v>9.9333333333333343E-2</v>
      </c>
      <c r="O53" s="192">
        <v>99.084333333333348</v>
      </c>
    </row>
    <row r="54" spans="1:15" x14ac:dyDescent="0.2">
      <c r="A54" s="190" t="s">
        <v>329</v>
      </c>
      <c r="B54" s="191" t="s">
        <v>446</v>
      </c>
      <c r="C54" s="191">
        <v>1</v>
      </c>
      <c r="D54" s="192">
        <v>39.198666666666668</v>
      </c>
      <c r="E54" s="192">
        <v>4.3333333333333331E-3</v>
      </c>
      <c r="F54" s="192">
        <v>5.8999999999999997E-2</v>
      </c>
      <c r="G54" s="192">
        <v>1.9666666666666669E-2</v>
      </c>
      <c r="H54" s="192">
        <v>15.187666666666667</v>
      </c>
      <c r="I54" s="192">
        <v>0.17733333333333334</v>
      </c>
      <c r="J54" s="192">
        <v>44.401666666666664</v>
      </c>
      <c r="K54" s="192">
        <v>0.22866666666666666</v>
      </c>
      <c r="L54" s="192">
        <v>1.2500000000000001E-2</v>
      </c>
      <c r="M54" s="192">
        <v>5.0000000000000001E-3</v>
      </c>
      <c r="N54" s="192" t="s">
        <v>447</v>
      </c>
      <c r="O54" s="192">
        <v>99.294499999999985</v>
      </c>
    </row>
    <row r="55" spans="1:15" x14ac:dyDescent="0.2">
      <c r="A55" s="190" t="s">
        <v>329</v>
      </c>
      <c r="B55" s="191" t="s">
        <v>446</v>
      </c>
      <c r="C55" s="191">
        <v>2</v>
      </c>
      <c r="D55" s="192">
        <v>36.567</v>
      </c>
      <c r="E55" s="192">
        <v>1.8666666666666665E-2</v>
      </c>
      <c r="F55" s="192">
        <v>2.8999999999999998E-2</v>
      </c>
      <c r="G55" s="192">
        <v>7.6666666666666662E-3</v>
      </c>
      <c r="H55" s="192">
        <v>28.616666666666664</v>
      </c>
      <c r="I55" s="192">
        <v>0.38433333333333336</v>
      </c>
      <c r="J55" s="192">
        <v>33.13133333333333</v>
      </c>
      <c r="K55" s="192">
        <v>0.45033333333333331</v>
      </c>
      <c r="L55" s="192">
        <v>4.6333333333333337E-2</v>
      </c>
      <c r="M55" s="192">
        <v>1.9E-2</v>
      </c>
      <c r="N55" s="192" t="s">
        <v>447</v>
      </c>
      <c r="O55" s="192">
        <v>99.27033333333334</v>
      </c>
    </row>
    <row r="56" spans="1:15" x14ac:dyDescent="0.2">
      <c r="A56" s="190" t="s">
        <v>329</v>
      </c>
      <c r="B56" s="191" t="s">
        <v>446</v>
      </c>
      <c r="C56" s="191">
        <v>3</v>
      </c>
      <c r="D56" s="192">
        <v>39.169333333333334</v>
      </c>
      <c r="E56" s="192">
        <v>1.2666666666666666E-2</v>
      </c>
      <c r="F56" s="192">
        <v>5.6333333333333339E-2</v>
      </c>
      <c r="G56" s="192">
        <v>1.9666666666666669E-2</v>
      </c>
      <c r="H56" s="192">
        <v>16.067666666666664</v>
      </c>
      <c r="I56" s="192">
        <v>0.19099999999999998</v>
      </c>
      <c r="J56" s="192">
        <v>43.800333333333334</v>
      </c>
      <c r="K56" s="192">
        <v>0.26066666666666666</v>
      </c>
      <c r="L56" s="192">
        <v>6.6666666666666671E-3</v>
      </c>
      <c r="M56" s="192">
        <v>1.1000000000000001E-2</v>
      </c>
      <c r="N56" s="192" t="s">
        <v>447</v>
      </c>
      <c r="O56" s="192">
        <v>99.595333333333329</v>
      </c>
    </row>
    <row r="57" spans="1:15" x14ac:dyDescent="0.2">
      <c r="A57" s="190" t="s">
        <v>329</v>
      </c>
      <c r="B57" s="191" t="s">
        <v>446</v>
      </c>
      <c r="C57" s="191">
        <v>4</v>
      </c>
      <c r="D57" s="192">
        <v>35.756</v>
      </c>
      <c r="E57" s="192">
        <v>0.04</v>
      </c>
      <c r="F57" s="192">
        <v>4.4000000000000004E-2</v>
      </c>
      <c r="G57" s="192">
        <v>6.000000000000001E-3</v>
      </c>
      <c r="H57" s="192">
        <v>33.175999999999995</v>
      </c>
      <c r="I57" s="192">
        <v>0.49300000000000005</v>
      </c>
      <c r="J57" s="192">
        <v>29.513666666666666</v>
      </c>
      <c r="K57" s="192">
        <v>0.48500000000000004</v>
      </c>
      <c r="L57" s="192">
        <v>3.3000000000000002E-2</v>
      </c>
      <c r="M57" s="192">
        <v>1.3333333333333333E-3</v>
      </c>
      <c r="N57" s="192" t="s">
        <v>447</v>
      </c>
      <c r="O57" s="192">
        <v>99.547999999999988</v>
      </c>
    </row>
    <row r="58" spans="1:15" x14ac:dyDescent="0.2">
      <c r="A58" s="190" t="s">
        <v>329</v>
      </c>
      <c r="B58" s="191" t="s">
        <v>446</v>
      </c>
      <c r="C58" s="191">
        <v>5</v>
      </c>
      <c r="D58" s="192">
        <v>36.86333333333333</v>
      </c>
      <c r="E58" s="192">
        <v>1.1000000000000001E-2</v>
      </c>
      <c r="F58" s="192">
        <v>2.4333333333333335E-2</v>
      </c>
      <c r="G58" s="192">
        <v>8.5000000000000006E-3</v>
      </c>
      <c r="H58" s="192">
        <v>27.088666666666665</v>
      </c>
      <c r="I58" s="192">
        <v>0.35700000000000004</v>
      </c>
      <c r="J58" s="192">
        <v>34.765999999999998</v>
      </c>
      <c r="K58" s="192">
        <v>0.35099999999999998</v>
      </c>
      <c r="L58" s="192">
        <v>1.35E-2</v>
      </c>
      <c r="M58" s="192">
        <v>1E-3</v>
      </c>
      <c r="N58" s="192" t="s">
        <v>447</v>
      </c>
      <c r="O58" s="192">
        <v>99.484333333333325</v>
      </c>
    </row>
    <row r="59" spans="1:15" x14ac:dyDescent="0.2">
      <c r="A59" s="190" t="s">
        <v>329</v>
      </c>
      <c r="B59" s="191" t="s">
        <v>446</v>
      </c>
      <c r="C59" s="191">
        <v>6</v>
      </c>
      <c r="D59" s="192">
        <v>36.757333333333335</v>
      </c>
      <c r="E59" s="192">
        <v>5.3333333333333332E-3</v>
      </c>
      <c r="F59" s="192">
        <v>2.0333333333333332E-2</v>
      </c>
      <c r="G59" s="192">
        <v>3.666666666666667E-3</v>
      </c>
      <c r="H59" s="192">
        <v>27.794</v>
      </c>
      <c r="I59" s="192">
        <v>0.37799999999999995</v>
      </c>
      <c r="J59" s="192">
        <v>33.742333333333335</v>
      </c>
      <c r="K59" s="192">
        <v>0.42366666666666664</v>
      </c>
      <c r="L59" s="192">
        <v>1.1333333333333334E-2</v>
      </c>
      <c r="M59" s="192">
        <v>2E-3</v>
      </c>
      <c r="N59" s="192" t="s">
        <v>447</v>
      </c>
      <c r="O59" s="192">
        <v>99.138000000000005</v>
      </c>
    </row>
    <row r="61" spans="1:15" x14ac:dyDescent="0.2">
      <c r="B61" s="193" t="s">
        <v>448</v>
      </c>
      <c r="C61" s="4" t="s">
        <v>459</v>
      </c>
      <c r="D61" s="8">
        <f>MEDIAN(D45:D48)</f>
        <v>47.864999999999995</v>
      </c>
      <c r="E61" s="8">
        <f t="shared" ref="E61:M61" si="2">MEDIAN(E45:E48)</f>
        <v>1.9553333333333334</v>
      </c>
      <c r="F61" s="8">
        <f t="shared" si="2"/>
        <v>4.1051666666666673</v>
      </c>
      <c r="G61" s="8">
        <f t="shared" si="2"/>
        <v>2.7166666666666665E-2</v>
      </c>
      <c r="H61" s="8">
        <f t="shared" si="2"/>
        <v>8.1573333333333338</v>
      </c>
      <c r="I61" s="8">
        <f t="shared" si="2"/>
        <v>0.15483333333333332</v>
      </c>
      <c r="J61" s="8">
        <f t="shared" si="2"/>
        <v>13.378499999999999</v>
      </c>
      <c r="K61" s="8">
        <f t="shared" si="2"/>
        <v>21.711333333333332</v>
      </c>
      <c r="L61" s="8">
        <f t="shared" si="2"/>
        <v>0.47533333333333333</v>
      </c>
      <c r="M61" s="8">
        <f t="shared" si="2"/>
        <v>5.0833333333333338E-3</v>
      </c>
      <c r="O61" s="220">
        <f t="shared" ref="O61:O66" si="3">SUM(D61:M61)</f>
        <v>97.83508333333333</v>
      </c>
    </row>
    <row r="62" spans="1:15" x14ac:dyDescent="0.2">
      <c r="B62" s="193" t="s">
        <v>487</v>
      </c>
      <c r="C62" s="4" t="s">
        <v>459</v>
      </c>
      <c r="D62" s="8">
        <f t="shared" ref="D62:J62" si="4">D47</f>
        <v>46.694333333333333</v>
      </c>
      <c r="E62" s="8">
        <f t="shared" si="4"/>
        <v>2.8800000000000003</v>
      </c>
      <c r="F62" s="8">
        <f t="shared" si="4"/>
        <v>4.3620000000000001</v>
      </c>
      <c r="G62" s="8">
        <f t="shared" si="4"/>
        <v>0.01</v>
      </c>
      <c r="H62" s="8">
        <f t="shared" si="4"/>
        <v>9.2010000000000005</v>
      </c>
      <c r="I62" s="8">
        <f t="shared" si="4"/>
        <v>0.16766666666666666</v>
      </c>
      <c r="J62" s="8">
        <f t="shared" si="4"/>
        <v>12.420666666666667</v>
      </c>
      <c r="K62" s="223">
        <v>21</v>
      </c>
      <c r="L62" s="8">
        <f>L47</f>
        <v>0.61833333333333329</v>
      </c>
      <c r="M62" s="8">
        <f>M47</f>
        <v>0</v>
      </c>
      <c r="O62" s="220">
        <f t="shared" si="3"/>
        <v>97.354000000000013</v>
      </c>
    </row>
    <row r="63" spans="1:15" x14ac:dyDescent="0.2">
      <c r="B63" s="222" t="s">
        <v>489</v>
      </c>
      <c r="C63" s="77" t="s">
        <v>459</v>
      </c>
      <c r="D63" s="221">
        <v>48</v>
      </c>
      <c r="E63" s="221">
        <v>2.4</v>
      </c>
      <c r="F63" s="221">
        <v>3</v>
      </c>
      <c r="G63" s="221">
        <v>0.2</v>
      </c>
      <c r="H63" s="221">
        <v>9</v>
      </c>
      <c r="I63" s="221">
        <v>0.2</v>
      </c>
      <c r="J63" s="221">
        <v>13</v>
      </c>
      <c r="K63" s="221">
        <v>18</v>
      </c>
      <c r="L63" s="221">
        <v>0.6</v>
      </c>
      <c r="M63" s="221">
        <v>5.0000000000000001E-3</v>
      </c>
      <c r="O63" s="220">
        <f t="shared" si="3"/>
        <v>94.405000000000001</v>
      </c>
    </row>
    <row r="64" spans="1:15" x14ac:dyDescent="0.2">
      <c r="B64" s="193" t="s">
        <v>446</v>
      </c>
      <c r="C64" s="4" t="s">
        <v>459</v>
      </c>
      <c r="D64" s="8">
        <f>MEDIAN(D49:D59)</f>
        <v>37.098999999999997</v>
      </c>
      <c r="E64" s="8">
        <f t="shared" ref="E64:M64" si="5">MEDIAN(E49:E59)</f>
        <v>1.1000000000000001E-2</v>
      </c>
      <c r="F64" s="8">
        <f t="shared" si="5"/>
        <v>4.6000000000000006E-2</v>
      </c>
      <c r="G64" s="8">
        <f t="shared" si="5"/>
        <v>1.4083333333333335E-2</v>
      </c>
      <c r="H64" s="8">
        <f t="shared" si="5"/>
        <v>27.088666666666665</v>
      </c>
      <c r="I64" s="8">
        <f t="shared" si="5"/>
        <v>0.35700000000000004</v>
      </c>
      <c r="J64" s="8">
        <f t="shared" si="5"/>
        <v>34.765999999999998</v>
      </c>
      <c r="K64" s="8">
        <f t="shared" si="5"/>
        <v>0.35099999999999998</v>
      </c>
      <c r="L64" s="8">
        <f t="shared" si="5"/>
        <v>1.35E-2</v>
      </c>
      <c r="M64" s="8">
        <f t="shared" si="5"/>
        <v>6.0000000000000001E-3</v>
      </c>
      <c r="O64" s="220">
        <f t="shared" si="3"/>
        <v>99.752249999999975</v>
      </c>
    </row>
    <row r="65" spans="1:15" x14ac:dyDescent="0.2">
      <c r="B65" s="193" t="s">
        <v>486</v>
      </c>
      <c r="C65" s="4" t="s">
        <v>459</v>
      </c>
      <c r="D65" s="8">
        <f t="shared" ref="D65:M65" si="6">D57</f>
        <v>35.756</v>
      </c>
      <c r="E65" s="8">
        <f t="shared" si="6"/>
        <v>0.04</v>
      </c>
      <c r="F65" s="8">
        <f t="shared" si="6"/>
        <v>4.4000000000000004E-2</v>
      </c>
      <c r="G65" s="8">
        <f t="shared" si="6"/>
        <v>6.000000000000001E-3</v>
      </c>
      <c r="H65" s="8">
        <f t="shared" si="6"/>
        <v>33.175999999999995</v>
      </c>
      <c r="I65" s="8">
        <f t="shared" si="6"/>
        <v>0.49300000000000005</v>
      </c>
      <c r="J65" s="8">
        <f t="shared" si="6"/>
        <v>29.513666666666666</v>
      </c>
      <c r="K65" s="8">
        <f t="shared" si="6"/>
        <v>0.48500000000000004</v>
      </c>
      <c r="L65" s="8">
        <f t="shared" si="6"/>
        <v>3.3000000000000002E-2</v>
      </c>
      <c r="M65" s="8">
        <f t="shared" si="6"/>
        <v>1.3333333333333333E-3</v>
      </c>
      <c r="O65" s="220">
        <f t="shared" si="3"/>
        <v>99.547999999999988</v>
      </c>
    </row>
    <row r="66" spans="1:15" x14ac:dyDescent="0.2">
      <c r="B66" s="222" t="s">
        <v>488</v>
      </c>
      <c r="C66" s="77" t="s">
        <v>459</v>
      </c>
      <c r="D66" s="221">
        <v>38</v>
      </c>
      <c r="E66" s="221">
        <v>0.01</v>
      </c>
      <c r="F66" s="221">
        <v>0.05</v>
      </c>
      <c r="G66" s="221">
        <v>0.01</v>
      </c>
      <c r="H66" s="221">
        <v>36</v>
      </c>
      <c r="I66" s="221">
        <v>0.4</v>
      </c>
      <c r="J66" s="221">
        <v>20</v>
      </c>
      <c r="K66" s="221">
        <v>0.4</v>
      </c>
      <c r="L66" s="221">
        <v>0.02</v>
      </c>
      <c r="M66" s="221">
        <v>0.01</v>
      </c>
      <c r="O66" s="220">
        <f t="shared" si="3"/>
        <v>94.9</v>
      </c>
    </row>
    <row r="67" spans="1:15" x14ac:dyDescent="0.2">
      <c r="B67" s="194" t="s">
        <v>442</v>
      </c>
      <c r="C67" s="197"/>
      <c r="D67" s="196" t="s">
        <v>66</v>
      </c>
      <c r="E67" s="196" t="s">
        <v>69</v>
      </c>
      <c r="F67" s="196" t="s">
        <v>67</v>
      </c>
      <c r="G67" s="196" t="s">
        <v>380</v>
      </c>
      <c r="H67" s="196" t="s">
        <v>68</v>
      </c>
      <c r="I67" s="196" t="s">
        <v>145</v>
      </c>
      <c r="J67" s="196" t="s">
        <v>63</v>
      </c>
      <c r="K67" s="196" t="s">
        <v>65</v>
      </c>
      <c r="L67" s="196" t="s">
        <v>62</v>
      </c>
      <c r="M67" s="196" t="s">
        <v>64</v>
      </c>
    </row>
    <row r="68" spans="1:15" x14ac:dyDescent="0.2">
      <c r="A68" s="2" t="s">
        <v>489</v>
      </c>
      <c r="B68" s="193" t="s">
        <v>448</v>
      </c>
      <c r="C68" s="4" t="s">
        <v>460</v>
      </c>
      <c r="D68" s="8">
        <f>(VLOOKUP($A$68,$B$61:$M$63,3,FALSE))/100/(D$43*D$42+D$41*15.999)*D$42*D$43*100</f>
        <v>22.437387657279803</v>
      </c>
      <c r="E68" s="8">
        <f>(VLOOKUP($A$68,$B$61:$M$63,4,FALSE))/100/(E$43*E$42+E$41*15.999)*E$42*E$43*100</f>
        <v>1.4384734812440525</v>
      </c>
      <c r="F68" s="8">
        <f>(VLOOKUP($A$68,$B$61:$M$63,5,FALSE))/100/(F$43*F$42+F$41*15.999)*F$42*F$43*100</f>
        <v>1.5877835643039986</v>
      </c>
      <c r="G68" s="8">
        <f>(VLOOKUP($A$68,$B$61:$M$63,6,FALSE))/100/(G$43*G$42+G$41*15.999)*G$42*G$43*100</f>
        <v>0.13684148194935161</v>
      </c>
      <c r="H68" s="8">
        <f>(VLOOKUP($A$68,$B$61:$M$63,7,FALSE))/100/(H$43*H$42+H$41*15.999)*H$42*H$43*100</f>
        <v>6.9957825288124278</v>
      </c>
      <c r="I68" s="8">
        <f>(VLOOKUP($A$68,$B$61:$M$63,8,FALSE))/100/(I$43*I$42+I$41*15.999)*I$42*I$43*100</f>
        <v>0.15489236928542227</v>
      </c>
      <c r="J68" s="8">
        <f>(VLOOKUP($A$68,$B$61:$M$63,9,FALSE))/100/(J$43*J$42+J$41*15.999)*J$42*J$43*100</f>
        <v>7.8395444620881296</v>
      </c>
      <c r="K68" s="8">
        <f>(VLOOKUP($A$68,$B$61:$M$63,10,FALSE))/100/(K$43*K$42+K$41*15.999)*K$42*K$43*100</f>
        <v>12.864525563065071</v>
      </c>
      <c r="L68" s="8">
        <f>(VLOOKUP($A$68,$B$61:$M$63,11,FALSE))/100/(L$43*L$42+L$41*15.999)*L$42*L$43*100</f>
        <v>0.44511850788170187</v>
      </c>
      <c r="M68" s="8">
        <f>(VLOOKUP($A$68,$B$61:$M$63,12,FALSE))/100/(M$43*M$42+M$41*15.999)*M$42*M$43*100</f>
        <v>4.1507511014385054E-3</v>
      </c>
    </row>
    <row r="69" spans="1:15" x14ac:dyDescent="0.2">
      <c r="A69" s="2" t="s">
        <v>488</v>
      </c>
      <c r="B69" s="193" t="s">
        <v>446</v>
      </c>
      <c r="C69" s="4" t="s">
        <v>460</v>
      </c>
      <c r="D69" s="8">
        <f>(VLOOKUP($A$69,$B$64:$M$66,3,FALSE))/100/(D$43*D$42+D$41*15.999)*D$42*D$43*100</f>
        <v>17.762931895346512</v>
      </c>
      <c r="E69" s="8">
        <f>(VLOOKUP($A$69,$B$64:$M$66,4,FALSE))/100/(E$43*E$42+E$41*15.999)*E$42*E$43*100</f>
        <v>5.9936395051835532E-3</v>
      </c>
      <c r="F69" s="8">
        <f>(VLOOKUP($A$69,$B$64:$M$66,5,FALSE))/100/(F$43*F$42+F$41*15.999)*F$42*F$43*100</f>
        <v>2.6463059405066644E-2</v>
      </c>
      <c r="G69" s="8">
        <f>(VLOOKUP($A$69,$B$64:$M$66,6,FALSE))/100/(G$43*G$42+G$41*15.999)*G$42*G$43*100</f>
        <v>6.8420740974675792E-3</v>
      </c>
      <c r="H69" s="8">
        <f>(VLOOKUP($A$69,$B$64:$M$66,7,FALSE))/100/(H$43*H$42+H$41*15.999)*H$42*H$43*100</f>
        <v>27.983130115249711</v>
      </c>
      <c r="I69" s="8">
        <f>(VLOOKUP($A$69,$B$64:$M$66,8,FALSE))/100/(I$43*I$42+I$41*15.999)*I$42*I$43*100</f>
        <v>0.30978473857084454</v>
      </c>
      <c r="J69" s="8">
        <f>(VLOOKUP($A$69,$B$64:$M$66,9,FALSE))/100/(J$43*J$42+J$41*15.999)*J$42*J$43*100</f>
        <v>12.060837633981739</v>
      </c>
      <c r="K69" s="8">
        <f>(VLOOKUP($A$69,$B$64:$M$66,10,FALSE))/100/(K$43*K$42+K$41*15.999)*K$42*K$43*100</f>
        <v>0.2858783458458905</v>
      </c>
      <c r="L69" s="8">
        <f>(VLOOKUP($A$69,$B$64:$M$66,11,FALSE))/100/(L$43*L$42+L$41*15.999)*L$42*L$43*100</f>
        <v>1.4837283596056728E-2</v>
      </c>
      <c r="M69" s="8">
        <f>(VLOOKUP($A$69,$B$64:$M$66,12,FALSE))/100/(M$43*M$42+M$41*15.999)*M$42*M$43*100</f>
        <v>8.3015022028770109E-3</v>
      </c>
    </row>
    <row r="70" spans="1:15" x14ac:dyDescent="0.2">
      <c r="D70" s="196" t="s">
        <v>66</v>
      </c>
      <c r="E70" s="196" t="s">
        <v>69</v>
      </c>
      <c r="F70" s="196" t="s">
        <v>67</v>
      </c>
      <c r="G70" s="196" t="s">
        <v>380</v>
      </c>
      <c r="H70" s="196" t="s">
        <v>68</v>
      </c>
      <c r="I70" s="196" t="s">
        <v>145</v>
      </c>
      <c r="J70" s="196" t="s">
        <v>63</v>
      </c>
      <c r="K70" s="196" t="s">
        <v>65</v>
      </c>
      <c r="L70" s="196" t="s">
        <v>62</v>
      </c>
      <c r="M70" s="196" t="s">
        <v>64</v>
      </c>
    </row>
    <row r="71" spans="1:15" x14ac:dyDescent="0.2">
      <c r="B71" s="193" t="s">
        <v>448</v>
      </c>
      <c r="C71" s="4" t="s">
        <v>453</v>
      </c>
      <c r="D71" s="4">
        <f>D68/100/D$43</f>
        <v>7.9888156580786886E-3</v>
      </c>
      <c r="E71" s="4">
        <f t="shared" ref="E71:M71" si="7">E68/100/E$43</f>
        <v>3.0049581809986472E-4</v>
      </c>
      <c r="F71" s="4">
        <f t="shared" si="7"/>
        <v>5.8846029364168656E-4</v>
      </c>
      <c r="G71" s="4">
        <f t="shared" si="7"/>
        <v>2.6317694043647896E-5</v>
      </c>
      <c r="H71" s="4">
        <f t="shared" si="7"/>
        <v>1.2527142141306165E-3</v>
      </c>
      <c r="I71" s="4">
        <f t="shared" si="7"/>
        <v>2.8194031323568801E-5</v>
      </c>
      <c r="J71" s="4">
        <f t="shared" si="7"/>
        <v>3.2254863040889242E-3</v>
      </c>
      <c r="K71" s="4">
        <f t="shared" si="7"/>
        <v>3.2098721400930859E-3</v>
      </c>
      <c r="L71" s="4">
        <f t="shared" si="7"/>
        <v>1.9361396602074897E-4</v>
      </c>
      <c r="M71" s="4">
        <f t="shared" si="7"/>
        <v>1.0616274749190511E-6</v>
      </c>
    </row>
    <row r="72" spans="1:15" x14ac:dyDescent="0.2">
      <c r="B72" s="193" t="s">
        <v>446</v>
      </c>
      <c r="C72" s="4" t="s">
        <v>453</v>
      </c>
      <c r="D72" s="4">
        <f>D69/100/D$43</f>
        <v>6.3244790626456292E-3</v>
      </c>
      <c r="E72" s="4">
        <f t="shared" ref="E72:M72" si="8">E69/100/E$43</f>
        <v>1.2520659087494368E-6</v>
      </c>
      <c r="F72" s="4">
        <f t="shared" si="8"/>
        <v>9.8076715606947757E-6</v>
      </c>
      <c r="G72" s="4">
        <f t="shared" si="8"/>
        <v>1.3158847021823947E-6</v>
      </c>
      <c r="H72" s="4">
        <f t="shared" si="8"/>
        <v>5.010856856522466E-3</v>
      </c>
      <c r="I72" s="4">
        <f t="shared" si="8"/>
        <v>5.6388062647137602E-5</v>
      </c>
      <c r="J72" s="4">
        <f t="shared" si="8"/>
        <v>4.9622866216752683E-3</v>
      </c>
      <c r="K72" s="4">
        <f t="shared" si="8"/>
        <v>7.1330492002068586E-5</v>
      </c>
      <c r="L72" s="4">
        <f t="shared" si="8"/>
        <v>6.4537988673582993E-6</v>
      </c>
      <c r="M72" s="4">
        <f t="shared" si="8"/>
        <v>2.1232549498381023E-6</v>
      </c>
    </row>
    <row r="73" spans="1:15" x14ac:dyDescent="0.2">
      <c r="D73" s="196" t="s">
        <v>66</v>
      </c>
      <c r="E73" s="196" t="s">
        <v>69</v>
      </c>
      <c r="F73" s="196" t="s">
        <v>67</v>
      </c>
      <c r="G73" s="196" t="s">
        <v>380</v>
      </c>
      <c r="H73" s="196" t="s">
        <v>68</v>
      </c>
      <c r="I73" s="196" t="s">
        <v>145</v>
      </c>
      <c r="J73" s="196" t="s">
        <v>63</v>
      </c>
      <c r="K73" s="196" t="s">
        <v>65</v>
      </c>
      <c r="L73" s="196" t="s">
        <v>62</v>
      </c>
      <c r="M73" s="196" t="s">
        <v>64</v>
      </c>
    </row>
    <row r="74" spans="1:15" x14ac:dyDescent="0.2">
      <c r="B74" s="193" t="s">
        <v>448</v>
      </c>
      <c r="C74" s="4" t="s">
        <v>452</v>
      </c>
      <c r="D74" s="7">
        <f>D71/$D71</f>
        <v>1</v>
      </c>
      <c r="E74" s="7">
        <f t="shared" ref="E74:M74" si="9">E71/$D71</f>
        <v>3.7614564030650575E-2</v>
      </c>
      <c r="F74" s="7">
        <f t="shared" si="9"/>
        <v>7.3660517256598126E-2</v>
      </c>
      <c r="G74" s="7">
        <f t="shared" si="9"/>
        <v>3.294317351913626E-3</v>
      </c>
      <c r="H74" s="7">
        <f t="shared" si="9"/>
        <v>0.15680850175379996</v>
      </c>
      <c r="I74" s="7">
        <f t="shared" si="9"/>
        <v>3.5291878709277254E-3</v>
      </c>
      <c r="J74" s="7">
        <f t="shared" si="9"/>
        <v>0.40375024811433113</v>
      </c>
      <c r="K74" s="7">
        <f t="shared" si="9"/>
        <v>0.40179574513615207</v>
      </c>
      <c r="L74" s="7">
        <f t="shared" si="9"/>
        <v>2.4235628196647256E-2</v>
      </c>
      <c r="M74" s="7">
        <f t="shared" si="9"/>
        <v>1.3288921917299225E-4</v>
      </c>
    </row>
    <row r="75" spans="1:15" x14ac:dyDescent="0.2">
      <c r="B75" s="193" t="s">
        <v>446</v>
      </c>
      <c r="C75" s="4" t="s">
        <v>452</v>
      </c>
      <c r="D75" s="7">
        <f>D72/$D72</f>
        <v>1</v>
      </c>
      <c r="E75" s="7">
        <f t="shared" ref="E75:M75" si="10">E72/$D72</f>
        <v>1.9797138963500307E-4</v>
      </c>
      <c r="F75" s="7">
        <f t="shared" si="10"/>
        <v>1.550747731717855E-3</v>
      </c>
      <c r="G75" s="7">
        <f t="shared" si="10"/>
        <v>2.0806214854191319E-4</v>
      </c>
      <c r="H75" s="7">
        <f t="shared" si="10"/>
        <v>0.79229558780867326</v>
      </c>
      <c r="I75" s="7">
        <f t="shared" si="10"/>
        <v>8.9158430423437254E-3</v>
      </c>
      <c r="J75" s="7">
        <f t="shared" si="10"/>
        <v>0.78461586678088646</v>
      </c>
      <c r="K75" s="7">
        <f t="shared" si="10"/>
        <v>1.1278477056453393E-2</v>
      </c>
      <c r="L75" s="7">
        <f t="shared" si="10"/>
        <v>1.0204475030167264E-3</v>
      </c>
      <c r="M75" s="7">
        <f t="shared" si="10"/>
        <v>3.357201326475593E-4</v>
      </c>
    </row>
    <row r="76" spans="1:15" x14ac:dyDescent="0.2">
      <c r="A76" s="4">
        <v>2</v>
      </c>
      <c r="D76" s="196" t="s">
        <v>66</v>
      </c>
      <c r="E76" s="196" t="s">
        <v>69</v>
      </c>
      <c r="F76" s="196" t="s">
        <v>67</v>
      </c>
      <c r="G76" s="196" t="s">
        <v>380</v>
      </c>
      <c r="H76" s="196" t="s">
        <v>68</v>
      </c>
      <c r="I76" s="196" t="s">
        <v>145</v>
      </c>
      <c r="J76" s="196" t="s">
        <v>63</v>
      </c>
      <c r="K76" s="196" t="s">
        <v>65</v>
      </c>
      <c r="L76" s="196" t="s">
        <v>62</v>
      </c>
      <c r="M76" s="196" t="s">
        <v>64</v>
      </c>
    </row>
    <row r="77" spans="1:15" x14ac:dyDescent="0.2">
      <c r="A77" t="s">
        <v>457</v>
      </c>
      <c r="B77" s="193" t="s">
        <v>448</v>
      </c>
      <c r="C77" s="4" t="s">
        <v>440</v>
      </c>
      <c r="D77" s="7">
        <f t="shared" ref="D77:M77" si="11">D74/($D$74+$F$74)*$A$76</f>
        <v>1.8627862046286021</v>
      </c>
      <c r="E77" s="7">
        <f t="shared" si="11"/>
        <v>7.0067890969415111E-2</v>
      </c>
      <c r="F77" s="7">
        <f t="shared" si="11"/>
        <v>0.13721379537139808</v>
      </c>
      <c r="G77" s="7">
        <f t="shared" si="11"/>
        <v>6.1366089168133301E-3</v>
      </c>
      <c r="H77" s="7">
        <f t="shared" si="11"/>
        <v>0.29210071383545849</v>
      </c>
      <c r="I77" s="7">
        <f t="shared" si="11"/>
        <v>6.5741224795067546E-3</v>
      </c>
      <c r="J77" s="7">
        <f t="shared" si="11"/>
        <v>0.75210039230275127</v>
      </c>
      <c r="K77" s="7">
        <f t="shared" si="11"/>
        <v>0.7484595711180938</v>
      </c>
      <c r="L77" s="7">
        <f t="shared" si="11"/>
        <v>4.5145793865222474E-2</v>
      </c>
      <c r="M77" s="7">
        <f t="shared" si="11"/>
        <v>2.4754420421931668E-4</v>
      </c>
      <c r="N77" t="s">
        <v>455</v>
      </c>
    </row>
    <row r="78" spans="1:15" x14ac:dyDescent="0.2">
      <c r="A78" t="s">
        <v>454</v>
      </c>
      <c r="B78" s="193" t="s">
        <v>446</v>
      </c>
      <c r="C78" s="4" t="s">
        <v>440</v>
      </c>
      <c r="D78" s="7">
        <f>D75</f>
        <v>1</v>
      </c>
      <c r="E78" s="7">
        <f t="shared" ref="E78:M78" si="12">E75</f>
        <v>1.9797138963500307E-4</v>
      </c>
      <c r="F78" s="7">
        <f t="shared" si="12"/>
        <v>1.550747731717855E-3</v>
      </c>
      <c r="G78" s="7">
        <f t="shared" si="12"/>
        <v>2.0806214854191319E-4</v>
      </c>
      <c r="H78" s="7">
        <f t="shared" si="12"/>
        <v>0.79229558780867326</v>
      </c>
      <c r="I78" s="7">
        <f t="shared" si="12"/>
        <v>8.9158430423437254E-3</v>
      </c>
      <c r="J78" s="7">
        <f t="shared" si="12"/>
        <v>0.78461586678088646</v>
      </c>
      <c r="K78" s="7">
        <f t="shared" si="12"/>
        <v>1.1278477056453393E-2</v>
      </c>
      <c r="L78" s="7">
        <f t="shared" si="12"/>
        <v>1.0204475030167264E-3</v>
      </c>
      <c r="M78" s="7">
        <f t="shared" si="12"/>
        <v>3.357201326475593E-4</v>
      </c>
      <c r="N78" t="s">
        <v>456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A4FCD-E389-8543-A4DF-30F412FA6BD3}">
  <dimension ref="A1:T43"/>
  <sheetViews>
    <sheetView workbookViewId="0">
      <selection activeCell="P44" sqref="P44"/>
    </sheetView>
  </sheetViews>
  <sheetFormatPr baseColWidth="10" defaultRowHeight="16" x14ac:dyDescent="0.2"/>
  <sheetData>
    <row r="1" spans="2:20" x14ac:dyDescent="0.2">
      <c r="T1" s="116"/>
    </row>
    <row r="2" spans="2:20" x14ac:dyDescent="0.2">
      <c r="B2" s="116"/>
    </row>
    <row r="18" spans="20:20" x14ac:dyDescent="0.2">
      <c r="T18" s="116"/>
    </row>
    <row r="35" spans="1:20" x14ac:dyDescent="0.2">
      <c r="T35" s="116"/>
    </row>
    <row r="43" spans="1:20" x14ac:dyDescent="0.2">
      <c r="A43" s="116"/>
      <c r="G43" s="116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6242fbb5-cf5e-41a1-ad37-9329bbfa2b88" xsi:nil="true"/>
    <TaxCatchAll xmlns="7d47079e-2beb-404c-a5a4-81794d8dbd97" xsi:nil="true"/>
    <lcf76f155ced4ddcb4097134ff3c332f xmlns="6242fbb5-cf5e-41a1-ad37-9329bbfa2b8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C9F5A369CF274F8505DDC9C2B54AA4" ma:contentTypeVersion="14" ma:contentTypeDescription="Create a new document." ma:contentTypeScope="" ma:versionID="e98af807d747028efebd35d9413a0b3e">
  <xsd:schema xmlns:xsd="http://www.w3.org/2001/XMLSchema" xmlns:xs="http://www.w3.org/2001/XMLSchema" xmlns:p="http://schemas.microsoft.com/office/2006/metadata/properties" xmlns:ns2="6242fbb5-cf5e-41a1-ad37-9329bbfa2b88" xmlns:ns3="7d47079e-2beb-404c-a5a4-81794d8dbd97" targetNamespace="http://schemas.microsoft.com/office/2006/metadata/properties" ma:root="true" ma:fieldsID="3bc644600ccd2981e192ca4d6139e3db" ns2:_="" ns3:_="">
    <xsd:import namespace="6242fbb5-cf5e-41a1-ad37-9329bbfa2b88"/>
    <xsd:import namespace="7d47079e-2beb-404c-a5a4-81794d8dbd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Statu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42fbb5-cf5e-41a1-ad37-9329bbfa2b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16" nillable="true" ma:displayName="Status" ma:format="Dropdown" ma:internalName="Status">
      <xsd:simpleType>
        <xsd:restriction base="dms:Choice">
          <xsd:enumeration value="Active"/>
          <xsd:enumeration value="Completed"/>
          <xsd:enumeration value="Dormant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47079e-2beb-404c-a5a4-81794d8dbd9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bb65a11a-5fa6-4434-b5eb-2552d389c3de}" ma:internalName="TaxCatchAll" ma:showField="CatchAllData" ma:web="7d47079e-2beb-404c-a5a4-81794d8dbd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7C391A-D443-4EBC-A441-86A7FFDEC8D8}">
  <ds:schemaRefs>
    <ds:schemaRef ds:uri="http://schemas.microsoft.com/office/2006/metadata/properties"/>
    <ds:schemaRef ds:uri="http://schemas.microsoft.com/office/infopath/2007/PartnerControls"/>
    <ds:schemaRef ds:uri="6242fbb5-cf5e-41a1-ad37-9329bbfa2b88"/>
    <ds:schemaRef ds:uri="7d47079e-2beb-404c-a5a4-81794d8dbd97"/>
  </ds:schemaRefs>
</ds:datastoreItem>
</file>

<file path=customXml/itemProps2.xml><?xml version="1.0" encoding="utf-8"?>
<ds:datastoreItem xmlns:ds="http://schemas.openxmlformats.org/officeDocument/2006/customXml" ds:itemID="{7B7BB093-3354-4F38-BDC5-0EB0498889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E85496-D9BB-4134-B4E2-D6F0E93326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42fbb5-cf5e-41a1-ad37-9329bbfa2b88"/>
    <ds:schemaRef ds:uri="7d47079e-2beb-404c-a5a4-81794d8dbd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two-endmember mixing</vt:lpstr>
      <vt:lpstr>plot selective diss</vt:lpstr>
      <vt:lpstr>Morgan-Pompa solid data</vt:lpstr>
      <vt:lpstr>Morgan-Pompa fluid data</vt:lpstr>
      <vt:lpstr>Effluent data</vt:lpstr>
      <vt:lpstr>LFGL soil data</vt:lpstr>
      <vt:lpstr>H9 basalt data</vt:lpstr>
      <vt:lpstr>XRD_data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Fantle, Matthew S</cp:lastModifiedBy>
  <cp:revision/>
  <dcterms:created xsi:type="dcterms:W3CDTF">2022-04-25T21:38:55Z</dcterms:created>
  <dcterms:modified xsi:type="dcterms:W3CDTF">2025-05-23T18:21:05Z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0x0101004BC9F5A369CF274F8505DDC9C2B54AA4</vt:lpwstr>
  </property>
  <property fmtid="{D5CDD505-2E9C-101B-9397-08002B2CF9AE}" pid="3" name="MediaServiceImageTags">
    <vt:lpwstr/>
  </property>
</Properties>
</file>