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Life Stuff\School\CSM\Classes\2019\Fall\"/>
    </mc:Choice>
  </mc:AlternateContent>
  <xr:revisionPtr revIDLastSave="0" documentId="13_ncr:1_{933B05B5-87C9-4D65-96CD-B9D607522A11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Base Case" sheetId="1" r:id="rId1"/>
    <sheet name="Equipment" sheetId="2" r:id="rId2"/>
    <sheet name="Costing" sheetId="3" r:id="rId3"/>
  </sheets>
  <definedNames>
    <definedName name="solver_adj" localSheetId="0">'Base Case'!$C$49</definedName>
    <definedName name="solver_lhs1" localSheetId="0">#REF!</definedName>
    <definedName name="solver_lhs2" localSheetId="0">#REF!</definedName>
    <definedName name="solver_opt" localSheetId="0">'Base Case'!$AE$33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i6TXvP+ihBEp2c1etHl3qQ1UylA=="/>
    </ext>
  </extLst>
</workbook>
</file>

<file path=xl/calcChain.xml><?xml version="1.0" encoding="utf-8"?>
<calcChain xmlns="http://schemas.openxmlformats.org/spreadsheetml/2006/main">
  <c r="F37" i="3" l="1"/>
  <c r="S24" i="3"/>
  <c r="C24" i="3"/>
  <c r="C23" i="3"/>
  <c r="C22" i="3"/>
  <c r="O21" i="3"/>
  <c r="G21" i="3"/>
  <c r="R19" i="3"/>
  <c r="R20" i="3" s="1"/>
  <c r="Q19" i="3"/>
  <c r="Q20" i="3" s="1"/>
  <c r="P19" i="3"/>
  <c r="S19" i="3" s="1"/>
  <c r="X19" i="3" s="1"/>
  <c r="R18" i="3"/>
  <c r="Q18" i="3"/>
  <c r="P18" i="3"/>
  <c r="S18" i="3" s="1"/>
  <c r="X18" i="3" s="1"/>
  <c r="G18" i="3"/>
  <c r="O18" i="3" s="1"/>
  <c r="R17" i="3"/>
  <c r="Q17" i="3"/>
  <c r="P17" i="3"/>
  <c r="S17" i="3" s="1"/>
  <c r="X17" i="3" s="1"/>
  <c r="O17" i="3"/>
  <c r="G17" i="3"/>
  <c r="G15" i="3"/>
  <c r="O15" i="3" s="1"/>
  <c r="R14" i="3"/>
  <c r="Q14" i="3"/>
  <c r="P14" i="3"/>
  <c r="S14" i="3" s="1"/>
  <c r="X14" i="3" s="1"/>
  <c r="O14" i="3"/>
  <c r="G14" i="3"/>
  <c r="R13" i="3"/>
  <c r="Q13" i="3"/>
  <c r="P13" i="3"/>
  <c r="G13" i="3"/>
  <c r="O13" i="3" s="1"/>
  <c r="G10" i="3"/>
  <c r="O10" i="3" s="1"/>
  <c r="R7" i="3"/>
  <c r="Q7" i="3"/>
  <c r="P7" i="3"/>
  <c r="S7" i="3" s="1"/>
  <c r="R6" i="3"/>
  <c r="Q6" i="3"/>
  <c r="S6" i="3" s="1"/>
  <c r="X6" i="3" s="1"/>
  <c r="P6" i="3"/>
  <c r="G6" i="3"/>
  <c r="O6" i="3" s="1"/>
  <c r="P5" i="3"/>
  <c r="G5" i="3"/>
  <c r="O5" i="3" s="1"/>
  <c r="Y5" i="3" s="1"/>
  <c r="Z5" i="3" s="1"/>
  <c r="R4" i="3"/>
  <c r="Q4" i="3"/>
  <c r="Q5" i="3" s="1"/>
  <c r="P4" i="3"/>
  <c r="O4" i="3"/>
  <c r="G4" i="3"/>
  <c r="I53" i="2"/>
  <c r="I54" i="2" s="1"/>
  <c r="I55" i="2" s="1"/>
  <c r="J50" i="2"/>
  <c r="E15" i="3" s="1"/>
  <c r="S15" i="3" s="1"/>
  <c r="J43" i="2"/>
  <c r="E11" i="3" s="1"/>
  <c r="S11" i="3" s="1"/>
  <c r="X11" i="3" s="1"/>
  <c r="J41" i="2"/>
  <c r="G11" i="3" s="1"/>
  <c r="O11" i="3" s="1"/>
  <c r="AA31" i="2"/>
  <c r="AA32" i="2" s="1"/>
  <c r="J30" i="2"/>
  <c r="J32" i="2" s="1"/>
  <c r="J33" i="2" s="1"/>
  <c r="F10" i="3" s="1"/>
  <c r="AA20" i="2"/>
  <c r="AA23" i="2" s="1"/>
  <c r="G22" i="3" s="1"/>
  <c r="O22" i="3" s="1"/>
  <c r="J19" i="2"/>
  <c r="J21" i="2" s="1"/>
  <c r="AA16" i="2"/>
  <c r="E21" i="3" s="1"/>
  <c r="S21" i="3" s="1"/>
  <c r="X21" i="3" s="1"/>
  <c r="Y21" i="3" s="1"/>
  <c r="Z21" i="3" s="1"/>
  <c r="AA9" i="2"/>
  <c r="G12" i="3" s="1"/>
  <c r="O12" i="3" s="1"/>
  <c r="J8" i="2"/>
  <c r="G8" i="3" s="1"/>
  <c r="O8" i="3" s="1"/>
  <c r="W6" i="2"/>
  <c r="G7" i="3" s="1"/>
  <c r="O7" i="3" s="1"/>
  <c r="D6" i="2"/>
  <c r="D8" i="2" s="1"/>
  <c r="C40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Y17" i="3" l="1"/>
  <c r="Z17" i="3" s="1"/>
  <c r="O13" i="2"/>
  <c r="G19" i="3" s="1"/>
  <c r="S13" i="3"/>
  <c r="X13" i="3" s="1"/>
  <c r="Y11" i="3"/>
  <c r="Z11" i="3" s="1"/>
  <c r="Y14" i="3"/>
  <c r="Z14" i="3" s="1"/>
  <c r="S4" i="3"/>
  <c r="X4" i="3" s="1"/>
  <c r="Y18" i="3"/>
  <c r="Z18" i="3" s="1"/>
  <c r="Y15" i="3"/>
  <c r="Z15" i="3" s="1"/>
  <c r="Y10" i="3"/>
  <c r="Z10" i="3" s="1"/>
  <c r="E23" i="3"/>
  <c r="S23" i="3" s="1"/>
  <c r="AA33" i="2"/>
  <c r="F23" i="3" s="1"/>
  <c r="J22" i="2"/>
  <c r="F9" i="3" s="1"/>
  <c r="E9" i="3"/>
  <c r="S9" i="3" s="1"/>
  <c r="X9" i="3" s="1"/>
  <c r="G20" i="3"/>
  <c r="O20" i="3" s="1"/>
  <c r="Y20" i="3" s="1"/>
  <c r="Z20" i="3" s="1"/>
  <c r="O19" i="3"/>
  <c r="Y19" i="3" s="1"/>
  <c r="Z19" i="3" s="1"/>
  <c r="D11" i="2"/>
  <c r="G24" i="3" s="1"/>
  <c r="O24" i="3" s="1"/>
  <c r="Y24" i="3" s="1"/>
  <c r="Z24" i="3" s="1"/>
  <c r="D9" i="2"/>
  <c r="G16" i="3" s="1"/>
  <c r="O16" i="3" s="1"/>
  <c r="E16" i="3"/>
  <c r="S16" i="3" s="1"/>
  <c r="X16" i="3" s="1"/>
  <c r="Y6" i="3"/>
  <c r="Z6" i="3" s="1"/>
  <c r="Y7" i="3"/>
  <c r="Z7" i="3" s="1"/>
  <c r="Y4" i="3"/>
  <c r="AA24" i="2"/>
  <c r="P20" i="3"/>
  <c r="S20" i="3" s="1"/>
  <c r="G23" i="3"/>
  <c r="O23" i="3" s="1"/>
  <c r="J10" i="2"/>
  <c r="AA17" i="2"/>
  <c r="F21" i="3" s="1"/>
  <c r="J44" i="2"/>
  <c r="F11" i="3" s="1"/>
  <c r="E10" i="3"/>
  <c r="S10" i="3" s="1"/>
  <c r="X10" i="3" s="1"/>
  <c r="O17" i="2"/>
  <c r="AA10" i="2"/>
  <c r="R5" i="3"/>
  <c r="S5" i="3" s="1"/>
  <c r="J51" i="2"/>
  <c r="F15" i="3" s="1"/>
  <c r="G9" i="3"/>
  <c r="O9" i="3" s="1"/>
  <c r="F16" i="3"/>
  <c r="Y9" i="3" l="1"/>
  <c r="Z9" i="3" s="1"/>
  <c r="Y13" i="3"/>
  <c r="Z13" i="3" s="1"/>
  <c r="Y23" i="3"/>
  <c r="Z23" i="3" s="1"/>
  <c r="J11" i="2"/>
  <c r="F8" i="3" s="1"/>
  <c r="E8" i="3"/>
  <c r="S8" i="3" s="1"/>
  <c r="Y16" i="3"/>
  <c r="Z16" i="3" s="1"/>
  <c r="O25" i="3"/>
  <c r="AA11" i="2"/>
  <c r="F12" i="3" s="1"/>
  <c r="E12" i="3"/>
  <c r="S12" i="3" s="1"/>
  <c r="X12" i="3" s="1"/>
  <c r="Y12" i="3" s="1"/>
  <c r="Z12" i="3" s="1"/>
  <c r="E22" i="3"/>
  <c r="S22" i="3" s="1"/>
  <c r="Y22" i="3" s="1"/>
  <c r="Z22" i="3" s="1"/>
  <c r="AA25" i="2"/>
  <c r="F22" i="3" s="1"/>
  <c r="Z4" i="3"/>
  <c r="X8" i="3" l="1"/>
  <c r="Y8" i="3"/>
  <c r="Z8" i="3" l="1"/>
  <c r="Z25" i="3" s="1"/>
  <c r="Y25" i="3"/>
</calcChain>
</file>

<file path=xl/sharedStrings.xml><?xml version="1.0" encoding="utf-8"?>
<sst xmlns="http://schemas.openxmlformats.org/spreadsheetml/2006/main" count="390" uniqueCount="250">
  <si>
    <t>Tower</t>
  </si>
  <si>
    <t>Dehydradtion Reactors</t>
  </si>
  <si>
    <t>Pumps</t>
  </si>
  <si>
    <t>Heat Exchangers</t>
  </si>
  <si>
    <t>Fired Heater</t>
  </si>
  <si>
    <t>Vessels</t>
  </si>
  <si>
    <t>Capital Cost</t>
  </si>
  <si>
    <t>Parameters</t>
  </si>
  <si>
    <t>T-101</t>
  </si>
  <si>
    <t>R-101</t>
  </si>
  <si>
    <t>P-101</t>
  </si>
  <si>
    <t>E-101</t>
  </si>
  <si>
    <t>H-101</t>
  </si>
  <si>
    <t>V-101</t>
  </si>
  <si>
    <t># of Trays</t>
  </si>
  <si>
    <t>ρ</t>
  </si>
  <si>
    <t>g/ml</t>
  </si>
  <si>
    <t>Fluid Power</t>
  </si>
  <si>
    <t>Stream Number</t>
  </si>
  <si>
    <t>Pressure Factor</t>
  </si>
  <si>
    <t>Material Factor</t>
  </si>
  <si>
    <t>kW</t>
  </si>
  <si>
    <t>A</t>
  </si>
  <si>
    <r>
      <t>m</t>
    </r>
    <r>
      <rPr>
        <vertAlign val="superscript"/>
        <sz val="11"/>
        <color theme="1"/>
        <rFont val="Arial"/>
        <family val="2"/>
      </rPr>
      <t>2</t>
    </r>
  </si>
  <si>
    <t>Heat Load</t>
  </si>
  <si>
    <t>Bare Module Cost</t>
  </si>
  <si>
    <t>MJ/h</t>
  </si>
  <si>
    <t>Equipment ID</t>
  </si>
  <si>
    <r>
      <t>m</t>
    </r>
    <r>
      <rPr>
        <vertAlign val="subscript"/>
        <sz val="11"/>
        <color theme="1"/>
        <rFont val="Arial"/>
        <family val="2"/>
      </rPr>
      <t>dot,liq</t>
    </r>
  </si>
  <si>
    <t>kg/min</t>
  </si>
  <si>
    <t>Height</t>
  </si>
  <si>
    <t>Number of Units</t>
  </si>
  <si>
    <t>m</t>
  </si>
  <si>
    <t>Temperature (°F)</t>
  </si>
  <si>
    <t>Type of Unit</t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</si>
  <si>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void</t>
    </r>
  </si>
  <si>
    <t>Diameter (m)</t>
  </si>
  <si>
    <t>η</t>
  </si>
  <si>
    <t>Q</t>
  </si>
  <si>
    <t>Length (m)</t>
  </si>
  <si>
    <t>Max Heat Load</t>
  </si>
  <si>
    <t>Capacity</t>
  </si>
  <si>
    <r>
      <t>t</t>
    </r>
    <r>
      <rPr>
        <vertAlign val="subscript"/>
        <sz val="11"/>
        <color theme="1"/>
        <rFont val="Arial"/>
        <family val="2"/>
      </rPr>
      <t>hold-up</t>
    </r>
  </si>
  <si>
    <t>min</t>
  </si>
  <si>
    <t>H/D</t>
  </si>
  <si>
    <t>W</t>
  </si>
  <si>
    <t>Capacity Units</t>
  </si>
  <si>
    <t>kg</t>
  </si>
  <si>
    <t>Pressure (Barg)</t>
  </si>
  <si>
    <t>Pump Power</t>
  </si>
  <si>
    <t>Material</t>
  </si>
  <si>
    <r>
      <t>P</t>
    </r>
    <r>
      <rPr>
        <vertAlign val="subscript"/>
        <sz val="11"/>
        <color theme="1"/>
        <rFont val="Arial"/>
        <family val="2"/>
      </rPr>
      <t>Max</t>
    </r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</si>
  <si>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Arial"/>
        <family val="2"/>
      </rPr>
      <t>Thermal</t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</si>
  <si>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Arial"/>
        <family val="2"/>
      </rPr>
      <t>liq</t>
    </r>
  </si>
  <si>
    <t>Max Stress (Bar)</t>
  </si>
  <si>
    <r>
      <t>kg/m</t>
    </r>
    <r>
      <rPr>
        <vertAlign val="superscript"/>
        <sz val="11"/>
        <color theme="1"/>
        <rFont val="Arial"/>
        <family val="2"/>
      </rPr>
      <t>3</t>
    </r>
  </si>
  <si>
    <t>K1</t>
  </si>
  <si>
    <t>Diameter</t>
  </si>
  <si>
    <t>Molecular Weights</t>
  </si>
  <si>
    <t>V</t>
  </si>
  <si>
    <t>K2</t>
  </si>
  <si>
    <t>Pressure (psia)</t>
  </si>
  <si>
    <t>K3</t>
  </si>
  <si>
    <t>Cp</t>
  </si>
  <si>
    <t>C1</t>
  </si>
  <si>
    <t>C2</t>
  </si>
  <si>
    <t>C3</t>
  </si>
  <si>
    <t>Fp</t>
  </si>
  <si>
    <t>Index</t>
  </si>
  <si>
    <t>Fm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</si>
  <si>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</si>
  <si>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P</t>
    </r>
    <r>
      <rPr>
        <vertAlign val="subscript"/>
        <sz val="11"/>
        <color theme="1"/>
        <rFont val="Arial"/>
        <family val="2"/>
      </rPr>
      <t>Max</t>
    </r>
  </si>
  <si>
    <t>L/D</t>
  </si>
  <si>
    <t>B1</t>
  </si>
  <si>
    <t>Volume</t>
  </si>
  <si>
    <t>B2</t>
  </si>
  <si>
    <r>
      <t>m</t>
    </r>
    <r>
      <rPr>
        <vertAlign val="superscript"/>
        <sz val="11"/>
        <color theme="1"/>
        <rFont val="Arial"/>
        <family val="2"/>
      </rPr>
      <t>3</t>
    </r>
  </si>
  <si>
    <t>P-102</t>
  </si>
  <si>
    <t>FBM</t>
  </si>
  <si>
    <t>Cost-2001</t>
  </si>
  <si>
    <t>Cost 2018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</si>
  <si>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</si>
  <si>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</t>
    </r>
  </si>
  <si>
    <t>Reflux Ratio</t>
  </si>
  <si>
    <t>kg/s</t>
  </si>
  <si>
    <t>E-102</t>
  </si>
  <si>
    <t>D</t>
  </si>
  <si>
    <t>Ethanol Feed Pump</t>
  </si>
  <si>
    <t>Vapor Fraction</t>
  </si>
  <si>
    <t>Tray Area</t>
  </si>
  <si>
    <t>Length</t>
  </si>
  <si>
    <t>g</t>
  </si>
  <si>
    <r>
      <t>m/s</t>
    </r>
    <r>
      <rPr>
        <vertAlign val="superscript"/>
        <sz val="11"/>
        <color theme="1"/>
        <rFont val="Arial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</si>
  <si>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2</t>
    </r>
  </si>
  <si>
    <t>L</t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</si>
  <si>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Arial"/>
        <family val="2"/>
      </rPr>
      <t>Tray</t>
    </r>
  </si>
  <si>
    <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</si>
  <si>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r>
      <t>P</t>
    </r>
    <r>
      <rPr>
        <vertAlign val="subscript"/>
        <sz val="11"/>
        <color theme="1"/>
        <rFont val="Arial"/>
        <family val="2"/>
      </rPr>
      <t>Max</t>
    </r>
  </si>
  <si>
    <t>CS</t>
  </si>
  <si>
    <t>V-102</t>
  </si>
  <si>
    <t>R-102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</si>
  <si>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</si>
  <si>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Mass Flow (lb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/hr)</t>
    </r>
  </si>
  <si>
    <t>E-103</t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</si>
  <si>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void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</si>
  <si>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</si>
  <si>
    <t>Mole flow (lbmol/hr)</t>
  </si>
  <si>
    <r>
      <t>m</t>
    </r>
    <r>
      <rPr>
        <vertAlign val="superscript"/>
        <sz val="11"/>
        <color theme="1"/>
        <rFont val="Arial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</si>
  <si>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</si>
  <si>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P</t>
    </r>
    <r>
      <rPr>
        <vertAlign val="subscript"/>
        <sz val="11"/>
        <color theme="1"/>
        <rFont val="Arial"/>
        <family val="2"/>
      </rPr>
      <t>Max</t>
    </r>
  </si>
  <si>
    <t>V-103</t>
  </si>
  <si>
    <r>
      <t>V</t>
    </r>
    <r>
      <rPr>
        <vertAlign val="subscript"/>
        <sz val="11"/>
        <color theme="1"/>
        <rFont val="Arial"/>
        <family val="2"/>
      </rPr>
      <t>total</t>
    </r>
  </si>
  <si>
    <r>
      <t>(C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</si>
  <si>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t>Component Flowrates (lbmol/hr)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</si>
  <si>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</si>
  <si>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O</t>
    </r>
  </si>
  <si>
    <t>Ethanol</t>
  </si>
  <si>
    <t>Feed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</si>
  <si>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</t>
    </r>
  </si>
  <si>
    <t>Pump Drive - Explosion Proof</t>
  </si>
  <si>
    <t># of Tanks</t>
  </si>
  <si>
    <t>E-104</t>
  </si>
  <si>
    <r>
      <t>m</t>
    </r>
    <r>
      <rPr>
        <vertAlign val="superscript"/>
        <sz val="11"/>
        <color theme="1"/>
        <rFont val="Arial"/>
        <family val="2"/>
      </rPr>
      <t>2</t>
    </r>
  </si>
  <si>
    <r>
      <t>H</t>
    </r>
    <r>
      <rPr>
        <vertAlign val="subscript"/>
        <sz val="11"/>
        <color theme="1"/>
        <rFont val="Calibri"/>
        <family val="2"/>
      </rPr>
      <t>2</t>
    </r>
  </si>
  <si>
    <t>Water</t>
  </si>
  <si>
    <t>Feed/Product</t>
  </si>
  <si>
    <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</si>
  <si>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</si>
  <si>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Cl</t>
    </r>
    <r>
      <rPr>
        <vertAlign val="subscript"/>
        <sz val="11"/>
        <color theme="1"/>
        <rFont val="Calibri"/>
        <family val="2"/>
      </rPr>
      <t>2</t>
    </r>
  </si>
  <si>
    <t>Ethylene</t>
  </si>
  <si>
    <t>Desired Intermediate Product</t>
  </si>
  <si>
    <t>Feed Preheater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</si>
  <si>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</si>
  <si>
    <r>
      <t>m</t>
    </r>
    <r>
      <rPr>
        <vertAlign val="superscript"/>
        <sz val="11"/>
        <color theme="1"/>
        <rFont val="Calibri"/>
        <family val="2"/>
      </rPr>
      <t>2</t>
    </r>
  </si>
  <si>
    <r>
      <t>P</t>
    </r>
    <r>
      <rPr>
        <vertAlign val="subscript"/>
        <sz val="11"/>
        <color theme="1"/>
        <rFont val="Arial"/>
        <family val="2"/>
      </rPr>
      <t>Max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</si>
  <si>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2</t>
    </r>
  </si>
  <si>
    <t>DEE</t>
  </si>
  <si>
    <t>Contaminant</t>
  </si>
  <si>
    <r>
      <t>(C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</si>
  <si>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t>R-103</t>
  </si>
  <si>
    <t>HCl</t>
  </si>
  <si>
    <t>Acetaldehyde</t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</si>
  <si>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void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</si>
  <si>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O</t>
    </r>
  </si>
  <si>
    <t>E-105</t>
  </si>
  <si>
    <r>
      <t>V</t>
    </r>
    <r>
      <rPr>
        <vertAlign val="subscript"/>
        <sz val="11"/>
        <color theme="1"/>
        <rFont val="Arial"/>
        <family val="2"/>
      </rPr>
      <t>total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</si>
  <si>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</si>
  <si>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t>Heater</t>
  </si>
  <si>
    <r>
      <t>m</t>
    </r>
    <r>
      <rPr>
        <vertAlign val="superscript"/>
        <sz val="11"/>
        <color theme="1"/>
        <rFont val="Arial"/>
        <family val="2"/>
      </rPr>
      <t>2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</si>
  <si>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3</t>
    </r>
  </si>
  <si>
    <t>Hydrogen Gas</t>
  </si>
  <si>
    <r>
      <t>H</t>
    </r>
    <r>
      <rPr>
        <vertAlign val="subscript"/>
        <sz val="11"/>
        <color theme="1"/>
        <rFont val="Calibri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</si>
  <si>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</si>
  <si>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3</t>
    </r>
  </si>
  <si>
    <r>
      <t>P</t>
    </r>
    <r>
      <rPr>
        <vertAlign val="subscript"/>
        <sz val="11"/>
        <color theme="1"/>
        <rFont val="Arial"/>
        <family val="2"/>
      </rPr>
      <t>Max</t>
    </r>
  </si>
  <si>
    <t>Chlorine Gas</t>
  </si>
  <si>
    <r>
      <t>Cl</t>
    </r>
    <r>
      <rPr>
        <vertAlign val="subscript"/>
        <sz val="11"/>
        <color theme="1"/>
        <rFont val="Calibri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</si>
  <si>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</si>
  <si>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t>1st Dehydration Reactor</t>
  </si>
  <si>
    <r>
      <t>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</si>
  <si>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t>1,2-DICHLOROETHANE (EDC)</t>
  </si>
  <si>
    <t>Desired Final product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</si>
  <si>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2</t>
    </r>
  </si>
  <si>
    <r>
      <t>m</t>
    </r>
    <r>
      <rPr>
        <vertAlign val="superscript"/>
        <sz val="11"/>
        <color theme="1"/>
        <rFont val="Calibri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</si>
  <si>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</si>
  <si>
    <t>HCL</t>
  </si>
  <si>
    <t>2nd Dehydration Reactor</t>
  </si>
  <si>
    <t>R-104</t>
  </si>
  <si>
    <r>
      <t>m</t>
    </r>
    <r>
      <rPr>
        <vertAlign val="superscript"/>
        <sz val="11"/>
        <color theme="1"/>
        <rFont val="Calibri"/>
        <family val="2"/>
      </rPr>
      <t>3</t>
    </r>
  </si>
  <si>
    <t>1,1,2-TRICHLOROETHANE (TCE)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</si>
  <si>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3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</si>
  <si>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void</t>
    </r>
  </si>
  <si>
    <t>3rd Dehydration Reactor</t>
  </si>
  <si>
    <t xml:space="preserve">Boiling Points  (°F) (@ 14.5 PSI) </t>
  </si>
  <si>
    <t>1,2-DICHLOROBUTANE (DCB)</t>
  </si>
  <si>
    <t>Byproduct</t>
  </si>
  <si>
    <r>
      <t>m</t>
    </r>
    <r>
      <rPr>
        <vertAlign val="superscript"/>
        <sz val="11"/>
        <color theme="1"/>
        <rFont val="Calibri"/>
        <family val="2"/>
      </rPr>
      <t>3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</si>
  <si>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</si>
  <si>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</t>
    </r>
  </si>
  <si>
    <t>DICHLOROETHYL-ETHER (DCEE)</t>
  </si>
  <si>
    <r>
      <t>C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</si>
  <si>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t>4th Dehydration Reactor</t>
  </si>
  <si>
    <r>
      <t>m</t>
    </r>
    <r>
      <rPr>
        <vertAlign val="superscript"/>
        <sz val="11"/>
        <color theme="1"/>
        <rFont val="Calibri"/>
        <family val="2"/>
      </rPr>
      <t>3</t>
    </r>
  </si>
  <si>
    <t>1-BUTENE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</si>
  <si>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</si>
  <si>
    <t>Ethylene Flash Drum</t>
  </si>
  <si>
    <t>R-105</t>
  </si>
  <si>
    <r>
      <t>m</t>
    </r>
    <r>
      <rPr>
        <vertAlign val="superscript"/>
        <sz val="11"/>
        <color theme="1"/>
        <rFont val="Calibri"/>
        <family val="2"/>
      </rPr>
      <t>3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</si>
  <si>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</si>
  <si>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t>Heat Integration #2</t>
  </si>
  <si>
    <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</si>
  <si>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r>
      <t>m</t>
    </r>
    <r>
      <rPr>
        <vertAlign val="superscript"/>
        <sz val="11"/>
        <color theme="1"/>
        <rFont val="Calibri"/>
        <family val="2"/>
      </rPr>
      <t>3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</si>
  <si>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</si>
  <si>
    <r>
      <t>(C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</si>
  <si>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O</t>
    </r>
  </si>
  <si>
    <r>
      <t>H</t>
    </r>
    <r>
      <rPr>
        <vertAlign val="subscript"/>
        <sz val="11"/>
        <color theme="1"/>
        <rFont val="Calibri"/>
        <family val="2"/>
      </rPr>
      <t>2</t>
    </r>
  </si>
  <si>
    <r>
      <t>Cl</t>
    </r>
    <r>
      <rPr>
        <vertAlign val="subscript"/>
        <sz val="11"/>
        <color theme="1"/>
        <rFont val="Calibri"/>
        <family val="2"/>
      </rPr>
      <t>2</t>
    </r>
  </si>
  <si>
    <t>Heat Integration #3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</si>
  <si>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2</t>
    </r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</si>
  <si>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3</t>
    </r>
  </si>
  <si>
    <r>
      <t>m</t>
    </r>
    <r>
      <rPr>
        <vertAlign val="superscript"/>
        <sz val="11"/>
        <color theme="1"/>
        <rFont val="Calibri"/>
        <family val="2"/>
      </rPr>
      <t>3</t>
    </r>
  </si>
  <si>
    <t xml:space="preserve"> </t>
  </si>
  <si>
    <t>W_tot</t>
  </si>
  <si>
    <t>lbm</t>
  </si>
  <si>
    <t>Direct Chlorination Reactor</t>
  </si>
  <si>
    <t>Weight % EtOH</t>
  </si>
  <si>
    <t>EtOH Mass Flow (tons/day)</t>
  </si>
  <si>
    <r>
      <t>m</t>
    </r>
    <r>
      <rPr>
        <vertAlign val="superscript"/>
        <sz val="11"/>
        <color theme="1"/>
        <rFont val="Calibri"/>
        <family val="2"/>
      </rPr>
      <t>3</t>
    </r>
  </si>
  <si>
    <t>SS</t>
  </si>
  <si>
    <r>
      <t>Total Reactor Feed (lb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>/day)</t>
    </r>
  </si>
  <si>
    <t>Distillation Tower</t>
  </si>
  <si>
    <r>
      <t>m</t>
    </r>
    <r>
      <rPr>
        <vertAlign val="superscript"/>
        <sz val="11"/>
        <color theme="1"/>
        <rFont val="Calibri"/>
        <family val="2"/>
      </rPr>
      <t>3</t>
    </r>
  </si>
  <si>
    <t>Reboiler</t>
  </si>
  <si>
    <r>
      <t>m</t>
    </r>
    <r>
      <rPr>
        <vertAlign val="superscript"/>
        <sz val="11"/>
        <color rgb="FF000000"/>
        <rFont val="Calibri"/>
        <family val="2"/>
      </rPr>
      <t>2</t>
    </r>
  </si>
  <si>
    <t>Condenser</t>
  </si>
  <si>
    <r>
      <t>m</t>
    </r>
    <r>
      <rPr>
        <vertAlign val="superscript"/>
        <sz val="11"/>
        <color rgb="FF000000"/>
        <rFont val="Calibri"/>
        <family val="2"/>
      </rPr>
      <t>2</t>
    </r>
  </si>
  <si>
    <t>Reflux Pump</t>
  </si>
  <si>
    <t>Reflux Drum</t>
  </si>
  <si>
    <r>
      <t>m</t>
    </r>
    <r>
      <rPr>
        <vertAlign val="superscript"/>
        <sz val="11"/>
        <color theme="1"/>
        <rFont val="Calibri"/>
        <family val="2"/>
      </rPr>
      <t>3</t>
    </r>
  </si>
  <si>
    <t>Ethanol Storage Tank</t>
  </si>
  <si>
    <r>
      <t>m</t>
    </r>
    <r>
      <rPr>
        <vertAlign val="superscript"/>
        <sz val="11"/>
        <color theme="1"/>
        <rFont val="Calibri"/>
        <family val="2"/>
      </rPr>
      <t>3</t>
    </r>
  </si>
  <si>
    <t>V-104</t>
  </si>
  <si>
    <t>EDC Storage Tank</t>
  </si>
  <si>
    <r>
      <t>m</t>
    </r>
    <r>
      <rPr>
        <vertAlign val="superscript"/>
        <sz val="11"/>
        <color theme="1"/>
        <rFont val="Calibri"/>
        <family val="2"/>
      </rPr>
      <t>3</t>
    </r>
  </si>
  <si>
    <t>T-101 Trays</t>
  </si>
  <si>
    <t>SS Sieve Trays</t>
  </si>
  <si>
    <r>
      <t>m</t>
    </r>
    <r>
      <rPr>
        <vertAlign val="superscript"/>
        <sz val="11"/>
        <color rgb="FF000000"/>
        <rFont val="Calibri"/>
        <family val="2"/>
      </rPr>
      <t>2</t>
    </r>
  </si>
  <si>
    <t>Total</t>
  </si>
  <si>
    <t>Version</t>
  </si>
  <si>
    <t>Contributors:</t>
  </si>
  <si>
    <t>Date</t>
  </si>
  <si>
    <t>Cost Index</t>
  </si>
  <si>
    <t>Patrick Sharp</t>
  </si>
  <si>
    <t>B</t>
  </si>
  <si>
    <t>`</t>
  </si>
  <si>
    <t>C</t>
  </si>
  <si>
    <t>Kelsey Hoon</t>
  </si>
  <si>
    <t>lb/hr</t>
  </si>
  <si>
    <t>Patrick Sharp and Dillon Baker</t>
  </si>
  <si>
    <t>Source</t>
  </si>
  <si>
    <t>Cost/hr</t>
  </si>
  <si>
    <t>Co2 Emmison</t>
  </si>
  <si>
    <t>E</t>
  </si>
  <si>
    <t>Electricity</t>
  </si>
  <si>
    <t>Furnace</t>
  </si>
  <si>
    <t>CW</t>
  </si>
  <si>
    <t>LPS</t>
  </si>
  <si>
    <t>Refrigerant</t>
  </si>
  <si>
    <t>Cost/year</t>
  </si>
  <si>
    <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Cl</t>
    </r>
    <r>
      <rPr>
        <vertAlign val="sub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</si>
</sst>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#,##0.0"/>
    <numFmt numFmtId="166" formatCode="0.000"/>
    <numFmt numFmtId="167" formatCode="0.00000"/>
    <numFmt numFmtId="168" formatCode="&quot;$&quot;#,##0"/>
    <numFmt numFmtId="169" formatCode="&quot;$&quot;#,##0.00"/>
    <numFmt numFmtId="170" formatCode="0.0000"/>
    <numFmt numFmtId="171" formatCode="#,##0.000"/>
    <numFmt numFmtId="172" formatCode="#,##0.000000000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12121"/>
      <name val="Calibri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" xfId="0" applyFont="1" applyBorder="1"/>
    <xf numFmtId="2" fontId="0" fillId="0" borderId="0" xfId="0" applyNumberFormat="1" applyAlignment="1">
      <alignment vertical="center"/>
    </xf>
    <xf numFmtId="0" fontId="1" fillId="0" borderId="8" xfId="0" applyFont="1" applyBorder="1" applyAlignment="1">
      <alignment horizont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13" xfId="0" applyFont="1" applyBorder="1"/>
    <xf numFmtId="0" fontId="1" fillId="3" borderId="14" xfId="0" applyFont="1" applyFill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/>
    <xf numFmtId="0" fontId="1" fillId="2" borderId="24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3" fillId="0" borderId="0" xfId="0" applyFont="1"/>
    <xf numFmtId="0" fontId="1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3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32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168" fontId="1" fillId="0" borderId="33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4" fillId="0" borderId="0" xfId="0" applyFont="1"/>
    <xf numFmtId="168" fontId="1" fillId="0" borderId="18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11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69" fontId="1" fillId="0" borderId="33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5" fillId="0" borderId="0" xfId="0" applyFont="1"/>
    <xf numFmtId="166" fontId="1" fillId="0" borderId="27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2" fontId="6" fillId="0" borderId="36" xfId="0" applyNumberFormat="1" applyFont="1" applyBorder="1" applyAlignment="1">
      <alignment horizontal="center"/>
    </xf>
    <xf numFmtId="2" fontId="3" fillId="0" borderId="33" xfId="0" applyNumberFormat="1" applyFont="1" applyBorder="1" applyAlignment="1">
      <alignment horizontal="center"/>
    </xf>
    <xf numFmtId="170" fontId="1" fillId="0" borderId="27" xfId="0" applyNumberFormat="1" applyFont="1" applyBorder="1" applyAlignment="1">
      <alignment horizontal="center"/>
    </xf>
    <xf numFmtId="0" fontId="1" fillId="0" borderId="27" xfId="0" applyFont="1" applyBorder="1"/>
    <xf numFmtId="11" fontId="1" fillId="0" borderId="27" xfId="0" applyNumberFormat="1" applyFont="1" applyBorder="1" applyAlignment="1">
      <alignment horizontal="center"/>
    </xf>
    <xf numFmtId="0" fontId="1" fillId="0" borderId="35" xfId="0" applyFont="1" applyBorder="1"/>
    <xf numFmtId="3" fontId="1" fillId="0" borderId="37" xfId="0" applyNumberFormat="1" applyFont="1" applyBorder="1" applyAlignment="1">
      <alignment horizontal="center"/>
    </xf>
    <xf numFmtId="4" fontId="1" fillId="0" borderId="37" xfId="0" applyNumberFormat="1" applyFont="1" applyBorder="1" applyAlignment="1">
      <alignment horizontal="center"/>
    </xf>
    <xf numFmtId="165" fontId="1" fillId="0" borderId="37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71" fontId="1" fillId="0" borderId="3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37" xfId="0" applyNumberFormat="1" applyFont="1" applyBorder="1" applyAlignment="1">
      <alignment horizontal="center"/>
    </xf>
    <xf numFmtId="2" fontId="1" fillId="0" borderId="36" xfId="0" applyNumberFormat="1" applyFont="1" applyBorder="1" applyAlignment="1">
      <alignment horizontal="center"/>
    </xf>
    <xf numFmtId="171" fontId="1" fillId="0" borderId="27" xfId="0" applyNumberFormat="1" applyFont="1" applyBorder="1" applyAlignment="1">
      <alignment horizontal="center"/>
    </xf>
    <xf numFmtId="0" fontId="1" fillId="0" borderId="36" xfId="0" applyFont="1" applyBorder="1"/>
    <xf numFmtId="3" fontId="1" fillId="0" borderId="0" xfId="0" applyNumberFormat="1" applyFont="1"/>
    <xf numFmtId="172" fontId="1" fillId="0" borderId="0" xfId="0" applyNumberFormat="1" applyFont="1"/>
    <xf numFmtId="3" fontId="1" fillId="0" borderId="27" xfId="0" applyNumberFormat="1" applyFont="1" applyBorder="1"/>
    <xf numFmtId="3" fontId="1" fillId="0" borderId="36" xfId="0" applyNumberFormat="1" applyFont="1" applyBorder="1"/>
    <xf numFmtId="169" fontId="1" fillId="0" borderId="27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" xfId="0" applyBorder="1"/>
    <xf numFmtId="0" fontId="0" fillId="0" borderId="38" xfId="0" applyBorder="1"/>
    <xf numFmtId="0" fontId="1" fillId="0" borderId="3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168" fontId="1" fillId="0" borderId="39" xfId="0" applyNumberFormat="1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8" fontId="1" fillId="0" borderId="38" xfId="0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168" fontId="1" fillId="2" borderId="41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20" xfId="0" applyFont="1" applyBorder="1" applyAlignment="1">
      <alignment horizontal="center"/>
    </xf>
    <xf numFmtId="0" fontId="2" fillId="0" borderId="2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419100</xdr:colOff>
      <xdr:row>9</xdr:row>
      <xdr:rowOff>0</xdr:rowOff>
    </xdr:from>
    <xdr:ext cx="161925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269730" y="3693887"/>
          <a:ext cx="152541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000"/>
  <sheetViews>
    <sheetView tabSelected="1" zoomScale="130" zoomScaleNormal="130" workbookViewId="0">
      <pane xSplit="7" topLeftCell="X1" activePane="topRight" state="frozen"/>
      <selection pane="topRight" activeCell="AC34" sqref="AC34"/>
    </sheetView>
  </sheetViews>
  <sheetFormatPr defaultColWidth="12.625" defaultRowHeight="15" customHeight="1" x14ac:dyDescent="0.2"/>
  <cols>
    <col min="1" max="1" width="7.625" customWidth="1"/>
    <col min="2" max="2" width="23" customWidth="1"/>
    <col min="3" max="3" width="10.125" customWidth="1"/>
    <col min="4" max="4" width="7.625" customWidth="1"/>
    <col min="5" max="5" width="26.5" customWidth="1"/>
    <col min="6" max="6" width="24.625" customWidth="1"/>
    <col min="7" max="7" width="28.625" customWidth="1"/>
    <col min="8" max="8" width="11.5" customWidth="1"/>
    <col min="9" max="9" width="14.375" customWidth="1"/>
    <col min="10" max="10" width="13.625" customWidth="1"/>
    <col min="11" max="11" width="15" customWidth="1"/>
    <col min="12" max="12" width="12.75" customWidth="1"/>
    <col min="13" max="13" width="15" customWidth="1"/>
    <col min="14" max="14" width="12.875" customWidth="1"/>
    <col min="15" max="15" width="15.5" customWidth="1"/>
    <col min="16" max="16" width="14.375" customWidth="1"/>
    <col min="17" max="17" width="13" customWidth="1"/>
    <col min="18" max="18" width="10.875" customWidth="1"/>
    <col min="19" max="19" width="12.5" customWidth="1"/>
    <col min="20" max="20" width="21.25" customWidth="1"/>
    <col min="21" max="21" width="23.5" customWidth="1"/>
    <col min="22" max="28" width="12.125" customWidth="1"/>
    <col min="29" max="29" width="11.5" customWidth="1"/>
    <col min="30" max="30" width="14.75" customWidth="1"/>
    <col min="31" max="31" width="12.875" customWidth="1"/>
    <col min="32" max="33" width="13.5" customWidth="1"/>
    <col min="34" max="34" width="12.125" customWidth="1"/>
    <col min="35" max="35" width="12.25" customWidth="1"/>
    <col min="36" max="36" width="9.125" customWidth="1"/>
    <col min="37" max="37" width="9.625" customWidth="1"/>
    <col min="38" max="39" width="7.625" customWidth="1"/>
    <col min="40" max="40" width="11.25" customWidth="1"/>
    <col min="41" max="41" width="13.125" customWidth="1"/>
    <col min="42" max="47" width="7.625" customWidth="1"/>
  </cols>
  <sheetData>
    <row r="1" spans="2:47" ht="14.25" x14ac:dyDescent="0.2"/>
    <row r="2" spans="2:47" ht="14.25" x14ac:dyDescent="0.2"/>
    <row r="3" spans="2:47" ht="14.25" x14ac:dyDescent="0.2"/>
    <row r="4" spans="2:47" ht="14.25" x14ac:dyDescent="0.2"/>
    <row r="5" spans="2:47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I5" s="126"/>
      <c r="AJ5" s="127"/>
      <c r="AK5" s="127"/>
    </row>
    <row r="6" spans="2:47" x14ac:dyDescent="0.25">
      <c r="E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K6" s="2"/>
      <c r="AL6" s="2"/>
      <c r="AM6" s="2"/>
      <c r="AN6" s="2"/>
      <c r="AO6" s="2"/>
    </row>
    <row r="7" spans="2:47" x14ac:dyDescent="0.25">
      <c r="B7" s="122" t="s">
        <v>7</v>
      </c>
      <c r="C7" s="123"/>
      <c r="E7" s="2"/>
      <c r="G7" s="7" t="s">
        <v>18</v>
      </c>
      <c r="H7" s="9">
        <v>1</v>
      </c>
      <c r="I7" s="9">
        <v>2</v>
      </c>
      <c r="J7" s="9">
        <v>3</v>
      </c>
      <c r="K7" s="9">
        <v>4</v>
      </c>
      <c r="L7" s="9">
        <v>5</v>
      </c>
      <c r="M7" s="9">
        <v>6</v>
      </c>
      <c r="N7" s="9">
        <v>7</v>
      </c>
      <c r="O7" s="9">
        <v>8</v>
      </c>
      <c r="P7" s="9">
        <v>9</v>
      </c>
      <c r="Q7" s="9">
        <v>10</v>
      </c>
      <c r="R7" s="9">
        <v>11</v>
      </c>
      <c r="S7" s="9">
        <v>12</v>
      </c>
      <c r="T7" s="9">
        <v>13</v>
      </c>
      <c r="U7" s="9">
        <v>14</v>
      </c>
      <c r="V7" s="9">
        <v>15</v>
      </c>
      <c r="W7" s="9">
        <v>16</v>
      </c>
      <c r="X7" s="9">
        <v>17</v>
      </c>
      <c r="Y7" s="9">
        <v>18</v>
      </c>
      <c r="Z7" s="9">
        <v>19</v>
      </c>
      <c r="AA7" s="9">
        <v>20</v>
      </c>
      <c r="AB7" s="9">
        <v>21</v>
      </c>
      <c r="AC7" s="9">
        <v>22</v>
      </c>
      <c r="AD7" s="12">
        <v>23</v>
      </c>
      <c r="AP7" s="14"/>
      <c r="AQ7" s="14"/>
      <c r="AR7" s="14"/>
      <c r="AS7" s="14"/>
      <c r="AT7" s="14"/>
      <c r="AU7" s="14"/>
    </row>
    <row r="8" spans="2:47" x14ac:dyDescent="0.25">
      <c r="G8" s="16" t="s">
        <v>33</v>
      </c>
      <c r="H8" s="18">
        <v>77.000000000000298</v>
      </c>
      <c r="I8" s="18">
        <v>77.247859122509396</v>
      </c>
      <c r="J8" s="18">
        <v>249.80963234965401</v>
      </c>
      <c r="K8" s="18">
        <v>752</v>
      </c>
      <c r="L8" s="18">
        <v>587.705924874679</v>
      </c>
      <c r="M8" s="18">
        <v>752</v>
      </c>
      <c r="N8" s="18">
        <v>597.89555327070798</v>
      </c>
      <c r="O8" s="18">
        <v>752</v>
      </c>
      <c r="P8" s="18">
        <v>630.15924957023299</v>
      </c>
      <c r="Q8" s="18">
        <v>752</v>
      </c>
      <c r="R8" s="18">
        <v>682.48699182125802</v>
      </c>
      <c r="S8" s="20">
        <v>267.80665610766403</v>
      </c>
      <c r="T8" s="20">
        <v>234.30978461517799</v>
      </c>
      <c r="U8" s="22">
        <v>95.180000000000305</v>
      </c>
      <c r="V8" s="22">
        <v>94.804835714026197</v>
      </c>
      <c r="W8" s="22">
        <v>94.804835714026197</v>
      </c>
      <c r="X8" s="20">
        <v>216.31383400320701</v>
      </c>
      <c r="Y8" s="23">
        <v>68.000000000000298</v>
      </c>
      <c r="Z8" s="22">
        <v>83.513503291634905</v>
      </c>
      <c r="AA8" s="20">
        <v>260.61371866232599</v>
      </c>
      <c r="AB8" s="23">
        <v>104</v>
      </c>
      <c r="AC8" s="20">
        <v>247.830703735745</v>
      </c>
      <c r="AD8" s="25">
        <v>104</v>
      </c>
      <c r="AP8" s="14"/>
      <c r="AQ8" s="14"/>
      <c r="AR8" s="14"/>
      <c r="AS8" s="14"/>
      <c r="AT8" s="14"/>
      <c r="AU8" s="14"/>
    </row>
    <row r="9" spans="2:47" x14ac:dyDescent="0.25">
      <c r="B9" s="124" t="s">
        <v>58</v>
      </c>
      <c r="C9" s="125"/>
      <c r="G9" s="28" t="s">
        <v>61</v>
      </c>
      <c r="H9" s="30">
        <v>14.6959487755135</v>
      </c>
      <c r="I9" s="30">
        <v>66.131769489810495</v>
      </c>
      <c r="J9" s="30">
        <v>64.681392112508405</v>
      </c>
      <c r="K9" s="30">
        <v>61.780637357904297</v>
      </c>
      <c r="L9" s="30">
        <v>60.3302599806022</v>
      </c>
      <c r="M9" s="30">
        <v>57.429505225998</v>
      </c>
      <c r="N9" s="30">
        <v>55.979127848695903</v>
      </c>
      <c r="O9" s="30">
        <v>53.078373094091702</v>
      </c>
      <c r="P9" s="30">
        <v>51.627995716789599</v>
      </c>
      <c r="Q9" s="30">
        <v>48.727240962185398</v>
      </c>
      <c r="R9" s="30">
        <v>47.276863584883301</v>
      </c>
      <c r="S9" s="32">
        <v>41.475354075675</v>
      </c>
      <c r="T9" s="32">
        <v>40.024976698372903</v>
      </c>
      <c r="U9" s="32">
        <v>40.024976698372903</v>
      </c>
      <c r="V9" s="32">
        <v>38.555381820821502</v>
      </c>
      <c r="W9" s="32">
        <v>38.555381820821502</v>
      </c>
      <c r="X9" s="32">
        <v>37.105004443519398</v>
      </c>
      <c r="Y9" s="32">
        <v>39.250984205465898</v>
      </c>
      <c r="Z9" s="32">
        <v>38.555381820821502</v>
      </c>
      <c r="AA9" s="32">
        <v>37.105004443519398</v>
      </c>
      <c r="AB9" s="32">
        <v>14.5037737730209</v>
      </c>
      <c r="AC9" s="32">
        <v>16.229722852010401</v>
      </c>
      <c r="AD9" s="35">
        <v>14.5037737730209</v>
      </c>
      <c r="AP9" s="14"/>
      <c r="AQ9" s="14"/>
      <c r="AR9" s="14"/>
      <c r="AS9" s="14"/>
      <c r="AT9" s="14"/>
      <c r="AU9" s="14"/>
    </row>
    <row r="10" spans="2:47" ht="18" x14ac:dyDescent="0.35">
      <c r="B10" s="38" t="s">
        <v>82</v>
      </c>
      <c r="C10" s="40">
        <v>46.067999999999998</v>
      </c>
      <c r="G10" s="28" t="s">
        <v>88</v>
      </c>
      <c r="H10" s="4">
        <v>0</v>
      </c>
      <c r="I10" s="4">
        <v>0</v>
      </c>
      <c r="J10" s="42">
        <v>0.189531929857402</v>
      </c>
      <c r="K10" s="42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2">
        <v>0.93993070950202995</v>
      </c>
      <c r="U10" s="42">
        <v>0.40221870911268898</v>
      </c>
      <c r="V10" s="4">
        <v>1</v>
      </c>
      <c r="W10" s="4">
        <v>0</v>
      </c>
      <c r="X10" s="44">
        <v>4.3830827358787303E-3</v>
      </c>
      <c r="Y10" s="4">
        <v>1</v>
      </c>
      <c r="Z10" s="4">
        <v>1</v>
      </c>
      <c r="AA10" s="4">
        <v>1</v>
      </c>
      <c r="AB10" s="4">
        <v>0</v>
      </c>
      <c r="AC10" s="4">
        <v>0</v>
      </c>
      <c r="AD10" s="46">
        <v>1</v>
      </c>
      <c r="AP10" s="14"/>
      <c r="AQ10" s="14"/>
      <c r="AR10" s="14"/>
      <c r="AS10" s="14"/>
      <c r="AT10" s="14"/>
      <c r="AU10" s="14"/>
    </row>
    <row r="11" spans="2:47" ht="18" x14ac:dyDescent="0.35">
      <c r="B11" s="49" t="s">
        <v>96</v>
      </c>
      <c r="C11" s="51">
        <v>18.015999999999998</v>
      </c>
      <c r="G11" s="28" t="s">
        <v>102</v>
      </c>
      <c r="H11" s="14">
        <v>83333.333333332805</v>
      </c>
      <c r="I11" s="14">
        <v>83333.333333332805</v>
      </c>
      <c r="J11" s="14">
        <v>83333.333333332805</v>
      </c>
      <c r="K11" s="14">
        <v>83333.333333332805</v>
      </c>
      <c r="L11" s="14">
        <v>83333.333333349496</v>
      </c>
      <c r="M11" s="14">
        <v>83333.333333349496</v>
      </c>
      <c r="N11" s="14">
        <v>83333.333333353396</v>
      </c>
      <c r="O11" s="14">
        <v>83333.333333353396</v>
      </c>
      <c r="P11" s="14">
        <v>83333.333333354196</v>
      </c>
      <c r="Q11" s="14">
        <v>83333.333333354196</v>
      </c>
      <c r="R11" s="14">
        <v>83333.333333349394</v>
      </c>
      <c r="S11" s="14">
        <v>83333.333333349394</v>
      </c>
      <c r="T11" s="14">
        <v>83333.333333349394</v>
      </c>
      <c r="U11" s="14">
        <v>83333.333333349394</v>
      </c>
      <c r="V11" s="14">
        <v>43700.823295834598</v>
      </c>
      <c r="W11" s="14">
        <v>39632.510548063598</v>
      </c>
      <c r="X11" s="14">
        <v>39632.510548063598</v>
      </c>
      <c r="Y11" s="14">
        <v>100489.899729672</v>
      </c>
      <c r="Z11" s="14">
        <v>144190.723025507</v>
      </c>
      <c r="AA11" s="14">
        <v>144190.723025507</v>
      </c>
      <c r="AB11" s="14">
        <v>113788.924815789</v>
      </c>
      <c r="AC11" s="14">
        <v>20213.536057774101</v>
      </c>
      <c r="AD11" s="54">
        <v>10188.262151933999</v>
      </c>
      <c r="AP11" s="14"/>
      <c r="AQ11" s="14"/>
      <c r="AR11" s="14"/>
      <c r="AS11" s="14"/>
      <c r="AT11" s="14"/>
      <c r="AU11" s="14"/>
    </row>
    <row r="12" spans="2:47" ht="18" x14ac:dyDescent="0.35">
      <c r="B12" s="49" t="s">
        <v>105</v>
      </c>
      <c r="C12" s="51">
        <v>28.052</v>
      </c>
      <c r="G12" s="28" t="s">
        <v>106</v>
      </c>
      <c r="H12" s="14">
        <f t="shared" ref="H12:AD12" si="0">SUM(H14:H26)</f>
        <v>2175.0663804004371</v>
      </c>
      <c r="I12" s="14">
        <f t="shared" si="0"/>
        <v>2175.0663804004371</v>
      </c>
      <c r="J12" s="14">
        <f t="shared" si="0"/>
        <v>2175.0663804004371</v>
      </c>
      <c r="K12" s="14">
        <f t="shared" si="0"/>
        <v>2175.0663804004371</v>
      </c>
      <c r="L12" s="14">
        <f t="shared" si="0"/>
        <v>2738.6710073994332</v>
      </c>
      <c r="M12" s="14">
        <f t="shared" si="0"/>
        <v>2738.6710073994332</v>
      </c>
      <c r="N12" s="14">
        <f t="shared" si="0"/>
        <v>3062.3100101776718</v>
      </c>
      <c r="O12" s="14">
        <f t="shared" si="0"/>
        <v>3062.3100101776718</v>
      </c>
      <c r="P12" s="14">
        <f t="shared" si="0"/>
        <v>3326.780077086547</v>
      </c>
      <c r="Q12" s="14">
        <f t="shared" si="0"/>
        <v>3326.780077086547</v>
      </c>
      <c r="R12" s="14">
        <f t="shared" si="0"/>
        <v>3518.9443554534437</v>
      </c>
      <c r="S12" s="14">
        <f t="shared" si="0"/>
        <v>3518.9443554534437</v>
      </c>
      <c r="T12" s="14">
        <f t="shared" si="0"/>
        <v>3518.9443554534437</v>
      </c>
      <c r="U12" s="14">
        <f t="shared" si="0"/>
        <v>3518.9443554534437</v>
      </c>
      <c r="V12" s="14">
        <f t="shared" si="0"/>
        <v>1416.6715058308457</v>
      </c>
      <c r="W12" s="14">
        <f t="shared" si="0"/>
        <v>2102.2728496225991</v>
      </c>
      <c r="X12" s="14">
        <f t="shared" si="0"/>
        <v>2102.2728496225991</v>
      </c>
      <c r="Y12" s="14">
        <f t="shared" si="0"/>
        <v>1410.7863817253401</v>
      </c>
      <c r="Z12" s="14">
        <f t="shared" si="0"/>
        <v>2827.4578875561856</v>
      </c>
      <c r="AA12" s="14">
        <f t="shared" si="0"/>
        <v>1524.0322061615893</v>
      </c>
      <c r="AB12" s="14">
        <f t="shared" si="0"/>
        <v>1195.5205658839732</v>
      </c>
      <c r="AC12" s="30">
        <f t="shared" si="0"/>
        <v>176.32166237974906</v>
      </c>
      <c r="AD12" s="56">
        <f t="shared" si="0"/>
        <v>152.18997789786422</v>
      </c>
      <c r="AP12" s="14"/>
      <c r="AQ12" s="14"/>
      <c r="AR12" s="14"/>
      <c r="AS12" s="14"/>
      <c r="AT12" s="14"/>
      <c r="AU12" s="14"/>
    </row>
    <row r="13" spans="2:47" ht="18" x14ac:dyDescent="0.35">
      <c r="B13" s="49" t="s">
        <v>112</v>
      </c>
      <c r="C13" s="51">
        <v>74.12</v>
      </c>
      <c r="G13" s="28" t="s">
        <v>113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46"/>
      <c r="AP13" s="14"/>
      <c r="AQ13" s="14"/>
      <c r="AR13" s="14"/>
      <c r="AS13" s="14"/>
      <c r="AT13" s="14"/>
      <c r="AU13" s="14"/>
    </row>
    <row r="14" spans="2:47" ht="18" x14ac:dyDescent="0.35">
      <c r="B14" s="49" t="s">
        <v>115</v>
      </c>
      <c r="C14" s="51">
        <v>44.052</v>
      </c>
      <c r="E14" s="2" t="s">
        <v>116</v>
      </c>
      <c r="F14" s="2" t="s">
        <v>117</v>
      </c>
      <c r="G14" s="28" t="s">
        <v>118</v>
      </c>
      <c r="H14" s="14">
        <v>1573.72500056436</v>
      </c>
      <c r="I14" s="14">
        <v>1573.72500056436</v>
      </c>
      <c r="J14" s="14">
        <v>1573.72500056436</v>
      </c>
      <c r="K14" s="14">
        <v>1573.72500056436</v>
      </c>
      <c r="L14" s="14">
        <v>185.31999380118199</v>
      </c>
      <c r="M14" s="14">
        <v>185.31999380118199</v>
      </c>
      <c r="N14" s="14">
        <v>116.638634993512</v>
      </c>
      <c r="O14" s="14">
        <v>116.638634993512</v>
      </c>
      <c r="P14" s="30">
        <v>83.176281912421402</v>
      </c>
      <c r="Q14" s="30">
        <v>83.176281912421402</v>
      </c>
      <c r="R14" s="30">
        <v>55.694896816366096</v>
      </c>
      <c r="S14" s="30">
        <v>55.694896816366096</v>
      </c>
      <c r="T14" s="30">
        <v>55.694896816366096</v>
      </c>
      <c r="U14" s="30">
        <v>55.694896816366096</v>
      </c>
      <c r="V14" s="62">
        <v>9.8103875928523596</v>
      </c>
      <c r="W14" s="30">
        <v>45.884509223513497</v>
      </c>
      <c r="X14" s="30">
        <v>45.884509223513497</v>
      </c>
      <c r="Y14" s="14">
        <v>0</v>
      </c>
      <c r="Z14" s="30">
        <v>9.8103875928523507</v>
      </c>
      <c r="AA14" s="30">
        <v>9.8103875928523596</v>
      </c>
      <c r="AB14" s="62">
        <v>8.6951638291500508</v>
      </c>
      <c r="AC14" s="64">
        <v>6.2376426604171802E-6</v>
      </c>
      <c r="AD14" s="51">
        <v>1.11521752606383</v>
      </c>
      <c r="AP14" s="14"/>
      <c r="AQ14" s="14"/>
      <c r="AR14" s="14"/>
      <c r="AS14" s="14"/>
      <c r="AT14" s="14"/>
      <c r="AU14" s="14"/>
    </row>
    <row r="15" spans="2:47" ht="18" x14ac:dyDescent="0.35">
      <c r="B15" s="49" t="s">
        <v>123</v>
      </c>
      <c r="C15" s="51">
        <v>2.016</v>
      </c>
      <c r="E15" s="2" t="s">
        <v>124</v>
      </c>
      <c r="F15" s="2" t="s">
        <v>125</v>
      </c>
      <c r="G15" s="28" t="s">
        <v>126</v>
      </c>
      <c r="H15" s="14">
        <v>601.34137983607695</v>
      </c>
      <c r="I15" s="14">
        <v>601.34137983607695</v>
      </c>
      <c r="J15" s="14">
        <v>601.34137983607695</v>
      </c>
      <c r="K15" s="14">
        <v>601.34137983607695</v>
      </c>
      <c r="L15" s="14">
        <v>1577.2174468160499</v>
      </c>
      <c r="M15" s="14">
        <v>1577.2174468160499</v>
      </c>
      <c r="N15" s="14">
        <v>1778.6862545187801</v>
      </c>
      <c r="O15" s="14">
        <v>1778.6862545187801</v>
      </c>
      <c r="P15" s="14">
        <v>1939.2074292101199</v>
      </c>
      <c r="Q15" s="14">
        <v>1939.2074292101199</v>
      </c>
      <c r="R15" s="14">
        <v>2078.59517348801</v>
      </c>
      <c r="S15" s="14">
        <v>2078.59517348801</v>
      </c>
      <c r="T15" s="14">
        <v>2078.59517348801</v>
      </c>
      <c r="U15" s="14">
        <v>2078.59517348801</v>
      </c>
      <c r="V15" s="30">
        <v>30.0819624228386</v>
      </c>
      <c r="W15" s="14">
        <v>2048.5132110651698</v>
      </c>
      <c r="X15" s="14">
        <v>2048.5132110651698</v>
      </c>
      <c r="Y15" s="14">
        <v>0</v>
      </c>
      <c r="Z15" s="30">
        <v>30.081962422838501</v>
      </c>
      <c r="AA15" s="30">
        <v>30.0819624228386</v>
      </c>
      <c r="AB15" s="30">
        <v>19.1814801788164</v>
      </c>
      <c r="AC15" s="64">
        <v>4.5117213684757802E-9</v>
      </c>
      <c r="AD15" s="35">
        <v>10.9004822395699</v>
      </c>
      <c r="AP15" s="14"/>
      <c r="AQ15" s="14"/>
      <c r="AR15" s="14"/>
      <c r="AS15" s="14"/>
      <c r="AT15" s="14"/>
      <c r="AU15" s="14"/>
    </row>
    <row r="16" spans="2:47" ht="18" x14ac:dyDescent="0.35">
      <c r="B16" s="49" t="s">
        <v>128</v>
      </c>
      <c r="C16" s="51">
        <v>70.900000000000006</v>
      </c>
      <c r="E16" s="2" t="s">
        <v>129</v>
      </c>
      <c r="F16" s="2" t="s">
        <v>130</v>
      </c>
      <c r="G16" s="28" t="s">
        <v>132</v>
      </c>
      <c r="H16" s="14">
        <v>0</v>
      </c>
      <c r="I16" s="14">
        <v>0</v>
      </c>
      <c r="J16" s="14">
        <v>0</v>
      </c>
      <c r="K16" s="14">
        <v>0</v>
      </c>
      <c r="L16" s="14">
        <v>557.93894414724002</v>
      </c>
      <c r="M16" s="14">
        <v>557.93894414724002</v>
      </c>
      <c r="N16" s="14">
        <v>869.80452894736197</v>
      </c>
      <c r="O16" s="14">
        <v>869.80452894736197</v>
      </c>
      <c r="P16" s="14">
        <v>1110.07294323621</v>
      </c>
      <c r="Q16" s="14">
        <v>1110.07294323621</v>
      </c>
      <c r="R16" s="14">
        <v>1241.40527490519</v>
      </c>
      <c r="S16" s="14">
        <v>1241.40527490519</v>
      </c>
      <c r="T16" s="14">
        <v>1241.40527490519</v>
      </c>
      <c r="U16" s="14">
        <v>1241.40527490519</v>
      </c>
      <c r="V16" s="14">
        <v>1236.12321003074</v>
      </c>
      <c r="W16" s="62">
        <v>5.2820648744527903</v>
      </c>
      <c r="X16" s="62">
        <v>5.2820648744527903</v>
      </c>
      <c r="Y16" s="14">
        <v>0</v>
      </c>
      <c r="Z16" s="14">
        <v>1236.12321003074</v>
      </c>
      <c r="AA16" s="30">
        <v>24.7224642006145</v>
      </c>
      <c r="AB16" s="62">
        <v>5.4398893380231899</v>
      </c>
      <c r="AC16" s="64">
        <v>4.8485892295939604E-9</v>
      </c>
      <c r="AD16" s="35">
        <v>19.282574857729902</v>
      </c>
      <c r="AP16" s="14"/>
      <c r="AQ16" s="14"/>
      <c r="AR16" s="14"/>
      <c r="AS16" s="14"/>
      <c r="AT16" s="14"/>
      <c r="AU16" s="14"/>
    </row>
    <row r="17" spans="2:47" ht="18" x14ac:dyDescent="0.35">
      <c r="B17" s="49" t="s">
        <v>135</v>
      </c>
      <c r="C17" s="51">
        <v>98.951999999999998</v>
      </c>
      <c r="E17" s="2" t="s">
        <v>136</v>
      </c>
      <c r="F17" s="2" t="s">
        <v>137</v>
      </c>
      <c r="G17" s="28" t="s">
        <v>138</v>
      </c>
      <c r="H17" s="14">
        <v>0</v>
      </c>
      <c r="I17" s="14">
        <v>0</v>
      </c>
      <c r="J17" s="14">
        <v>0</v>
      </c>
      <c r="K17" s="14">
        <v>0</v>
      </c>
      <c r="L17" s="14">
        <v>410.554545564872</v>
      </c>
      <c r="M17" s="14">
        <v>410.554545564872</v>
      </c>
      <c r="N17" s="14">
        <v>277.381708616845</v>
      </c>
      <c r="O17" s="14">
        <v>277.381708616845</v>
      </c>
      <c r="P17" s="14">
        <v>149.95897926410601</v>
      </c>
      <c r="Q17" s="14">
        <v>149.95897926410601</v>
      </c>
      <c r="R17" s="62">
        <v>37.485246213881801</v>
      </c>
      <c r="S17" s="30">
        <v>37.485246213881801</v>
      </c>
      <c r="T17" s="30">
        <v>37.485246213881801</v>
      </c>
      <c r="U17" s="30">
        <v>37.485246213881801</v>
      </c>
      <c r="V17" s="30">
        <v>36.068595215267699</v>
      </c>
      <c r="W17" s="62">
        <v>1.41665099861411</v>
      </c>
      <c r="X17" s="62">
        <v>1.41665099861411</v>
      </c>
      <c r="Y17" s="14">
        <v>0</v>
      </c>
      <c r="Z17" s="30">
        <v>36.068595215267798</v>
      </c>
      <c r="AA17" s="62">
        <v>1.80342976076339</v>
      </c>
      <c r="AB17" s="62">
        <v>1.19654916416436</v>
      </c>
      <c r="AC17" s="64">
        <v>2.1808347574423701E-7</v>
      </c>
      <c r="AD17" s="51">
        <v>0.60688037851390197</v>
      </c>
      <c r="AP17" s="14"/>
      <c r="AQ17" s="14"/>
      <c r="AR17" s="14"/>
      <c r="AS17" s="14"/>
      <c r="AT17" s="14"/>
      <c r="AU17" s="14"/>
    </row>
    <row r="18" spans="2:47" ht="18" x14ac:dyDescent="0.35">
      <c r="B18" s="49" t="s">
        <v>140</v>
      </c>
      <c r="C18" s="51">
        <v>23.033999999999999</v>
      </c>
      <c r="E18" s="2" t="s">
        <v>141</v>
      </c>
      <c r="F18" s="2" t="s">
        <v>137</v>
      </c>
      <c r="G18" s="28" t="s">
        <v>143</v>
      </c>
      <c r="H18" s="14">
        <v>0</v>
      </c>
      <c r="I18" s="14">
        <v>0</v>
      </c>
      <c r="J18" s="14">
        <v>0</v>
      </c>
      <c r="K18" s="14">
        <v>0</v>
      </c>
      <c r="L18" s="62">
        <v>1.9743942180784499</v>
      </c>
      <c r="M18" s="62">
        <v>1.9743942180784499</v>
      </c>
      <c r="N18" s="62">
        <v>2.3597822709652001</v>
      </c>
      <c r="O18" s="62">
        <v>2.3597822709652001</v>
      </c>
      <c r="P18" s="62">
        <v>2.7236900133944602</v>
      </c>
      <c r="Q18" s="62">
        <v>2.7236900133944602</v>
      </c>
      <c r="R18" s="62">
        <v>3.2910638817434901</v>
      </c>
      <c r="S18" s="62">
        <v>3.2910638817434901</v>
      </c>
      <c r="T18" s="62">
        <v>3.2910638817434901</v>
      </c>
      <c r="U18" s="62">
        <v>3.2910638817434901</v>
      </c>
      <c r="V18" s="62">
        <v>2.3447431370597198</v>
      </c>
      <c r="W18" s="62">
        <v>0.94632074468376504</v>
      </c>
      <c r="X18" s="62">
        <v>0.94632074468376504</v>
      </c>
      <c r="Y18" s="14">
        <v>0</v>
      </c>
      <c r="Z18" s="62">
        <v>2.3447431370597198</v>
      </c>
      <c r="AA18" s="62">
        <v>2.3447431370597198</v>
      </c>
      <c r="AB18" s="62">
        <v>1.8729875611121001</v>
      </c>
      <c r="AC18" s="64">
        <v>2.3242425678648199E-6</v>
      </c>
      <c r="AD18" s="70">
        <v>0.47175325170479099</v>
      </c>
      <c r="AP18" s="14"/>
      <c r="AQ18" s="14"/>
      <c r="AR18" s="14"/>
      <c r="AS18" s="14"/>
      <c r="AT18" s="14"/>
      <c r="AU18" s="14"/>
    </row>
    <row r="19" spans="2:47" ht="18" x14ac:dyDescent="0.35">
      <c r="B19" s="49" t="s">
        <v>149</v>
      </c>
      <c r="C19" s="51">
        <v>133.39400000000001</v>
      </c>
      <c r="E19" s="2" t="s">
        <v>150</v>
      </c>
      <c r="F19" s="2" t="s">
        <v>137</v>
      </c>
      <c r="G19" s="28" t="s">
        <v>151</v>
      </c>
      <c r="H19" s="14">
        <v>0</v>
      </c>
      <c r="I19" s="14">
        <v>0</v>
      </c>
      <c r="J19" s="14">
        <v>0</v>
      </c>
      <c r="K19" s="14">
        <v>0</v>
      </c>
      <c r="L19" s="62">
        <v>1.97439421807897</v>
      </c>
      <c r="M19" s="62">
        <v>1.97439421807897</v>
      </c>
      <c r="N19" s="62">
        <v>2.3597822709657299</v>
      </c>
      <c r="O19" s="62">
        <v>2.3597822709657299</v>
      </c>
      <c r="P19" s="62">
        <v>2.72369001339493</v>
      </c>
      <c r="Q19" s="62">
        <v>2.72369001339493</v>
      </c>
      <c r="R19" s="62">
        <v>3.2910638817439701</v>
      </c>
      <c r="S19" s="62">
        <v>3.2910638817439701</v>
      </c>
      <c r="T19" s="62">
        <v>3.2910638817439701</v>
      </c>
      <c r="U19" s="62">
        <v>3.2910638817439701</v>
      </c>
      <c r="V19" s="62">
        <v>3.2910638143776798</v>
      </c>
      <c r="W19" s="64">
        <v>6.7366289323151102E-8</v>
      </c>
      <c r="X19" s="64">
        <v>6.7366289323151102E-8</v>
      </c>
      <c r="Y19" s="14">
        <v>0</v>
      </c>
      <c r="Z19" s="62">
        <v>3.2910638143776798</v>
      </c>
      <c r="AA19" s="62">
        <v>3.29106381437769</v>
      </c>
      <c r="AB19" s="64">
        <v>2.7491217873777801E-7</v>
      </c>
      <c r="AC19" s="64">
        <v>1.36164444211853E-18</v>
      </c>
      <c r="AD19" s="51">
        <v>3.29106353946205</v>
      </c>
      <c r="AP19" s="14"/>
      <c r="AQ19" s="14"/>
      <c r="AR19" s="14"/>
      <c r="AS19" s="14"/>
      <c r="AT19" s="14"/>
      <c r="AU19" s="14"/>
    </row>
    <row r="20" spans="2:47" ht="18" x14ac:dyDescent="0.35">
      <c r="B20" s="49" t="s">
        <v>153</v>
      </c>
      <c r="C20" s="72">
        <v>127.01</v>
      </c>
      <c r="E20" s="2" t="s">
        <v>155</v>
      </c>
      <c r="F20" s="2" t="s">
        <v>117</v>
      </c>
      <c r="G20" s="28" t="s">
        <v>156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1410.7863817253401</v>
      </c>
      <c r="Z20" s="14">
        <v>1410.7863817253401</v>
      </c>
      <c r="AA20" s="62">
        <v>14.107905221121101</v>
      </c>
      <c r="AB20" s="62">
        <v>7.1015179127598396</v>
      </c>
      <c r="AC20" s="64">
        <v>9.8620845156887205E-8</v>
      </c>
      <c r="AD20" s="51">
        <v>7.0063872097453999</v>
      </c>
      <c r="AP20" s="14"/>
      <c r="AQ20" s="14"/>
      <c r="AR20" s="14"/>
      <c r="AS20" s="14"/>
      <c r="AT20" s="14"/>
      <c r="AU20" s="14"/>
    </row>
    <row r="21" spans="2:47" ht="15.75" customHeight="1" x14ac:dyDescent="0.35">
      <c r="B21" s="49" t="s">
        <v>159</v>
      </c>
      <c r="C21" s="73">
        <v>143.01</v>
      </c>
      <c r="E21" s="2" t="s">
        <v>160</v>
      </c>
      <c r="F21" s="2" t="s">
        <v>161</v>
      </c>
      <c r="G21" s="28" t="s">
        <v>162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1186.6782816295099</v>
      </c>
      <c r="AB21" s="14">
        <v>1127.3442226383499</v>
      </c>
      <c r="AC21" s="30">
        <v>28.6400057420766</v>
      </c>
      <c r="AD21" s="35">
        <v>30.694053249046799</v>
      </c>
      <c r="AP21" s="14"/>
      <c r="AQ21" s="14"/>
      <c r="AR21" s="14"/>
      <c r="AS21" s="14"/>
      <c r="AT21" s="14"/>
      <c r="AU21" s="14"/>
    </row>
    <row r="22" spans="2:47" ht="15.75" customHeight="1" x14ac:dyDescent="0.35">
      <c r="B22" s="74" t="s">
        <v>164</v>
      </c>
      <c r="C22" s="75">
        <v>56.11</v>
      </c>
      <c r="E22" s="2" t="s">
        <v>165</v>
      </c>
      <c r="F22" s="2" t="s">
        <v>137</v>
      </c>
      <c r="G22" s="28" t="s">
        <v>140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93.252795109623506</v>
      </c>
      <c r="AB22" s="30">
        <v>17.632301062617302</v>
      </c>
      <c r="AC22" s="64">
        <v>2.89408291694669E-9</v>
      </c>
      <c r="AD22" s="71">
        <v>75.620494044080104</v>
      </c>
      <c r="AP22" s="14"/>
      <c r="AQ22" s="14"/>
      <c r="AR22" s="14"/>
      <c r="AS22" s="14"/>
      <c r="AT22" s="14"/>
      <c r="AU22" s="14"/>
    </row>
    <row r="23" spans="2:47" ht="15.75" customHeight="1" x14ac:dyDescent="0.35">
      <c r="E23" s="2" t="s">
        <v>169</v>
      </c>
      <c r="F23" s="2" t="s">
        <v>137</v>
      </c>
      <c r="G23" s="28" t="s">
        <v>170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30">
        <v>24.722464200614901</v>
      </c>
      <c r="AB23" s="62">
        <v>2.1924508204645998</v>
      </c>
      <c r="AC23" s="30">
        <v>22.510675274869602</v>
      </c>
      <c r="AD23" s="77">
        <v>1.9338105289349001E-2</v>
      </c>
      <c r="AP23" s="14"/>
      <c r="AQ23" s="14"/>
      <c r="AR23" s="14"/>
      <c r="AS23" s="14"/>
      <c r="AT23" s="14"/>
      <c r="AU23" s="14"/>
    </row>
    <row r="24" spans="2:47" ht="15.75" customHeight="1" x14ac:dyDescent="0.35">
      <c r="B24" s="122" t="s">
        <v>173</v>
      </c>
      <c r="C24" s="123"/>
      <c r="E24" s="2" t="s">
        <v>174</v>
      </c>
      <c r="F24" s="2" t="s">
        <v>175</v>
      </c>
      <c r="G24" s="28" t="s">
        <v>249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30">
        <v>92.024935564469899</v>
      </c>
      <c r="AB24" s="62">
        <v>1.11122489873554</v>
      </c>
      <c r="AC24" s="30">
        <v>90.905806856805597</v>
      </c>
      <c r="AD24" s="77">
        <v>7.9038089380911204E-3</v>
      </c>
      <c r="AP24" s="14"/>
      <c r="AQ24" s="14"/>
      <c r="AR24" s="14"/>
      <c r="AS24" s="14"/>
      <c r="AT24" s="14"/>
      <c r="AU24" s="14"/>
    </row>
    <row r="25" spans="2:47" ht="15.75" customHeight="1" x14ac:dyDescent="0.35">
      <c r="B25" s="28" t="s">
        <v>178</v>
      </c>
      <c r="C25" s="78">
        <v>173.1</v>
      </c>
      <c r="E25" s="2" t="s">
        <v>179</v>
      </c>
      <c r="F25" s="2" t="s">
        <v>175</v>
      </c>
      <c r="G25" s="28" t="s">
        <v>180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30">
        <v>34.265165454504398</v>
      </c>
      <c r="AB25" s="64">
        <v>4.4109050148344501E-11</v>
      </c>
      <c r="AC25" s="30">
        <v>34.265165454460202</v>
      </c>
      <c r="AD25" s="79">
        <v>2.3392465584215199E-14</v>
      </c>
      <c r="AP25" s="14"/>
      <c r="AQ25" s="14"/>
      <c r="AR25" s="14"/>
      <c r="AS25" s="14"/>
      <c r="AT25" s="14"/>
      <c r="AU25" s="14"/>
    </row>
    <row r="26" spans="2:47" ht="15.75" customHeight="1" x14ac:dyDescent="0.35">
      <c r="B26" s="28"/>
      <c r="C26" s="78"/>
      <c r="E26" s="2" t="s">
        <v>183</v>
      </c>
      <c r="F26" s="2" t="s">
        <v>137</v>
      </c>
      <c r="G26" s="80" t="s">
        <v>184</v>
      </c>
      <c r="H26" s="81">
        <v>0</v>
      </c>
      <c r="I26" s="81">
        <v>0</v>
      </c>
      <c r="J26" s="81">
        <v>0</v>
      </c>
      <c r="K26" s="81">
        <v>0</v>
      </c>
      <c r="L26" s="82">
        <v>3.6912886339318498</v>
      </c>
      <c r="M26" s="82">
        <v>3.6912886339318498</v>
      </c>
      <c r="N26" s="83">
        <v>15.079318559241701</v>
      </c>
      <c r="O26" s="83">
        <v>15.079318559241701</v>
      </c>
      <c r="P26" s="83">
        <v>38.917063436900001</v>
      </c>
      <c r="Q26" s="83">
        <v>38.917063436900001</v>
      </c>
      <c r="R26" s="83">
        <v>99.181636266508804</v>
      </c>
      <c r="S26" s="83">
        <v>99.181636266508804</v>
      </c>
      <c r="T26" s="83">
        <v>99.181636266508804</v>
      </c>
      <c r="U26" s="83">
        <v>99.181636266508804</v>
      </c>
      <c r="V26" s="83">
        <v>98.951543617709504</v>
      </c>
      <c r="W26" s="85">
        <v>0.230092648799231</v>
      </c>
      <c r="X26" s="85">
        <v>0.230092648799231</v>
      </c>
      <c r="Y26" s="81">
        <v>0</v>
      </c>
      <c r="Z26" s="83">
        <v>98.951543617709206</v>
      </c>
      <c r="AA26" s="82">
        <v>6.9266080532396401</v>
      </c>
      <c r="AB26" s="82">
        <v>3.75277820482368</v>
      </c>
      <c r="AC26" s="87">
        <v>1.6069311881173301E-7</v>
      </c>
      <c r="AD26" s="88">
        <v>3.1738296877201</v>
      </c>
      <c r="AP26" s="14"/>
      <c r="AQ26" s="14"/>
      <c r="AR26" s="14"/>
      <c r="AS26" s="14"/>
      <c r="AT26" s="14"/>
      <c r="AU26" s="14"/>
    </row>
    <row r="27" spans="2:47" ht="15.75" customHeight="1" x14ac:dyDescent="0.35">
      <c r="B27" s="28" t="s">
        <v>190</v>
      </c>
      <c r="C27" s="78">
        <v>212</v>
      </c>
      <c r="AP27" s="14"/>
      <c r="AQ27" s="14"/>
      <c r="AR27" s="14"/>
      <c r="AS27" s="14"/>
      <c r="AT27" s="14"/>
      <c r="AU27" s="14"/>
    </row>
    <row r="28" spans="2:47" ht="15.75" customHeight="1" x14ac:dyDescent="0.35">
      <c r="B28" s="28" t="s">
        <v>192</v>
      </c>
      <c r="C28" s="78">
        <v>-154.69999999999999</v>
      </c>
      <c r="AP28" s="14"/>
      <c r="AQ28" s="14"/>
      <c r="AR28" s="14"/>
      <c r="AS28" s="14"/>
      <c r="AT28" s="14"/>
      <c r="AU28" s="14"/>
    </row>
    <row r="29" spans="2:47" ht="15.75" customHeight="1" x14ac:dyDescent="0.35">
      <c r="B29" s="28" t="s">
        <v>193</v>
      </c>
      <c r="C29" s="78">
        <v>94.28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2:47" ht="15.75" customHeight="1" x14ac:dyDescent="0.35">
      <c r="B30" s="28" t="s">
        <v>194</v>
      </c>
      <c r="C30" s="78">
        <v>68.36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2:47" ht="15.75" customHeight="1" x14ac:dyDescent="0.35">
      <c r="B31" s="28" t="s">
        <v>195</v>
      </c>
      <c r="C31" s="78">
        <v>-423.2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 ht="15.75" customHeight="1" x14ac:dyDescent="0.35">
      <c r="B32" s="28" t="s">
        <v>196</v>
      </c>
      <c r="C32" s="78">
        <v>-29.27</v>
      </c>
    </row>
    <row r="33" spans="2:33" ht="15.75" customHeight="1" x14ac:dyDescent="0.35">
      <c r="B33" s="28" t="s">
        <v>198</v>
      </c>
      <c r="C33" s="78">
        <v>182.2</v>
      </c>
    </row>
    <row r="34" spans="2:33" ht="15.75" customHeight="1" x14ac:dyDescent="0.35">
      <c r="B34" s="28" t="s">
        <v>199</v>
      </c>
      <c r="C34" s="2">
        <v>237.2</v>
      </c>
    </row>
    <row r="35" spans="2:33" ht="15.75" customHeight="1" x14ac:dyDescent="0.25">
      <c r="B35" s="80"/>
      <c r="C35" s="90"/>
    </row>
    <row r="36" spans="2:33" ht="15.75" customHeight="1" x14ac:dyDescent="0.25">
      <c r="J36" s="2" t="s">
        <v>201</v>
      </c>
      <c r="AE36" s="91"/>
    </row>
    <row r="37" spans="2:33" ht="15.75" customHeight="1" x14ac:dyDescent="0.25">
      <c r="B37" s="122" t="s">
        <v>117</v>
      </c>
      <c r="C37" s="123"/>
      <c r="AD37" s="91"/>
      <c r="AE37" s="92"/>
      <c r="AF37" s="91"/>
      <c r="AG37" s="91"/>
    </row>
    <row r="38" spans="2:33" ht="15.75" customHeight="1" x14ac:dyDescent="0.25">
      <c r="B38" s="28" t="s">
        <v>205</v>
      </c>
      <c r="C38" s="78">
        <v>0.87</v>
      </c>
      <c r="AD38" s="91"/>
      <c r="AF38" s="91"/>
      <c r="AG38" s="91"/>
    </row>
    <row r="39" spans="2:33" ht="15.75" customHeight="1" x14ac:dyDescent="0.25">
      <c r="B39" s="28" t="s">
        <v>206</v>
      </c>
      <c r="C39" s="93">
        <v>1000</v>
      </c>
      <c r="AD39" s="91"/>
    </row>
    <row r="40" spans="2:33" ht="15.75" customHeight="1" x14ac:dyDescent="0.35">
      <c r="B40" s="80" t="s">
        <v>209</v>
      </c>
      <c r="C40" s="94">
        <f>(C39*2000)/C38</f>
        <v>2298850.5747126439</v>
      </c>
    </row>
    <row r="41" spans="2:33" ht="15.75" customHeight="1" x14ac:dyDescent="0.2">
      <c r="B41" s="120"/>
      <c r="C41" s="120"/>
    </row>
    <row r="42" spans="2:33" ht="15.75" customHeight="1" x14ac:dyDescent="0.2">
      <c r="B42" s="121"/>
      <c r="C42" s="121"/>
    </row>
    <row r="43" spans="2:33" ht="15.75" customHeight="1" x14ac:dyDescent="0.2">
      <c r="B43" s="120"/>
      <c r="C43" s="120"/>
    </row>
    <row r="44" spans="2:33" ht="15.75" customHeight="1" x14ac:dyDescent="0.2">
      <c r="B44" s="120"/>
      <c r="C44" s="120"/>
    </row>
    <row r="45" spans="2:33" ht="15.75" customHeight="1" x14ac:dyDescent="0.2">
      <c r="B45" s="120"/>
      <c r="C45" s="120"/>
    </row>
    <row r="46" spans="2:33" ht="15.75" customHeight="1" x14ac:dyDescent="0.2">
      <c r="B46" s="120"/>
      <c r="C46" s="120"/>
    </row>
    <row r="47" spans="2:33" ht="15.75" customHeight="1" x14ac:dyDescent="0.2">
      <c r="B47" s="120"/>
      <c r="C47" s="120"/>
    </row>
    <row r="48" spans="2:33" ht="15.75" customHeight="1" x14ac:dyDescent="0.2">
      <c r="B48" s="121"/>
      <c r="C48" s="121"/>
    </row>
    <row r="49" spans="2:3" ht="15.75" customHeight="1" x14ac:dyDescent="0.2">
      <c r="B49" s="120"/>
      <c r="C49" s="120"/>
    </row>
    <row r="50" spans="2:3" ht="15.75" customHeight="1" x14ac:dyDescent="0.2">
      <c r="B50" s="120"/>
      <c r="C50" s="120"/>
    </row>
    <row r="51" spans="2:3" ht="15.75" customHeight="1" x14ac:dyDescent="0.2">
      <c r="B51" s="120"/>
      <c r="C51" s="120"/>
    </row>
    <row r="52" spans="2:3" ht="15.75" customHeight="1" x14ac:dyDescent="0.2">
      <c r="B52" s="120"/>
      <c r="C52" s="120"/>
    </row>
    <row r="53" spans="2:3" ht="15.75" customHeight="1" x14ac:dyDescent="0.2">
      <c r="B53" s="120"/>
      <c r="C53" s="120"/>
    </row>
    <row r="54" spans="2:3" ht="15.75" customHeight="1" x14ac:dyDescent="0.2"/>
    <row r="55" spans="2:3" ht="15.75" customHeight="1" x14ac:dyDescent="0.2"/>
    <row r="56" spans="2:3" ht="15.75" customHeight="1" x14ac:dyDescent="0.2"/>
    <row r="57" spans="2:3" ht="15.75" customHeight="1" x14ac:dyDescent="0.2"/>
    <row r="58" spans="2:3" ht="15.75" customHeight="1" x14ac:dyDescent="0.2"/>
    <row r="59" spans="2:3" ht="15.75" customHeight="1" x14ac:dyDescent="0.2"/>
    <row r="60" spans="2:3" ht="15.75" customHeight="1" x14ac:dyDescent="0.2"/>
    <row r="61" spans="2:3" ht="15.75" customHeight="1" x14ac:dyDescent="0.2"/>
    <row r="62" spans="2:3" ht="15.75" customHeight="1" x14ac:dyDescent="0.2"/>
    <row r="63" spans="2:3" ht="15.75" customHeight="1" x14ac:dyDescent="0.2"/>
    <row r="64" spans="2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42:C42"/>
    <mergeCell ref="B48:C48"/>
    <mergeCell ref="B7:C7"/>
    <mergeCell ref="B9:C9"/>
    <mergeCell ref="AI5:AK5"/>
    <mergeCell ref="B24:C24"/>
    <mergeCell ref="B37:C3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1000"/>
  <sheetViews>
    <sheetView workbookViewId="0"/>
  </sheetViews>
  <sheetFormatPr defaultColWidth="12.625" defaultRowHeight="15" customHeight="1" x14ac:dyDescent="0.2"/>
  <cols>
    <col min="1" max="2" width="7.625" customWidth="1"/>
    <col min="3" max="3" width="11.875" customWidth="1"/>
    <col min="4" max="4" width="7.75" customWidth="1"/>
    <col min="5" max="8" width="7.625" customWidth="1"/>
    <col min="9" max="9" width="9.625" customWidth="1"/>
    <col min="10" max="13" width="7.625" customWidth="1"/>
    <col min="14" max="14" width="12.875" customWidth="1"/>
    <col min="15" max="21" width="7.625" customWidth="1"/>
    <col min="22" max="22" width="13.75" customWidth="1"/>
    <col min="23" max="25" width="7.625" customWidth="1"/>
    <col min="26" max="26" width="10.125" customWidth="1"/>
  </cols>
  <sheetData>
    <row r="2" spans="1:28" ht="15" customHeight="1" x14ac:dyDescent="0.2">
      <c r="A2" s="3"/>
      <c r="B2" s="3"/>
      <c r="C2" s="128" t="s">
        <v>0</v>
      </c>
      <c r="D2" s="127"/>
      <c r="E2" s="127"/>
      <c r="F2" s="3"/>
      <c r="G2" s="3"/>
      <c r="H2" s="3"/>
      <c r="I2" s="128" t="s">
        <v>1</v>
      </c>
      <c r="J2" s="127"/>
      <c r="K2" s="127"/>
      <c r="L2" s="3"/>
      <c r="M2" s="3"/>
      <c r="N2" s="128" t="s">
        <v>2</v>
      </c>
      <c r="O2" s="127"/>
      <c r="P2" s="127"/>
      <c r="Q2" s="3"/>
      <c r="R2" s="128" t="s">
        <v>3</v>
      </c>
      <c r="S2" s="127"/>
      <c r="T2" s="127"/>
      <c r="U2" s="3"/>
      <c r="V2" s="128" t="s">
        <v>4</v>
      </c>
      <c r="W2" s="127"/>
      <c r="X2" s="127"/>
      <c r="Y2" s="3"/>
      <c r="Z2" s="128" t="s">
        <v>5</v>
      </c>
      <c r="AA2" s="127"/>
      <c r="AB2" s="127"/>
    </row>
    <row r="3" spans="1:28" ht="15" customHeight="1" x14ac:dyDescent="0.2">
      <c r="A3" s="3"/>
      <c r="B3" s="3"/>
      <c r="C3" s="3"/>
      <c r="D3" s="3"/>
      <c r="E3" s="3"/>
      <c r="F3" s="3"/>
      <c r="G3" s="3"/>
      <c r="H3" s="3"/>
      <c r="I3" s="5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customHeight="1" x14ac:dyDescent="0.2">
      <c r="A4" s="3"/>
      <c r="B4" s="3"/>
      <c r="C4" s="128" t="s">
        <v>8</v>
      </c>
      <c r="D4" s="127"/>
      <c r="E4" s="127"/>
      <c r="F4" s="3"/>
      <c r="G4" s="3"/>
      <c r="H4" s="3"/>
      <c r="I4" s="128" t="s">
        <v>9</v>
      </c>
      <c r="J4" s="127"/>
      <c r="K4" s="127"/>
      <c r="L4" s="3"/>
      <c r="M4" s="3"/>
      <c r="N4" s="128" t="s">
        <v>10</v>
      </c>
      <c r="O4" s="127"/>
      <c r="P4" s="127"/>
      <c r="Q4" s="3"/>
      <c r="R4" s="128" t="s">
        <v>11</v>
      </c>
      <c r="S4" s="127"/>
      <c r="T4" s="127"/>
      <c r="U4" s="3"/>
      <c r="V4" s="128" t="s">
        <v>12</v>
      </c>
      <c r="W4" s="127"/>
      <c r="X4" s="127"/>
      <c r="Y4" s="3"/>
      <c r="Z4" s="128" t="s">
        <v>13</v>
      </c>
      <c r="AA4" s="127"/>
      <c r="AB4" s="127"/>
    </row>
    <row r="5" spans="1:28" ht="15" customHeight="1" x14ac:dyDescent="0.2">
      <c r="A5" s="3"/>
      <c r="B5" s="3"/>
      <c r="C5" s="3" t="s">
        <v>14</v>
      </c>
      <c r="D5" s="3">
        <v>18</v>
      </c>
      <c r="E5" s="3"/>
      <c r="F5" s="3"/>
      <c r="G5" s="3"/>
      <c r="H5" s="3"/>
      <c r="I5" s="6" t="s">
        <v>15</v>
      </c>
      <c r="J5" s="3">
        <v>2.8</v>
      </c>
      <c r="K5" s="3" t="s">
        <v>16</v>
      </c>
      <c r="L5" s="3"/>
      <c r="M5" s="3"/>
      <c r="N5" s="3" t="s">
        <v>17</v>
      </c>
      <c r="O5" s="8">
        <v>4.5339299999999998</v>
      </c>
      <c r="P5" s="3" t="s">
        <v>21</v>
      </c>
      <c r="Q5" s="3"/>
      <c r="R5" s="3" t="s">
        <v>22</v>
      </c>
      <c r="S5" s="10">
        <v>40.792299999999997</v>
      </c>
      <c r="T5" s="3" t="s">
        <v>23</v>
      </c>
      <c r="U5" s="3"/>
      <c r="V5" s="3" t="s">
        <v>24</v>
      </c>
      <c r="W5" s="11">
        <v>74312.899999999994</v>
      </c>
      <c r="X5" s="3" t="s">
        <v>26</v>
      </c>
      <c r="Y5" s="3"/>
      <c r="Z5" s="3" t="s">
        <v>28</v>
      </c>
      <c r="AA5" s="3">
        <v>629.98900000000003</v>
      </c>
      <c r="AB5" s="3" t="s">
        <v>29</v>
      </c>
    </row>
    <row r="6" spans="1:28" ht="15" customHeight="1" x14ac:dyDescent="0.2">
      <c r="A6" s="3"/>
      <c r="B6" s="3"/>
      <c r="C6" s="3" t="s">
        <v>30</v>
      </c>
      <c r="D6" s="3">
        <f>D5*0.61+1.2+1.81</f>
        <v>13.99</v>
      </c>
      <c r="E6" s="3" t="s">
        <v>32</v>
      </c>
      <c r="F6" s="3"/>
      <c r="G6" s="3"/>
      <c r="H6" s="3"/>
      <c r="I6" s="6" t="s">
        <v>35</v>
      </c>
      <c r="J6" s="3">
        <v>0.3</v>
      </c>
      <c r="K6" s="3"/>
      <c r="L6" s="3"/>
      <c r="M6" s="3"/>
      <c r="N6" s="6" t="s">
        <v>37</v>
      </c>
      <c r="O6" s="3">
        <v>0.7</v>
      </c>
      <c r="P6" s="3"/>
      <c r="Q6" s="3"/>
      <c r="R6" s="3" t="s">
        <v>38</v>
      </c>
      <c r="S6" s="11">
        <v>18744.599999999999</v>
      </c>
      <c r="T6" s="3" t="s">
        <v>26</v>
      </c>
      <c r="U6" s="3"/>
      <c r="V6" s="3" t="s">
        <v>40</v>
      </c>
      <c r="W6" s="11">
        <f>W5+S6</f>
        <v>93057.5</v>
      </c>
      <c r="X6" s="3" t="s">
        <v>26</v>
      </c>
      <c r="Y6" s="3"/>
      <c r="Z6" s="3" t="s">
        <v>42</v>
      </c>
      <c r="AA6" s="3">
        <v>10</v>
      </c>
      <c r="AB6" s="3" t="s">
        <v>43</v>
      </c>
    </row>
    <row r="7" spans="1:28" ht="15" customHeight="1" x14ac:dyDescent="0.2">
      <c r="A7" s="3"/>
      <c r="B7" s="3"/>
      <c r="C7" s="3" t="s">
        <v>44</v>
      </c>
      <c r="D7" s="3">
        <v>3</v>
      </c>
      <c r="E7" s="3"/>
      <c r="F7" s="3"/>
      <c r="G7" s="3"/>
      <c r="H7" s="3"/>
      <c r="I7" s="3" t="s">
        <v>45</v>
      </c>
      <c r="J7" s="3">
        <v>400</v>
      </c>
      <c r="K7" s="3" t="s">
        <v>47</v>
      </c>
      <c r="L7" s="3"/>
      <c r="M7" s="3"/>
      <c r="N7" s="3" t="s">
        <v>49</v>
      </c>
      <c r="O7" s="8">
        <v>7.3000459199999996</v>
      </c>
      <c r="P7" s="3" t="s">
        <v>21</v>
      </c>
      <c r="Q7" s="3"/>
      <c r="R7" s="3" t="s">
        <v>51</v>
      </c>
      <c r="S7" s="3"/>
      <c r="T7" s="3"/>
      <c r="U7" s="3"/>
      <c r="V7" s="3" t="s">
        <v>52</v>
      </c>
      <c r="W7" s="3">
        <v>0.8</v>
      </c>
      <c r="X7" s="3"/>
      <c r="Y7" s="3"/>
      <c r="Z7" s="3" t="s">
        <v>53</v>
      </c>
      <c r="AA7" s="3">
        <v>968.048</v>
      </c>
      <c r="AB7" s="3" t="s">
        <v>55</v>
      </c>
    </row>
    <row r="8" spans="1:28" ht="15" customHeight="1" x14ac:dyDescent="0.2">
      <c r="A8" s="3"/>
      <c r="B8" s="3"/>
      <c r="C8" s="3" t="s">
        <v>57</v>
      </c>
      <c r="D8" s="8">
        <f>D6/D7</f>
        <v>4.6633333333333331</v>
      </c>
      <c r="E8" s="3" t="s">
        <v>32</v>
      </c>
      <c r="F8" s="3"/>
      <c r="G8" s="3"/>
      <c r="H8" s="3"/>
      <c r="I8" s="3" t="s">
        <v>59</v>
      </c>
      <c r="J8" s="31">
        <f>(J7/(J5*1000))/(1-J6)</f>
        <v>0.20408163265306123</v>
      </c>
      <c r="K8" s="3" t="s">
        <v>70</v>
      </c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71</v>
      </c>
      <c r="W8" s="3"/>
      <c r="X8" s="3"/>
      <c r="Y8" s="3"/>
      <c r="Z8" s="3" t="s">
        <v>72</v>
      </c>
      <c r="AA8" s="3">
        <v>3</v>
      </c>
      <c r="AB8" s="3"/>
    </row>
    <row r="9" spans="1:28" ht="15" customHeight="1" x14ac:dyDescent="0.2">
      <c r="A9" s="3"/>
      <c r="B9" s="3"/>
      <c r="C9" s="3" t="s">
        <v>74</v>
      </c>
      <c r="D9" s="11">
        <f>PI()*D8*D8/4*D6</f>
        <v>238.94641300541215</v>
      </c>
      <c r="E9" s="3" t="s">
        <v>76</v>
      </c>
      <c r="F9" s="3"/>
      <c r="G9" s="3"/>
      <c r="H9" s="3"/>
      <c r="I9" s="3" t="s">
        <v>72</v>
      </c>
      <c r="J9" s="3">
        <v>3</v>
      </c>
      <c r="K9" s="3"/>
      <c r="L9" s="3"/>
      <c r="M9" s="3"/>
      <c r="N9" s="128" t="s">
        <v>77</v>
      </c>
      <c r="O9" s="127"/>
      <c r="P9" s="127"/>
      <c r="Q9" s="3"/>
      <c r="R9" s="3"/>
      <c r="S9" s="3"/>
      <c r="T9" s="3"/>
      <c r="U9" s="3"/>
      <c r="V9" s="3"/>
      <c r="W9" s="3"/>
      <c r="X9" s="3"/>
      <c r="Y9" s="3"/>
      <c r="Z9" s="3" t="s">
        <v>59</v>
      </c>
      <c r="AA9" s="10">
        <f>2*AA5*AA6/AA7</f>
        <v>13.01565624845049</v>
      </c>
      <c r="AB9" s="3" t="s">
        <v>81</v>
      </c>
    </row>
    <row r="10" spans="1:28" ht="15" customHeight="1" x14ac:dyDescent="0.2">
      <c r="A10" s="3"/>
      <c r="B10" s="3"/>
      <c r="C10" s="3" t="s">
        <v>83</v>
      </c>
      <c r="D10" s="3">
        <v>0.66843200000000003</v>
      </c>
      <c r="E10" s="3"/>
      <c r="F10" s="3"/>
      <c r="G10" s="3"/>
      <c r="H10" s="3"/>
      <c r="I10" s="3" t="s">
        <v>57</v>
      </c>
      <c r="J10" s="8">
        <f>(4*J8/PI()/J9)^(1/3)</f>
        <v>0.44245006301847262</v>
      </c>
      <c r="K10" s="3" t="s">
        <v>32</v>
      </c>
      <c r="L10" s="3"/>
      <c r="M10" s="3"/>
      <c r="N10" s="3"/>
      <c r="O10" s="8">
        <v>10.863300000000001</v>
      </c>
      <c r="P10" s="3" t="s">
        <v>84</v>
      </c>
      <c r="Q10" s="3"/>
      <c r="R10" s="128" t="s">
        <v>85</v>
      </c>
      <c r="S10" s="127"/>
      <c r="T10" s="127"/>
      <c r="U10" s="3"/>
      <c r="V10" s="3"/>
      <c r="W10" s="3"/>
      <c r="X10" s="3"/>
      <c r="Y10" s="3"/>
      <c r="Z10" s="3" t="s">
        <v>86</v>
      </c>
      <c r="AA10" s="8">
        <f>(4*AA9/AA8/PI())^(1/3)</f>
        <v>1.7677396832887036</v>
      </c>
      <c r="AB10" s="3" t="s">
        <v>32</v>
      </c>
    </row>
    <row r="11" spans="1:28" ht="15" customHeight="1" x14ac:dyDescent="0.2">
      <c r="A11" s="3"/>
      <c r="B11" s="3"/>
      <c r="C11" s="3" t="s">
        <v>89</v>
      </c>
      <c r="D11" s="3">
        <f>PI()*D8*D8/4</f>
        <v>17.079800786662769</v>
      </c>
      <c r="E11" s="3"/>
      <c r="F11" s="3"/>
      <c r="G11" s="3"/>
      <c r="H11" s="3"/>
      <c r="I11" s="3" t="s">
        <v>90</v>
      </c>
      <c r="J11" s="8">
        <f>((J10*3))</f>
        <v>1.3273501890554178</v>
      </c>
      <c r="K11" s="3" t="s">
        <v>32</v>
      </c>
      <c r="L11" s="3"/>
      <c r="M11" s="3"/>
      <c r="N11" s="5" t="s">
        <v>91</v>
      </c>
      <c r="O11" s="3">
        <v>9.81</v>
      </c>
      <c r="P11" s="3" t="s">
        <v>92</v>
      </c>
      <c r="Q11" s="3"/>
      <c r="R11" s="3" t="s">
        <v>22</v>
      </c>
      <c r="S11" s="10">
        <v>41.411499999999997</v>
      </c>
      <c r="T11" s="3" t="s">
        <v>93</v>
      </c>
      <c r="U11" s="3"/>
      <c r="V11" s="3"/>
      <c r="W11" s="3"/>
      <c r="X11" s="3"/>
      <c r="Y11" s="3"/>
      <c r="Z11" s="3" t="s">
        <v>94</v>
      </c>
      <c r="AA11" s="8">
        <f>AA10*AA8</f>
        <v>5.3032190498661107</v>
      </c>
      <c r="AB11" s="3" t="s">
        <v>32</v>
      </c>
    </row>
    <row r="12" spans="1:28" ht="15" customHeight="1" x14ac:dyDescent="0.25">
      <c r="A12" s="3"/>
      <c r="B12" s="3"/>
      <c r="C12" s="3" t="s">
        <v>95</v>
      </c>
      <c r="D12" s="3">
        <v>0.75</v>
      </c>
      <c r="E12" s="3"/>
      <c r="F12" s="3"/>
      <c r="G12" s="3"/>
      <c r="H12" s="3"/>
      <c r="I12" s="3"/>
      <c r="J12" s="3"/>
      <c r="K12" s="3"/>
      <c r="L12" s="3"/>
      <c r="M12" s="3"/>
      <c r="N12" s="2" t="s">
        <v>37</v>
      </c>
      <c r="O12">
        <v>0.7</v>
      </c>
      <c r="Q12" s="3"/>
      <c r="R12" s="3" t="s">
        <v>38</v>
      </c>
      <c r="S12" s="11">
        <v>5168.3500000000004</v>
      </c>
      <c r="T12" s="3" t="s">
        <v>26</v>
      </c>
      <c r="U12" s="3"/>
      <c r="V12" s="3"/>
      <c r="W12" s="3"/>
      <c r="X12" s="3"/>
      <c r="Y12" s="3"/>
      <c r="Z12" s="3"/>
      <c r="AA12" s="3"/>
      <c r="AB12" s="3"/>
    </row>
    <row r="13" spans="1:28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49</v>
      </c>
      <c r="O13" s="8">
        <f>(O10*O11*D6/1000)/O12</f>
        <v>2.1298570461000002</v>
      </c>
      <c r="P13" s="3" t="s">
        <v>21</v>
      </c>
      <c r="Q13" s="3"/>
      <c r="R13" s="3" t="s">
        <v>97</v>
      </c>
      <c r="S13" s="3"/>
      <c r="T13" s="3"/>
      <c r="U13" s="3"/>
      <c r="V13" s="3"/>
      <c r="W13" s="3"/>
      <c r="X13" s="3"/>
      <c r="Y13" s="3"/>
      <c r="Z13" s="128" t="s">
        <v>99</v>
      </c>
      <c r="AA13" s="127"/>
      <c r="AB13" s="127"/>
    </row>
    <row r="14" spans="1:28" ht="1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 t="s">
        <v>72</v>
      </c>
      <c r="AA14" s="3">
        <v>3</v>
      </c>
    </row>
    <row r="15" spans="1:28" ht="15" customHeight="1" x14ac:dyDescent="0.2">
      <c r="A15" s="3"/>
      <c r="B15" s="3"/>
      <c r="C15" s="3"/>
      <c r="D15" s="3"/>
      <c r="E15" s="3"/>
      <c r="F15" s="3"/>
      <c r="G15" s="3"/>
      <c r="H15" s="3"/>
      <c r="I15" s="128" t="s">
        <v>100</v>
      </c>
      <c r="J15" s="127"/>
      <c r="K15" s="12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 t="s">
        <v>59</v>
      </c>
      <c r="AA15" s="8">
        <v>8.6180500000000002</v>
      </c>
      <c r="AB15" s="3" t="s">
        <v>101</v>
      </c>
    </row>
    <row r="16" spans="1:28" ht="15" customHeight="1" x14ac:dyDescent="0.2">
      <c r="A16" s="3"/>
      <c r="B16" s="3"/>
      <c r="C16" s="3"/>
      <c r="D16" s="3"/>
      <c r="E16" s="3"/>
      <c r="F16" s="3"/>
      <c r="G16" s="3"/>
      <c r="H16" s="3"/>
      <c r="I16" s="6" t="s">
        <v>15</v>
      </c>
      <c r="J16" s="3">
        <v>2.8</v>
      </c>
      <c r="K16" s="3" t="s">
        <v>16</v>
      </c>
      <c r="L16" s="3"/>
      <c r="M16" s="3"/>
      <c r="N16" s="3"/>
      <c r="O16" s="3"/>
      <c r="P16" s="3"/>
      <c r="Q16" s="3"/>
      <c r="R16" s="128" t="s">
        <v>103</v>
      </c>
      <c r="S16" s="127"/>
      <c r="T16" s="127"/>
      <c r="U16" s="3"/>
      <c r="V16" s="3"/>
      <c r="W16" s="3"/>
      <c r="X16" s="3"/>
      <c r="Y16" s="3"/>
      <c r="Z16" s="3" t="s">
        <v>86</v>
      </c>
      <c r="AA16" s="8">
        <f>((4*AA15/AA14/PI())^(1/3))</f>
        <v>1.5407515895457125</v>
      </c>
      <c r="AB16" s="3" t="s">
        <v>32</v>
      </c>
    </row>
    <row r="17" spans="1:28" ht="15" customHeight="1" x14ac:dyDescent="0.2">
      <c r="A17" s="3"/>
      <c r="B17" s="3"/>
      <c r="C17" s="3"/>
      <c r="D17" s="3"/>
      <c r="E17" s="3"/>
      <c r="F17" s="3"/>
      <c r="G17" s="3"/>
      <c r="H17" s="3"/>
      <c r="I17" s="6" t="s">
        <v>104</v>
      </c>
      <c r="J17" s="3">
        <v>0.3</v>
      </c>
      <c r="K17" s="3"/>
      <c r="L17" s="3"/>
      <c r="M17" s="3"/>
      <c r="N17" s="3"/>
      <c r="O17" s="3">
        <f>O7/O13</f>
        <v>3.4274816393744252</v>
      </c>
      <c r="P17" s="3"/>
      <c r="Q17" s="3"/>
      <c r="R17" s="3" t="s">
        <v>22</v>
      </c>
      <c r="S17" s="10">
        <v>577.42499999999995</v>
      </c>
      <c r="T17" s="3" t="s">
        <v>107</v>
      </c>
      <c r="U17" s="3"/>
      <c r="V17" s="3"/>
      <c r="W17" s="3"/>
      <c r="X17" s="3"/>
      <c r="Y17" s="3"/>
      <c r="Z17" s="3" t="s">
        <v>94</v>
      </c>
      <c r="AA17" s="8">
        <f>AA16*AA14</f>
        <v>4.6222547686371378</v>
      </c>
      <c r="AB17" s="3" t="s">
        <v>32</v>
      </c>
    </row>
    <row r="18" spans="1:28" ht="15" customHeight="1" x14ac:dyDescent="0.2">
      <c r="A18" s="3"/>
      <c r="B18" s="3"/>
      <c r="C18" s="3"/>
      <c r="D18" s="3"/>
      <c r="E18" s="3"/>
      <c r="F18" s="3"/>
      <c r="G18" s="3"/>
      <c r="H18" s="3"/>
      <c r="I18" s="3" t="s">
        <v>45</v>
      </c>
      <c r="J18" s="3">
        <v>500</v>
      </c>
      <c r="K18" s="3" t="s">
        <v>47</v>
      </c>
      <c r="L18" s="3"/>
      <c r="M18" s="3"/>
      <c r="N18" s="3"/>
      <c r="O18" s="3"/>
      <c r="P18" s="3"/>
      <c r="Q18" s="3"/>
      <c r="R18" s="3" t="s">
        <v>38</v>
      </c>
      <c r="S18" s="11">
        <v>42640.27</v>
      </c>
      <c r="T18" s="3" t="s">
        <v>26</v>
      </c>
      <c r="U18" s="3"/>
      <c r="V18" s="3"/>
      <c r="W18" s="3"/>
      <c r="X18" s="3"/>
      <c r="Y18" s="3"/>
      <c r="AB18" s="3"/>
    </row>
    <row r="19" spans="1:28" ht="15" customHeight="1" x14ac:dyDescent="0.2">
      <c r="A19" s="3"/>
      <c r="B19" s="3"/>
      <c r="C19" s="3"/>
      <c r="D19" s="3"/>
      <c r="E19" s="3"/>
      <c r="F19" s="3"/>
      <c r="G19" s="3"/>
      <c r="H19" s="3"/>
      <c r="I19" s="3" t="s">
        <v>59</v>
      </c>
      <c r="J19" s="31">
        <f>(J18/(J16*1000))/(1-J17)</f>
        <v>0.25510204081632654</v>
      </c>
      <c r="K19" s="3" t="s">
        <v>108</v>
      </c>
      <c r="L19" s="3"/>
      <c r="M19" s="3"/>
      <c r="N19" s="3"/>
      <c r="O19" s="3">
        <v>3.4274816393744252</v>
      </c>
      <c r="P19" s="3"/>
      <c r="Q19" s="3"/>
      <c r="R19" s="3" t="s">
        <v>109</v>
      </c>
      <c r="S19" s="3"/>
      <c r="T19" s="3"/>
      <c r="U19" s="3"/>
      <c r="V19" s="3"/>
      <c r="W19" s="3"/>
      <c r="X19" s="3"/>
      <c r="Y19" s="3"/>
      <c r="Z19" s="128" t="s">
        <v>110</v>
      </c>
      <c r="AA19" s="127"/>
      <c r="AB19" s="127"/>
    </row>
    <row r="20" spans="1:28" ht="15" customHeight="1" x14ac:dyDescent="0.2">
      <c r="A20" s="3"/>
      <c r="B20" s="3"/>
      <c r="C20" s="3"/>
      <c r="D20" s="3"/>
      <c r="E20" s="3"/>
      <c r="F20" s="3"/>
      <c r="G20" s="3"/>
      <c r="H20" s="3"/>
      <c r="I20" s="3" t="s">
        <v>72</v>
      </c>
      <c r="J20" s="3">
        <v>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3" t="s">
        <v>111</v>
      </c>
      <c r="AA20" s="58">
        <f>38089</f>
        <v>38089</v>
      </c>
      <c r="AB20" s="3" t="s">
        <v>114</v>
      </c>
    </row>
    <row r="21" spans="1:28" ht="15" customHeight="1" x14ac:dyDescent="0.2">
      <c r="A21" s="3"/>
      <c r="B21" s="3"/>
      <c r="C21" s="3"/>
      <c r="D21" s="3"/>
      <c r="E21" s="3"/>
      <c r="F21" s="3"/>
      <c r="G21" s="3"/>
      <c r="H21" s="3"/>
      <c r="I21" s="3" t="s">
        <v>57</v>
      </c>
      <c r="J21" s="8">
        <f>(4*J19/PI()/J20)^(1/3)</f>
        <v>0.47661488218689524</v>
      </c>
      <c r="K21" s="3" t="s">
        <v>32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3" t="s">
        <v>120</v>
      </c>
      <c r="AA21" s="58">
        <v>2</v>
      </c>
    </row>
    <row r="22" spans="1:28" ht="15" customHeight="1" x14ac:dyDescent="0.2">
      <c r="A22" s="3"/>
      <c r="B22" s="3"/>
      <c r="C22" s="3"/>
      <c r="D22" s="3"/>
      <c r="E22" s="3"/>
      <c r="F22" s="3"/>
      <c r="G22" s="3"/>
      <c r="H22" s="3"/>
      <c r="I22" s="3" t="s">
        <v>90</v>
      </c>
      <c r="J22" s="8">
        <f>((J21*3))</f>
        <v>1.4298446465606858</v>
      </c>
      <c r="K22" s="3" t="s">
        <v>32</v>
      </c>
      <c r="L22" s="3"/>
      <c r="M22" s="3"/>
      <c r="N22" s="3"/>
      <c r="O22" s="3"/>
      <c r="P22" s="3"/>
      <c r="Q22" s="3"/>
      <c r="R22" s="128" t="s">
        <v>121</v>
      </c>
      <c r="S22" s="127"/>
      <c r="T22" s="127"/>
      <c r="U22" s="3"/>
      <c r="V22" s="3"/>
      <c r="W22" s="3"/>
      <c r="X22" s="3"/>
      <c r="Y22" s="3"/>
      <c r="Z22" s="3" t="s">
        <v>72</v>
      </c>
      <c r="AA22" s="65">
        <v>0.75</v>
      </c>
    </row>
    <row r="23" spans="1:28" ht="1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 t="s">
        <v>22</v>
      </c>
      <c r="S23" s="10">
        <v>68.828999999999994</v>
      </c>
      <c r="T23" s="3" t="s">
        <v>122</v>
      </c>
      <c r="U23" s="3"/>
      <c r="V23" s="3"/>
      <c r="W23" s="3"/>
      <c r="X23" s="3"/>
      <c r="Y23" s="3"/>
      <c r="Z23" s="3" t="s">
        <v>59</v>
      </c>
      <c r="AA23" s="8">
        <f>AA20/AA21</f>
        <v>19044.5</v>
      </c>
      <c r="AB23" s="3" t="s">
        <v>127</v>
      </c>
    </row>
    <row r="24" spans="1:28" ht="1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 t="s">
        <v>38</v>
      </c>
      <c r="S24" s="11">
        <v>9891.4599999999991</v>
      </c>
      <c r="T24" s="3" t="s">
        <v>26</v>
      </c>
      <c r="U24" s="3"/>
      <c r="V24" s="3"/>
      <c r="W24" s="3"/>
      <c r="X24" s="3"/>
      <c r="Y24" s="3"/>
      <c r="Z24" s="3" t="s">
        <v>86</v>
      </c>
      <c r="AA24" s="8">
        <f>((4*AA23/AA22/PI())^(1/3))</f>
        <v>31.857093005702357</v>
      </c>
      <c r="AB24" s="3" t="s">
        <v>32</v>
      </c>
    </row>
    <row r="25" spans="1:28" ht="1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 t="s">
        <v>134</v>
      </c>
      <c r="S25" s="3"/>
      <c r="T25" s="3"/>
      <c r="U25" s="3"/>
      <c r="V25" s="3"/>
      <c r="W25" s="3"/>
      <c r="X25" s="3"/>
      <c r="Y25" s="3"/>
      <c r="Z25" s="3" t="s">
        <v>94</v>
      </c>
      <c r="AA25" s="8">
        <f>AA24*AA22</f>
        <v>23.892819754276768</v>
      </c>
      <c r="AB25" s="3" t="s">
        <v>32</v>
      </c>
    </row>
    <row r="26" spans="1:28" ht="15" customHeight="1" x14ac:dyDescent="0.2">
      <c r="A26" s="3"/>
      <c r="B26" s="3"/>
      <c r="C26" s="3"/>
      <c r="D26" s="3"/>
      <c r="E26" s="3"/>
      <c r="F26" s="3"/>
      <c r="G26" s="3"/>
      <c r="H26" s="3"/>
      <c r="I26" s="128" t="s">
        <v>139</v>
      </c>
      <c r="J26" s="127"/>
      <c r="K26" s="12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8" ht="15" customHeight="1" x14ac:dyDescent="0.2">
      <c r="A27" s="3"/>
      <c r="B27" s="3"/>
      <c r="C27" s="3"/>
      <c r="D27" s="3"/>
      <c r="E27" s="3"/>
      <c r="F27" s="3"/>
      <c r="G27" s="3"/>
      <c r="H27" s="3"/>
      <c r="I27" s="6" t="s">
        <v>15</v>
      </c>
      <c r="J27" s="3">
        <v>2.8</v>
      </c>
      <c r="K27" s="3" t="s">
        <v>16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5" t="s">
        <v>110</v>
      </c>
      <c r="AA27" s="5"/>
      <c r="AB27" s="5"/>
    </row>
    <row r="28" spans="1:28" ht="15" customHeight="1" x14ac:dyDescent="0.25">
      <c r="A28" s="3"/>
      <c r="B28" s="3"/>
      <c r="C28" s="3"/>
      <c r="D28" s="3"/>
      <c r="E28" s="3"/>
      <c r="F28" s="3"/>
      <c r="G28" s="3"/>
      <c r="H28" s="3"/>
      <c r="I28" s="6" t="s">
        <v>142</v>
      </c>
      <c r="J28" s="3">
        <v>0.3</v>
      </c>
      <c r="K28" s="3"/>
      <c r="L28" s="3"/>
      <c r="M28" s="3"/>
      <c r="N28" s="3"/>
      <c r="O28" s="3"/>
      <c r="P28" s="3"/>
      <c r="Q28" s="3"/>
      <c r="R28" s="128" t="s">
        <v>144</v>
      </c>
      <c r="S28" s="127"/>
      <c r="T28" s="127"/>
      <c r="U28" s="3"/>
      <c r="V28" s="3"/>
      <c r="W28" s="3"/>
      <c r="X28" s="3"/>
      <c r="Y28" s="3"/>
      <c r="Z28" s="3" t="s">
        <v>145</v>
      </c>
      <c r="AA28" s="69">
        <v>30532</v>
      </c>
      <c r="AB28" s="3" t="s">
        <v>146</v>
      </c>
    </row>
    <row r="29" spans="1:28" ht="15" customHeight="1" x14ac:dyDescent="0.25">
      <c r="A29" s="3"/>
      <c r="B29" s="3"/>
      <c r="C29" s="3"/>
      <c r="D29" s="3"/>
      <c r="E29" s="3"/>
      <c r="F29" s="3"/>
      <c r="G29" s="3"/>
      <c r="H29" s="3"/>
      <c r="I29" s="3" t="s">
        <v>45</v>
      </c>
      <c r="J29" s="3">
        <v>500</v>
      </c>
      <c r="K29" s="3" t="s">
        <v>47</v>
      </c>
      <c r="L29" s="3"/>
      <c r="M29" s="3"/>
      <c r="N29" s="3"/>
      <c r="O29" s="3"/>
      <c r="P29" s="3"/>
      <c r="Q29" s="3"/>
      <c r="R29" s="3" t="s">
        <v>22</v>
      </c>
      <c r="S29" s="10">
        <v>658.06100000000004</v>
      </c>
      <c r="T29" s="3" t="s">
        <v>148</v>
      </c>
      <c r="U29" s="3"/>
      <c r="V29" s="3"/>
      <c r="W29" s="3"/>
      <c r="X29" s="3"/>
      <c r="Y29" s="3"/>
      <c r="Z29" s="3" t="s">
        <v>120</v>
      </c>
      <c r="AA29" s="69">
        <v>2</v>
      </c>
    </row>
    <row r="30" spans="1:28" ht="15" customHeight="1" x14ac:dyDescent="0.2">
      <c r="A30" s="3"/>
      <c r="B30" s="3"/>
      <c r="C30" s="3"/>
      <c r="D30" s="3"/>
      <c r="E30" s="3"/>
      <c r="F30" s="3"/>
      <c r="G30" s="3"/>
      <c r="H30" s="3"/>
      <c r="I30" s="3" t="s">
        <v>59</v>
      </c>
      <c r="J30" s="31">
        <f>(J29/(J27*1000))/(1-J28)</f>
        <v>0.25510204081632654</v>
      </c>
      <c r="K30" s="3" t="s">
        <v>152</v>
      </c>
      <c r="L30" s="3"/>
      <c r="M30" s="3"/>
      <c r="N30" s="3"/>
      <c r="O30" s="3"/>
      <c r="P30" s="3"/>
      <c r="Q30" s="3"/>
      <c r="R30" s="3" t="s">
        <v>38</v>
      </c>
      <c r="S30" s="11">
        <v>35026.9</v>
      </c>
      <c r="T30" s="3" t="s">
        <v>26</v>
      </c>
      <c r="U30" s="3"/>
      <c r="V30" s="3"/>
      <c r="W30" s="3"/>
      <c r="X30" s="3"/>
      <c r="Y30" s="3"/>
      <c r="Z30" s="3" t="s">
        <v>72</v>
      </c>
      <c r="AA30" s="65">
        <v>0.75</v>
      </c>
    </row>
    <row r="31" spans="1:28" ht="15" customHeight="1" x14ac:dyDescent="0.2">
      <c r="A31" s="3"/>
      <c r="B31" s="3"/>
      <c r="C31" s="3"/>
      <c r="D31" s="3"/>
      <c r="E31" s="3"/>
      <c r="F31" s="3"/>
      <c r="G31" s="3"/>
      <c r="H31" s="3"/>
      <c r="I31" s="3" t="s">
        <v>72</v>
      </c>
      <c r="J31" s="3">
        <v>3</v>
      </c>
      <c r="K31" s="3"/>
      <c r="L31" s="3"/>
      <c r="M31" s="3"/>
      <c r="N31" s="3"/>
      <c r="O31" s="3"/>
      <c r="P31" s="3"/>
      <c r="Q31" s="3"/>
      <c r="R31" s="3" t="s">
        <v>154</v>
      </c>
      <c r="S31" s="3"/>
      <c r="T31" s="3"/>
      <c r="U31" s="3"/>
      <c r="V31" s="3"/>
      <c r="W31" s="3"/>
      <c r="X31" s="3"/>
      <c r="Y31" s="3"/>
      <c r="Z31" s="3" t="s">
        <v>59</v>
      </c>
      <c r="AA31" s="8">
        <f>AA28/AA29</f>
        <v>15266</v>
      </c>
      <c r="AB31" s="3" t="s">
        <v>157</v>
      </c>
    </row>
    <row r="32" spans="1:28" ht="15" customHeight="1" x14ac:dyDescent="0.2">
      <c r="A32" s="3"/>
      <c r="B32" s="3"/>
      <c r="C32" s="3"/>
      <c r="D32" s="3"/>
      <c r="E32" s="3"/>
      <c r="F32" s="3"/>
      <c r="G32" s="3"/>
      <c r="H32" s="3"/>
      <c r="I32" s="3" t="s">
        <v>57</v>
      </c>
      <c r="J32" s="8">
        <f>(4*J30/PI()/J31)^(1/3)</f>
        <v>0.47661488218689524</v>
      </c>
      <c r="K32" s="3" t="s">
        <v>32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 t="s">
        <v>86</v>
      </c>
      <c r="AA32" s="8">
        <f>((4*AA31/AA30/PI())^(1/3))</f>
        <v>29.593161967392074</v>
      </c>
      <c r="AB32" s="3" t="s">
        <v>32</v>
      </c>
    </row>
    <row r="33" spans="1:28" ht="15" customHeight="1" x14ac:dyDescent="0.2">
      <c r="A33" s="3"/>
      <c r="B33" s="3"/>
      <c r="C33" s="3"/>
      <c r="D33" s="3"/>
      <c r="E33" s="3"/>
      <c r="F33" s="3"/>
      <c r="G33" s="3"/>
      <c r="H33" s="3"/>
      <c r="I33" s="3" t="s">
        <v>90</v>
      </c>
      <c r="J33" s="8">
        <f>((J32*3))</f>
        <v>1.4298446465606858</v>
      </c>
      <c r="K33" s="3" t="s">
        <v>32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 t="s">
        <v>94</v>
      </c>
      <c r="AA33" s="8">
        <f>AA32*AA30</f>
        <v>22.194871475544055</v>
      </c>
      <c r="AB33" s="3" t="s">
        <v>32</v>
      </c>
    </row>
    <row r="34" spans="1:28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" customHeight="1" x14ac:dyDescent="0.2">
      <c r="A37" s="3"/>
      <c r="B37" s="3"/>
      <c r="C37" s="3"/>
      <c r="D37" s="3"/>
      <c r="E37" s="3"/>
      <c r="F37" s="3"/>
      <c r="G37" s="3"/>
      <c r="H37" s="3"/>
      <c r="I37" s="128" t="s">
        <v>167</v>
      </c>
      <c r="J37" s="127"/>
      <c r="K37" s="12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2">
      <c r="A38" s="3"/>
      <c r="B38" s="3"/>
      <c r="C38" s="3"/>
      <c r="D38" s="3"/>
      <c r="E38" s="3"/>
      <c r="F38" s="3"/>
      <c r="G38" s="3"/>
      <c r="H38" s="3"/>
      <c r="I38" s="6" t="s">
        <v>15</v>
      </c>
      <c r="J38" s="3">
        <v>2.8</v>
      </c>
      <c r="K38" s="3" t="s">
        <v>16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2">
      <c r="A39" s="3"/>
      <c r="B39" s="3"/>
      <c r="C39" s="3"/>
      <c r="D39" s="3"/>
      <c r="E39" s="3"/>
      <c r="F39" s="3"/>
      <c r="G39" s="3"/>
      <c r="H39" s="3"/>
      <c r="I39" s="6" t="s">
        <v>171</v>
      </c>
      <c r="J39" s="3">
        <v>0.3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2">
      <c r="A40" s="3"/>
      <c r="B40" s="3"/>
      <c r="C40" s="3"/>
      <c r="D40" s="3"/>
      <c r="E40" s="3"/>
      <c r="F40" s="3"/>
      <c r="G40" s="3"/>
      <c r="H40" s="3"/>
      <c r="I40" s="3" t="s">
        <v>45</v>
      </c>
      <c r="J40" s="3">
        <v>700</v>
      </c>
      <c r="K40" s="3" t="s">
        <v>47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2">
      <c r="A41" s="3"/>
      <c r="B41" s="3"/>
      <c r="C41" s="3"/>
      <c r="D41" s="3"/>
      <c r="E41" s="3"/>
      <c r="F41" s="3"/>
      <c r="G41" s="3"/>
      <c r="H41" s="3"/>
      <c r="I41" s="3" t="s">
        <v>59</v>
      </c>
      <c r="J41" s="31">
        <f>(J40/(J38*1000))/(1-J39)</f>
        <v>0.35714285714285715</v>
      </c>
      <c r="K41" s="3" t="s">
        <v>177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2">
      <c r="A42" s="3"/>
      <c r="B42" s="3"/>
      <c r="C42" s="3"/>
      <c r="D42" s="3"/>
      <c r="E42" s="3"/>
      <c r="F42" s="3"/>
      <c r="G42" s="3"/>
      <c r="H42" s="3"/>
      <c r="I42" s="3" t="s">
        <v>72</v>
      </c>
      <c r="J42" s="3">
        <v>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2">
      <c r="A43" s="3"/>
      <c r="B43" s="3"/>
      <c r="C43" s="3"/>
      <c r="D43" s="3"/>
      <c r="E43" s="3"/>
      <c r="F43" s="3"/>
      <c r="G43" s="3"/>
      <c r="H43" s="3"/>
      <c r="I43" s="3" t="s">
        <v>57</v>
      </c>
      <c r="J43" s="8">
        <f>(4*J41/PI()/J42)^(1/3)</f>
        <v>0.53318379833390739</v>
      </c>
      <c r="K43" s="3" t="s">
        <v>32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2">
      <c r="A44" s="3"/>
      <c r="B44" s="3"/>
      <c r="C44" s="3"/>
      <c r="D44" s="3"/>
      <c r="E44" s="3"/>
      <c r="F44" s="3"/>
      <c r="G44" s="3"/>
      <c r="H44" s="3"/>
      <c r="I44" s="3" t="s">
        <v>90</v>
      </c>
      <c r="J44" s="8">
        <f>((J43*3))</f>
        <v>1.5995513950017222</v>
      </c>
      <c r="K44" s="3" t="s">
        <v>32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s="3"/>
      <c r="B47" s="3"/>
      <c r="C47" s="3"/>
      <c r="D47" s="3"/>
      <c r="E47" s="3"/>
      <c r="F47" s="3"/>
      <c r="G47" s="3"/>
      <c r="H47" s="3"/>
      <c r="I47" s="128" t="s">
        <v>186</v>
      </c>
      <c r="J47" s="127"/>
      <c r="K47" s="12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59</v>
      </c>
      <c r="J48" s="86">
        <v>1.1000000000000001</v>
      </c>
      <c r="K48" s="3" t="s">
        <v>188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.75" customHeight="1" x14ac:dyDescent="0.2">
      <c r="A49" s="3"/>
      <c r="B49" s="3"/>
      <c r="C49" s="3"/>
      <c r="D49" s="3"/>
      <c r="E49" s="3"/>
      <c r="F49" s="3"/>
      <c r="G49" s="3"/>
      <c r="H49" s="3"/>
      <c r="I49" s="3" t="s">
        <v>72</v>
      </c>
      <c r="J49" s="3">
        <v>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5.75" customHeight="1" x14ac:dyDescent="0.2">
      <c r="A50" s="3"/>
      <c r="B50" s="3"/>
      <c r="C50" s="3"/>
      <c r="D50" s="3"/>
      <c r="E50" s="3"/>
      <c r="F50" s="3"/>
      <c r="G50" s="3"/>
      <c r="H50" s="3"/>
      <c r="I50" s="3" t="s">
        <v>86</v>
      </c>
      <c r="J50" s="8">
        <f>(J48*4/J49/PI())^(1/3)</f>
        <v>0.77575964350325732</v>
      </c>
      <c r="K50" s="3" t="s">
        <v>32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5.75" customHeight="1" x14ac:dyDescent="0.2">
      <c r="A51" s="3"/>
      <c r="B51" s="3"/>
      <c r="C51" s="3"/>
      <c r="D51" s="3"/>
      <c r="E51" s="3"/>
      <c r="F51" s="3"/>
      <c r="G51" s="3"/>
      <c r="H51" s="3"/>
      <c r="I51" s="3" t="s">
        <v>94</v>
      </c>
      <c r="J51" s="8">
        <f>J50*J49</f>
        <v>2.3272789305097721</v>
      </c>
      <c r="K51" s="3" t="s">
        <v>32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.75" customHeight="1" x14ac:dyDescent="0.2">
      <c r="A53" s="3"/>
      <c r="B53" s="3"/>
      <c r="C53" s="3"/>
      <c r="D53" s="3"/>
      <c r="E53" s="3"/>
      <c r="F53" s="3"/>
      <c r="G53" s="3"/>
      <c r="H53" s="3"/>
      <c r="I53" s="3">
        <f>J40+J29+J18</f>
        <v>1700</v>
      </c>
      <c r="J53" s="65" t="s">
        <v>47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.75" customHeight="1" x14ac:dyDescent="0.2">
      <c r="A54" s="3"/>
      <c r="B54" s="3"/>
      <c r="C54" s="3"/>
      <c r="D54" s="3"/>
      <c r="E54" s="3"/>
      <c r="F54" s="3"/>
      <c r="G54" s="3"/>
      <c r="H54" s="3"/>
      <c r="I54" s="3">
        <f>I53*1000</f>
        <v>1700000</v>
      </c>
      <c r="J54" s="65" t="s">
        <v>91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.75" customHeight="1" x14ac:dyDescent="0.2">
      <c r="A55" s="3"/>
      <c r="B55" s="3"/>
      <c r="C55" s="3"/>
      <c r="D55" s="3"/>
      <c r="E55" s="3"/>
      <c r="F55" s="3"/>
      <c r="G55" s="3"/>
      <c r="H55" s="65" t="s">
        <v>202</v>
      </c>
      <c r="I55" s="3">
        <f>CONVERT(I54,"g","lbm")</f>
        <v>3747.8584571429187</v>
      </c>
      <c r="J55" s="65" t="s">
        <v>203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.75" customHeight="1" x14ac:dyDescent="0.2"/>
    <row r="62" spans="1:28" ht="15.75" customHeight="1" x14ac:dyDescent="0.2"/>
    <row r="63" spans="1:28" ht="15.75" customHeight="1" x14ac:dyDescent="0.2"/>
    <row r="64" spans="1:2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V4:X4"/>
    <mergeCell ref="Z4:AB4"/>
    <mergeCell ref="C4:E4"/>
    <mergeCell ref="N4:P4"/>
    <mergeCell ref="V2:X2"/>
    <mergeCell ref="R2:T2"/>
    <mergeCell ref="C2:E2"/>
    <mergeCell ref="I47:K47"/>
    <mergeCell ref="I2:K2"/>
    <mergeCell ref="N2:P2"/>
    <mergeCell ref="R4:T4"/>
    <mergeCell ref="Z2:AB2"/>
    <mergeCell ref="I37:K37"/>
    <mergeCell ref="R22:T22"/>
    <mergeCell ref="R28:T28"/>
    <mergeCell ref="I26:K26"/>
    <mergeCell ref="I4:K4"/>
    <mergeCell ref="I15:K15"/>
    <mergeCell ref="R10:T10"/>
    <mergeCell ref="N9:P9"/>
    <mergeCell ref="Z13:AB13"/>
    <mergeCell ref="Z19:AB19"/>
    <mergeCell ref="R16:T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625" defaultRowHeight="15" customHeight="1" x14ac:dyDescent="0.2"/>
  <cols>
    <col min="1" max="1" width="14.125" customWidth="1"/>
    <col min="2" max="2" width="31.125" customWidth="1"/>
    <col min="3" max="3" width="23.875" customWidth="1"/>
    <col min="4" max="4" width="38.125" customWidth="1"/>
    <col min="5" max="5" width="13.125" customWidth="1"/>
    <col min="6" max="6" width="10.75" customWidth="1"/>
    <col min="7" max="7" width="12.625" customWidth="1"/>
    <col min="8" max="8" width="14.25" customWidth="1"/>
    <col min="9" max="9" width="16" customWidth="1"/>
    <col min="10" max="10" width="11" customWidth="1"/>
    <col min="11" max="11" width="14.375" customWidth="1"/>
    <col min="12" max="14" width="7.625" customWidth="1"/>
    <col min="15" max="15" width="9.875" customWidth="1"/>
    <col min="16" max="24" width="7.625" customWidth="1"/>
    <col min="25" max="25" width="11.375" customWidth="1"/>
    <col min="26" max="26" width="11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x14ac:dyDescent="0.25">
      <c r="A2" s="1"/>
      <c r="B2" s="1"/>
      <c r="C2" s="1"/>
      <c r="D2" s="1"/>
      <c r="G2" s="1"/>
      <c r="H2" s="1"/>
      <c r="I2" s="1"/>
      <c r="J2" s="1"/>
      <c r="L2" s="129" t="s">
        <v>6</v>
      </c>
      <c r="M2" s="130"/>
      <c r="N2" s="130"/>
      <c r="O2" s="131"/>
      <c r="P2" s="129" t="s">
        <v>19</v>
      </c>
      <c r="Q2" s="130"/>
      <c r="R2" s="130"/>
      <c r="S2" s="131"/>
      <c r="T2" s="129" t="s">
        <v>20</v>
      </c>
      <c r="U2" s="132"/>
      <c r="V2" s="129" t="s">
        <v>25</v>
      </c>
      <c r="W2" s="130"/>
      <c r="X2" s="130"/>
      <c r="Y2" s="130"/>
      <c r="Z2" s="131"/>
    </row>
    <row r="3" spans="1:26" x14ac:dyDescent="0.25">
      <c r="A3" s="1"/>
      <c r="B3" s="13" t="s">
        <v>27</v>
      </c>
      <c r="C3" s="15" t="s">
        <v>31</v>
      </c>
      <c r="D3" s="15" t="s">
        <v>34</v>
      </c>
      <c r="E3" s="17" t="s">
        <v>36</v>
      </c>
      <c r="F3" s="19" t="s">
        <v>39</v>
      </c>
      <c r="G3" s="21" t="s">
        <v>41</v>
      </c>
      <c r="H3" s="17" t="s">
        <v>46</v>
      </c>
      <c r="I3" s="17" t="s">
        <v>48</v>
      </c>
      <c r="J3" s="24" t="s">
        <v>50</v>
      </c>
      <c r="K3" s="17" t="s">
        <v>54</v>
      </c>
      <c r="L3" s="26" t="s">
        <v>56</v>
      </c>
      <c r="M3" s="27" t="s">
        <v>60</v>
      </c>
      <c r="N3" s="26" t="s">
        <v>62</v>
      </c>
      <c r="O3" s="27" t="s">
        <v>63</v>
      </c>
      <c r="P3" s="29" t="s">
        <v>64</v>
      </c>
      <c r="Q3" s="27" t="s">
        <v>65</v>
      </c>
      <c r="R3" s="26" t="s">
        <v>66</v>
      </c>
      <c r="S3" s="27" t="s">
        <v>67</v>
      </c>
      <c r="T3" s="27" t="s">
        <v>68</v>
      </c>
      <c r="U3" s="33" t="s">
        <v>69</v>
      </c>
      <c r="V3" s="34" t="s">
        <v>73</v>
      </c>
      <c r="W3" s="36" t="s">
        <v>75</v>
      </c>
      <c r="X3" s="36" t="s">
        <v>78</v>
      </c>
      <c r="Y3" s="34" t="s">
        <v>79</v>
      </c>
      <c r="Z3" s="36" t="s">
        <v>80</v>
      </c>
    </row>
    <row r="4" spans="1:26" x14ac:dyDescent="0.25">
      <c r="A4" s="37"/>
      <c r="B4" s="39" t="s">
        <v>10</v>
      </c>
      <c r="C4" s="39">
        <v>2</v>
      </c>
      <c r="D4" s="39" t="s">
        <v>87</v>
      </c>
      <c r="E4" s="41"/>
      <c r="F4" s="43"/>
      <c r="G4" s="45">
        <f>Equipment!O7</f>
        <v>7.3000459199999996</v>
      </c>
      <c r="H4" s="47" t="s">
        <v>21</v>
      </c>
      <c r="I4" s="48">
        <v>1</v>
      </c>
      <c r="J4" s="50" t="s">
        <v>98</v>
      </c>
      <c r="K4" s="52">
        <v>850</v>
      </c>
      <c r="L4" s="50">
        <v>3.3892000000000002</v>
      </c>
      <c r="M4" s="53">
        <v>5.3600000000000002E-2</v>
      </c>
      <c r="N4" s="50">
        <v>0.15379999999999999</v>
      </c>
      <c r="O4" s="55">
        <f t="shared" ref="O4:O24" si="0">10^(L4+M4*LOG(G4)+N4*(LOG(G4))^2)</f>
        <v>3549.0014067918955</v>
      </c>
      <c r="P4" s="43">
        <f>IF(I4&lt;10,0,-0.3935)</f>
        <v>0</v>
      </c>
      <c r="Q4" s="46">
        <f>IF(I4&lt;10,0,0.3957)</f>
        <v>0</v>
      </c>
      <c r="R4" s="43">
        <f>IF(I4&lt;10,0,-0.00226)</f>
        <v>0</v>
      </c>
      <c r="S4" s="43">
        <f t="shared" ref="S4:S7" si="1">10^(P4+Q4*LOG(I4)+R4*(LOG(I4))^2)</f>
        <v>1</v>
      </c>
      <c r="T4" s="50">
        <v>38</v>
      </c>
      <c r="U4" s="50">
        <v>2.6</v>
      </c>
      <c r="V4" s="50">
        <v>1.89</v>
      </c>
      <c r="W4" s="50">
        <v>1.35</v>
      </c>
      <c r="X4" s="43">
        <f>V4+W4*U4*S4</f>
        <v>5.4</v>
      </c>
      <c r="Y4" s="57">
        <f t="shared" ref="Y4:Y5" si="2">O4*X4*C4</f>
        <v>38329.215193352473</v>
      </c>
      <c r="Z4" s="59">
        <f t="shared" ref="Z4:Z14" si="3">Y4*$Z$27</f>
        <v>58260.407093895759</v>
      </c>
    </row>
    <row r="5" spans="1:26" x14ac:dyDescent="0.25">
      <c r="A5" s="37"/>
      <c r="B5" s="60" t="s">
        <v>10</v>
      </c>
      <c r="C5" s="60">
        <v>2</v>
      </c>
      <c r="D5" s="61" t="s">
        <v>119</v>
      </c>
      <c r="E5" s="47"/>
      <c r="F5" s="47"/>
      <c r="G5" s="51">
        <f>G4</f>
        <v>7.3000459199999996</v>
      </c>
      <c r="H5" s="47" t="s">
        <v>21</v>
      </c>
      <c r="I5" s="63">
        <v>1</v>
      </c>
      <c r="J5" s="63"/>
      <c r="K5" s="52">
        <v>850</v>
      </c>
      <c r="L5" s="63">
        <v>2.4603999999999999</v>
      </c>
      <c r="M5" s="52">
        <v>1.4191</v>
      </c>
      <c r="N5" s="63">
        <v>-0.17979999999999999</v>
      </c>
      <c r="O5" s="55">
        <f t="shared" si="0"/>
        <v>3560.6953698084167</v>
      </c>
      <c r="P5" s="47">
        <f t="shared" ref="P5:R5" si="4">P4</f>
        <v>0</v>
      </c>
      <c r="Q5" s="46">
        <f t="shared" si="4"/>
        <v>0</v>
      </c>
      <c r="R5" s="47">
        <f t="shared" si="4"/>
        <v>0</v>
      </c>
      <c r="S5" s="46">
        <f t="shared" si="1"/>
        <v>1</v>
      </c>
      <c r="T5" s="63">
        <v>13</v>
      </c>
      <c r="U5" s="63"/>
      <c r="V5" s="63"/>
      <c r="W5" s="63"/>
      <c r="X5" s="47">
        <v>1.5</v>
      </c>
      <c r="Y5" s="66">
        <f t="shared" si="2"/>
        <v>10682.08610942525</v>
      </c>
      <c r="Z5" s="67">
        <f t="shared" si="3"/>
        <v>16236.770886326382</v>
      </c>
    </row>
    <row r="6" spans="1:26" ht="17.25" x14ac:dyDescent="0.25">
      <c r="A6" s="37"/>
      <c r="B6" s="60" t="s">
        <v>11</v>
      </c>
      <c r="C6" s="60">
        <v>1</v>
      </c>
      <c r="D6" s="60" t="s">
        <v>131</v>
      </c>
      <c r="E6" s="47"/>
      <c r="F6" s="47"/>
      <c r="G6" s="35">
        <f>Equipment!S5</f>
        <v>40.792299999999997</v>
      </c>
      <c r="H6" s="4" t="s">
        <v>133</v>
      </c>
      <c r="I6" s="63">
        <v>1</v>
      </c>
      <c r="J6" s="63" t="s">
        <v>98</v>
      </c>
      <c r="K6" s="52">
        <v>850</v>
      </c>
      <c r="L6" s="63">
        <v>4.3247</v>
      </c>
      <c r="M6" s="52">
        <v>-0.30299999999999999</v>
      </c>
      <c r="N6" s="63">
        <v>0.16339999999999999</v>
      </c>
      <c r="O6" s="55">
        <f t="shared" si="0"/>
        <v>18219.993479715326</v>
      </c>
      <c r="P6" s="47">
        <f>IF(I6&lt;5,0,-0.00164)</f>
        <v>0</v>
      </c>
      <c r="Q6" s="46">
        <f>IF(I6&lt;5,0,-0.00627)</f>
        <v>0</v>
      </c>
      <c r="R6" s="47">
        <f>IF(I6&lt;5,0,0.0123)</f>
        <v>0</v>
      </c>
      <c r="S6" s="46">
        <f t="shared" si="1"/>
        <v>1</v>
      </c>
      <c r="T6" s="63">
        <v>2</v>
      </c>
      <c r="U6" s="63">
        <v>1.38</v>
      </c>
      <c r="V6" s="63">
        <v>1.63</v>
      </c>
      <c r="W6" s="63">
        <v>1.66</v>
      </c>
      <c r="X6" s="68">
        <f>V6+W6*U6*S6</f>
        <v>3.9207999999999994</v>
      </c>
      <c r="Y6" s="55">
        <f>O6*(V6+W6*U6*S6)*C6</f>
        <v>71436.950435267834</v>
      </c>
      <c r="Z6" s="67">
        <f t="shared" si="3"/>
        <v>108584.16466160711</v>
      </c>
    </row>
    <row r="7" spans="1:26" x14ac:dyDescent="0.25">
      <c r="A7" s="37"/>
      <c r="B7" s="60" t="s">
        <v>12</v>
      </c>
      <c r="C7" s="60">
        <v>1</v>
      </c>
      <c r="D7" s="60" t="s">
        <v>147</v>
      </c>
      <c r="E7" s="47"/>
      <c r="F7" s="47"/>
      <c r="G7" s="71">
        <f>Equipment!W6</f>
        <v>93057.5</v>
      </c>
      <c r="H7" s="47" t="s">
        <v>21</v>
      </c>
      <c r="I7" s="63">
        <v>1</v>
      </c>
      <c r="J7" s="63" t="s">
        <v>98</v>
      </c>
      <c r="K7" s="52">
        <v>850</v>
      </c>
      <c r="L7" s="63">
        <v>7.3487999999999998</v>
      </c>
      <c r="M7" s="52">
        <v>-1.1666000000000001</v>
      </c>
      <c r="N7" s="63">
        <v>0.20280000000000001</v>
      </c>
      <c r="O7" s="55">
        <f t="shared" si="0"/>
        <v>3623101.2341188672</v>
      </c>
      <c r="P7" s="47">
        <f>IF(I7&lt;2,0,-0.01633)</f>
        <v>0</v>
      </c>
      <c r="Q7" s="46">
        <f>IF(I7&lt;2,0,0.056875)</f>
        <v>0</v>
      </c>
      <c r="R7" s="47">
        <f>IF(I7&lt;2,0,-0.00876)</f>
        <v>0</v>
      </c>
      <c r="S7" s="46">
        <f t="shared" si="1"/>
        <v>1</v>
      </c>
      <c r="T7" s="47">
        <v>53</v>
      </c>
      <c r="U7" s="47"/>
      <c r="V7" s="47"/>
      <c r="W7" s="47"/>
      <c r="X7" s="47">
        <v>2.1</v>
      </c>
      <c r="Y7" s="55">
        <f>O7*X7*S7*1*C7</f>
        <v>7608512.5916496217</v>
      </c>
      <c r="Z7" s="67">
        <f t="shared" si="3"/>
        <v>11564939.139307424</v>
      </c>
    </row>
    <row r="8" spans="1:26" ht="17.25" x14ac:dyDescent="0.25">
      <c r="A8" s="37"/>
      <c r="B8" s="60" t="s">
        <v>9</v>
      </c>
      <c r="C8" s="60">
        <v>1</v>
      </c>
      <c r="D8" s="60" t="s">
        <v>158</v>
      </c>
      <c r="E8" s="68">
        <f>Equipment!J10</f>
        <v>0.44245006301847262</v>
      </c>
      <c r="F8" s="68">
        <f>Equipment!J11</f>
        <v>1.3273501890554178</v>
      </c>
      <c r="G8" s="70">
        <f>Equipment!J8</f>
        <v>0.20408163265306123</v>
      </c>
      <c r="H8" s="47" t="s">
        <v>163</v>
      </c>
      <c r="I8" s="63">
        <v>1</v>
      </c>
      <c r="J8" s="63" t="s">
        <v>98</v>
      </c>
      <c r="K8" s="46">
        <v>850</v>
      </c>
      <c r="L8" s="47">
        <v>3.4973999999999998</v>
      </c>
      <c r="M8" s="46">
        <v>0.44850000000000001</v>
      </c>
      <c r="N8" s="47">
        <v>0.1074</v>
      </c>
      <c r="O8" s="55">
        <f t="shared" si="0"/>
        <v>1733.8409807800756</v>
      </c>
      <c r="P8" s="47"/>
      <c r="Q8" s="46"/>
      <c r="R8" s="47"/>
      <c r="S8" s="68">
        <f t="shared" ref="S8:S12" si="5">(I8*E8/(2*K8-1.2*I8)+0.00315)/0.0063</f>
        <v>0.54134104587537724</v>
      </c>
      <c r="T8" s="47">
        <v>18</v>
      </c>
      <c r="U8" s="47">
        <v>1</v>
      </c>
      <c r="V8" s="47">
        <v>2.25</v>
      </c>
      <c r="W8" s="47">
        <v>1.82</v>
      </c>
      <c r="X8" s="68">
        <f t="shared" ref="X8:X14" si="6">V8+W8*U8*S8</f>
        <v>3.2352407034931865</v>
      </c>
      <c r="Y8" s="55">
        <f t="shared" ref="Y8:Y11" si="7">O8*(V8+W8*U8*S8)*C8</f>
        <v>5609.3929144042486</v>
      </c>
      <c r="Z8" s="67">
        <f t="shared" si="3"/>
        <v>8526.2772298944583</v>
      </c>
    </row>
    <row r="9" spans="1:26" ht="17.25" x14ac:dyDescent="0.25">
      <c r="A9" s="37"/>
      <c r="B9" s="60" t="s">
        <v>100</v>
      </c>
      <c r="C9" s="60">
        <v>1</v>
      </c>
      <c r="D9" s="60" t="s">
        <v>166</v>
      </c>
      <c r="E9" s="76">
        <f>Equipment!J21</f>
        <v>0.47661488218689524</v>
      </c>
      <c r="F9" s="76">
        <f>Equipment!J22</f>
        <v>1.4298446465606858</v>
      </c>
      <c r="G9" s="70">
        <f>Equipment!J19</f>
        <v>0.25510204081632654</v>
      </c>
      <c r="H9" s="47" t="s">
        <v>168</v>
      </c>
      <c r="I9" s="63">
        <v>1</v>
      </c>
      <c r="J9" s="63" t="s">
        <v>98</v>
      </c>
      <c r="K9" s="46">
        <v>850</v>
      </c>
      <c r="L9" s="47">
        <v>3.4973999999999998</v>
      </c>
      <c r="M9" s="46">
        <v>0.44850000000000001</v>
      </c>
      <c r="N9" s="47">
        <v>0.1074</v>
      </c>
      <c r="O9" s="55">
        <f t="shared" si="0"/>
        <v>1858.2953857425807</v>
      </c>
      <c r="P9" s="47"/>
      <c r="Q9" s="46"/>
      <c r="R9" s="47"/>
      <c r="S9" s="68">
        <f t="shared" si="5"/>
        <v>0.5445332916780562</v>
      </c>
      <c r="T9" s="47">
        <v>18</v>
      </c>
      <c r="U9" s="47">
        <v>1</v>
      </c>
      <c r="V9" s="47">
        <v>2.25</v>
      </c>
      <c r="W9" s="47">
        <v>1.82</v>
      </c>
      <c r="X9" s="68">
        <f t="shared" si="6"/>
        <v>3.2410505908540621</v>
      </c>
      <c r="Y9" s="55">
        <f t="shared" si="7"/>
        <v>6022.8293579423689</v>
      </c>
      <c r="Z9" s="67">
        <f t="shared" si="3"/>
        <v>9154.7006240724004</v>
      </c>
    </row>
    <row r="10" spans="1:26" ht="17.25" x14ac:dyDescent="0.25">
      <c r="A10" s="37"/>
      <c r="B10" s="60" t="s">
        <v>139</v>
      </c>
      <c r="C10" s="60">
        <v>1</v>
      </c>
      <c r="D10" s="60" t="s">
        <v>172</v>
      </c>
      <c r="E10" s="68">
        <f>Equipment!J32</f>
        <v>0.47661488218689524</v>
      </c>
      <c r="F10" s="68">
        <f>Equipment!J33</f>
        <v>1.4298446465606858</v>
      </c>
      <c r="G10" s="70">
        <f>Equipment!J30</f>
        <v>0.25510204081632654</v>
      </c>
      <c r="H10" s="47" t="s">
        <v>176</v>
      </c>
      <c r="I10" s="63">
        <v>1</v>
      </c>
      <c r="J10" s="63" t="s">
        <v>98</v>
      </c>
      <c r="K10" s="46">
        <v>850</v>
      </c>
      <c r="L10" s="47">
        <v>3.4973999999999998</v>
      </c>
      <c r="M10" s="46">
        <v>0.44850000000000001</v>
      </c>
      <c r="N10" s="47">
        <v>0.1074</v>
      </c>
      <c r="O10" s="55">
        <f t="shared" si="0"/>
        <v>1858.2953857425807</v>
      </c>
      <c r="P10" s="47"/>
      <c r="Q10" s="46"/>
      <c r="R10" s="47"/>
      <c r="S10" s="68">
        <f t="shared" si="5"/>
        <v>0.5445332916780562</v>
      </c>
      <c r="T10" s="47">
        <v>18</v>
      </c>
      <c r="U10" s="47">
        <v>1</v>
      </c>
      <c r="V10" s="47">
        <v>2.25</v>
      </c>
      <c r="W10" s="47">
        <v>1.82</v>
      </c>
      <c r="X10" s="68">
        <f t="shared" si="6"/>
        <v>3.2410505908540621</v>
      </c>
      <c r="Y10" s="55">
        <f t="shared" si="7"/>
        <v>6022.8293579423689</v>
      </c>
      <c r="Z10" s="67">
        <f t="shared" si="3"/>
        <v>9154.7006240724004</v>
      </c>
    </row>
    <row r="11" spans="1:26" ht="17.25" x14ac:dyDescent="0.25">
      <c r="A11" s="37"/>
      <c r="B11" s="60" t="s">
        <v>167</v>
      </c>
      <c r="C11" s="60">
        <v>1</v>
      </c>
      <c r="D11" s="60" t="s">
        <v>181</v>
      </c>
      <c r="E11" s="68">
        <f>Equipment!J43</f>
        <v>0.53318379833390739</v>
      </c>
      <c r="F11" s="68">
        <f>Equipment!J44</f>
        <v>1.5995513950017222</v>
      </c>
      <c r="G11" s="70">
        <f>Equipment!J41</f>
        <v>0.35714285714285715</v>
      </c>
      <c r="H11" s="47" t="s">
        <v>182</v>
      </c>
      <c r="I11" s="63">
        <v>1</v>
      </c>
      <c r="J11" s="63" t="s">
        <v>98</v>
      </c>
      <c r="K11" s="46">
        <v>850</v>
      </c>
      <c r="L11" s="47">
        <v>3.4973999999999998</v>
      </c>
      <c r="M11" s="46">
        <v>0.44850000000000001</v>
      </c>
      <c r="N11" s="47">
        <v>0.1074</v>
      </c>
      <c r="O11" s="55">
        <f t="shared" si="0"/>
        <v>2081.2501670051147</v>
      </c>
      <c r="P11" s="47"/>
      <c r="Q11" s="46"/>
      <c r="R11" s="47"/>
      <c r="S11" s="68">
        <f t="shared" si="5"/>
        <v>0.54981890095472696</v>
      </c>
      <c r="T11" s="47">
        <v>18</v>
      </c>
      <c r="U11" s="47">
        <v>1</v>
      </c>
      <c r="V11" s="47">
        <v>2.25</v>
      </c>
      <c r="W11" s="47">
        <v>1.82</v>
      </c>
      <c r="X11" s="68">
        <f t="shared" si="6"/>
        <v>3.2506703997376034</v>
      </c>
      <c r="Y11" s="55">
        <f t="shared" si="7"/>
        <v>6765.4583123324701</v>
      </c>
      <c r="Z11" s="67">
        <f t="shared" si="3"/>
        <v>10283.496634745356</v>
      </c>
    </row>
    <row r="12" spans="1:26" ht="17.25" x14ac:dyDescent="0.25">
      <c r="A12" s="37"/>
      <c r="B12" s="60" t="s">
        <v>13</v>
      </c>
      <c r="C12" s="60">
        <v>1</v>
      </c>
      <c r="D12" s="60" t="s">
        <v>185</v>
      </c>
      <c r="E12" s="68">
        <f>Equipment!AA10</f>
        <v>1.7677396832887036</v>
      </c>
      <c r="F12" s="84">
        <f>Equipment!AA11</f>
        <v>5.3032190498661107</v>
      </c>
      <c r="G12" s="51">
        <f>Equipment!AA9</f>
        <v>13.01565624845049</v>
      </c>
      <c r="H12" s="47" t="s">
        <v>187</v>
      </c>
      <c r="I12" s="63">
        <v>1</v>
      </c>
      <c r="J12" s="63" t="s">
        <v>98</v>
      </c>
      <c r="K12" s="52">
        <v>850</v>
      </c>
      <c r="L12" s="47">
        <v>3.5565000000000002</v>
      </c>
      <c r="M12" s="46">
        <v>0.33760000000000001</v>
      </c>
      <c r="N12" s="47">
        <v>9.0499999999999997E-2</v>
      </c>
      <c r="O12" s="55">
        <f t="shared" si="0"/>
        <v>11095.525567316614</v>
      </c>
      <c r="P12" s="47"/>
      <c r="Q12" s="46"/>
      <c r="R12" s="47"/>
      <c r="S12" s="68">
        <f t="shared" si="5"/>
        <v>0.6651716508841633</v>
      </c>
      <c r="T12" s="63">
        <v>18</v>
      </c>
      <c r="U12" s="63">
        <v>1</v>
      </c>
      <c r="V12" s="63">
        <v>1.49</v>
      </c>
      <c r="W12" s="63">
        <v>1.52</v>
      </c>
      <c r="X12" s="68">
        <f t="shared" si="6"/>
        <v>2.501060909343928</v>
      </c>
      <c r="Y12" s="67">
        <f>X12*O12*C12</f>
        <v>27750.585265041693</v>
      </c>
      <c r="Z12" s="67">
        <f t="shared" si="3"/>
        <v>42180.889602863375</v>
      </c>
    </row>
    <row r="13" spans="1:26" ht="17.25" x14ac:dyDescent="0.25">
      <c r="A13" s="37"/>
      <c r="B13" s="60" t="s">
        <v>85</v>
      </c>
      <c r="C13" s="60">
        <v>1</v>
      </c>
      <c r="D13" s="60" t="s">
        <v>189</v>
      </c>
      <c r="E13" s="47"/>
      <c r="F13" s="84"/>
      <c r="G13" s="35">
        <f>Equipment!S11</f>
        <v>41.411499999999997</v>
      </c>
      <c r="H13" s="47" t="s">
        <v>191</v>
      </c>
      <c r="I13" s="63">
        <v>1</v>
      </c>
      <c r="J13" s="63" t="s">
        <v>98</v>
      </c>
      <c r="K13" s="52">
        <v>850</v>
      </c>
      <c r="L13" s="47">
        <v>4.3247</v>
      </c>
      <c r="M13" s="46">
        <v>-0.30299999999999999</v>
      </c>
      <c r="N13" s="47">
        <v>0.16339999999999999</v>
      </c>
      <c r="O13" s="55">
        <f t="shared" si="0"/>
        <v>18281.694784975083</v>
      </c>
      <c r="P13" s="47">
        <f t="shared" ref="P13:P14" si="8">IF(I13&lt;5,0,-0.00164)</f>
        <v>0</v>
      </c>
      <c r="Q13" s="52">
        <f t="shared" ref="Q13:Q14" si="9">IF(I13&lt;5,0,-0.00627)</f>
        <v>0</v>
      </c>
      <c r="R13" s="47">
        <f t="shared" ref="R13:R14" si="10">IF(I13&lt;5,0,0.0123)</f>
        <v>0</v>
      </c>
      <c r="S13" s="89">
        <f t="shared" ref="S13:S14" si="11">10^(P13+Q13*LOG(I13)+R13*(LOG(I13))^2)</f>
        <v>1</v>
      </c>
      <c r="T13" s="63">
        <v>2</v>
      </c>
      <c r="U13" s="63">
        <v>1.38</v>
      </c>
      <c r="V13" s="63">
        <v>1.63</v>
      </c>
      <c r="W13" s="63">
        <v>1.66</v>
      </c>
      <c r="X13" s="47">
        <f t="shared" si="6"/>
        <v>3.9207999999999994</v>
      </c>
      <c r="Y13" s="67">
        <f t="shared" ref="Y13:Y18" si="12">O13*(V13+W13*U13*S13)*C13</f>
        <v>71678.868912930295</v>
      </c>
      <c r="Z13" s="67">
        <f t="shared" si="3"/>
        <v>108951.88074765405</v>
      </c>
    </row>
    <row r="14" spans="1:26" ht="17.25" x14ac:dyDescent="0.25">
      <c r="A14" s="37"/>
      <c r="B14" s="60" t="s">
        <v>103</v>
      </c>
      <c r="C14" s="60">
        <v>1</v>
      </c>
      <c r="D14" s="60" t="s">
        <v>197</v>
      </c>
      <c r="E14" s="47"/>
      <c r="F14" s="84"/>
      <c r="G14" s="71">
        <f>Equipment!S17</f>
        <v>577.42499999999995</v>
      </c>
      <c r="H14" s="47" t="s">
        <v>200</v>
      </c>
      <c r="I14" s="63">
        <v>1</v>
      </c>
      <c r="J14" s="63" t="s">
        <v>98</v>
      </c>
      <c r="K14" s="52">
        <v>850</v>
      </c>
      <c r="L14" s="47">
        <v>4.3247</v>
      </c>
      <c r="M14" s="46">
        <v>-0.30299999999999999</v>
      </c>
      <c r="N14" s="47">
        <v>0.16339999999999999</v>
      </c>
      <c r="O14" s="55">
        <f t="shared" si="0"/>
        <v>54204.084277519542</v>
      </c>
      <c r="P14" s="47">
        <f t="shared" si="8"/>
        <v>0</v>
      </c>
      <c r="Q14" s="52">
        <f t="shared" si="9"/>
        <v>0</v>
      </c>
      <c r="R14" s="47">
        <f t="shared" si="10"/>
        <v>0</v>
      </c>
      <c r="S14" s="89">
        <f t="shared" si="11"/>
        <v>1</v>
      </c>
      <c r="T14" s="63">
        <v>2</v>
      </c>
      <c r="U14" s="63">
        <v>1.38</v>
      </c>
      <c r="V14" s="63">
        <v>1.63</v>
      </c>
      <c r="W14" s="63">
        <v>1.66</v>
      </c>
      <c r="X14" s="47">
        <f t="shared" si="6"/>
        <v>3.9207999999999994</v>
      </c>
      <c r="Y14" s="67">
        <f t="shared" si="12"/>
        <v>212523.37363529857</v>
      </c>
      <c r="Z14" s="67">
        <f t="shared" si="3"/>
        <v>323035.52792565385</v>
      </c>
    </row>
    <row r="15" spans="1:26" ht="17.25" x14ac:dyDescent="0.25">
      <c r="A15" s="37"/>
      <c r="B15" s="60" t="s">
        <v>186</v>
      </c>
      <c r="C15" s="60">
        <v>1</v>
      </c>
      <c r="D15" s="60" t="s">
        <v>204</v>
      </c>
      <c r="E15" s="68">
        <f>Equipment!J50</f>
        <v>0.77575964350325732</v>
      </c>
      <c r="F15" s="68">
        <f>Equipment!J51</f>
        <v>2.3272789305097721</v>
      </c>
      <c r="G15" s="51">
        <f>Equipment!J48</f>
        <v>1.1000000000000001</v>
      </c>
      <c r="H15" s="47" t="s">
        <v>207</v>
      </c>
      <c r="I15" s="63">
        <v>1</v>
      </c>
      <c r="J15" s="63" t="s">
        <v>208</v>
      </c>
      <c r="K15" s="46">
        <v>850</v>
      </c>
      <c r="L15" s="47">
        <v>3.3496000000000001</v>
      </c>
      <c r="M15" s="46">
        <v>0.72350000000000003</v>
      </c>
      <c r="N15" s="47">
        <v>2.5000000000000001E-3</v>
      </c>
      <c r="O15" s="55">
        <f t="shared" si="0"/>
        <v>2396.3590584121325</v>
      </c>
      <c r="P15" s="47"/>
      <c r="Q15" s="46"/>
      <c r="R15" s="47"/>
      <c r="S15" s="68">
        <f t="shared" ref="S15:S16" si="13">(I15*E15/(2*K15-1.2*I15)+0.00315)/0.0063</f>
        <v>0.57248437211544811</v>
      </c>
      <c r="T15" s="47">
        <v>20</v>
      </c>
      <c r="U15" s="47">
        <v>3.1</v>
      </c>
      <c r="V15" s="47">
        <v>2.25</v>
      </c>
      <c r="W15" s="47">
        <v>1.82</v>
      </c>
      <c r="X15" s="47">
        <v>4</v>
      </c>
      <c r="Y15" s="67">
        <f t="shared" si="12"/>
        <v>13131.944183227988</v>
      </c>
      <c r="Z15" s="67">
        <f t="shared" ref="Z15:Z24" si="14">Y15*$Z$27*1.2</f>
        <v>23952.666190207849</v>
      </c>
    </row>
    <row r="16" spans="1:26" ht="17.25" x14ac:dyDescent="0.25">
      <c r="A16" s="37"/>
      <c r="B16" s="60" t="s">
        <v>8</v>
      </c>
      <c r="C16" s="60">
        <v>1</v>
      </c>
      <c r="D16" s="60" t="s">
        <v>210</v>
      </c>
      <c r="E16" s="76">
        <f>Equipment!D8</f>
        <v>4.6633333333333331</v>
      </c>
      <c r="F16" s="63">
        <f>Equipment!D6</f>
        <v>13.99</v>
      </c>
      <c r="G16" s="35">
        <f>Equipment!D9</f>
        <v>238.94641300541215</v>
      </c>
      <c r="H16" s="47" t="s">
        <v>211</v>
      </c>
      <c r="I16" s="63">
        <v>1</v>
      </c>
      <c r="J16" s="63" t="s">
        <v>208</v>
      </c>
      <c r="K16" s="46">
        <v>850</v>
      </c>
      <c r="L16" s="47">
        <v>3.4973999999999998</v>
      </c>
      <c r="M16" s="46">
        <v>0.44850000000000001</v>
      </c>
      <c r="N16" s="47">
        <v>0.1074</v>
      </c>
      <c r="O16" s="55">
        <f t="shared" si="0"/>
        <v>148441.67083171487</v>
      </c>
      <c r="P16" s="47"/>
      <c r="Q16" s="46"/>
      <c r="R16" s="47"/>
      <c r="S16" s="68">
        <f t="shared" si="13"/>
        <v>0.93572618331271495</v>
      </c>
      <c r="T16" s="47">
        <v>20</v>
      </c>
      <c r="U16" s="47">
        <v>3.1</v>
      </c>
      <c r="V16" s="47">
        <v>2.25</v>
      </c>
      <c r="W16" s="47">
        <v>1.82</v>
      </c>
      <c r="X16" s="68">
        <f t="shared" ref="X16:X19" si="15">V16+W16*U16*S16</f>
        <v>7.5293671262503379</v>
      </c>
      <c r="Y16" s="67">
        <f t="shared" si="12"/>
        <v>1117671.8365259876</v>
      </c>
      <c r="Z16" s="67">
        <f t="shared" si="14"/>
        <v>2038633.4298234014</v>
      </c>
    </row>
    <row r="17" spans="1:26" ht="17.25" x14ac:dyDescent="0.25">
      <c r="A17" s="37"/>
      <c r="B17" s="60" t="s">
        <v>121</v>
      </c>
      <c r="C17" s="60">
        <v>1</v>
      </c>
      <c r="D17" s="60" t="s">
        <v>212</v>
      </c>
      <c r="E17" s="47"/>
      <c r="F17" s="47"/>
      <c r="G17" s="35">
        <f>Equipment!S23</f>
        <v>68.828999999999994</v>
      </c>
      <c r="H17" s="52" t="s">
        <v>213</v>
      </c>
      <c r="I17" s="63">
        <v>1</v>
      </c>
      <c r="J17" s="63" t="s">
        <v>208</v>
      </c>
      <c r="K17" s="46">
        <v>850</v>
      </c>
      <c r="L17" s="47">
        <v>4.1883999999999997</v>
      </c>
      <c r="M17" s="46">
        <v>-0.25030000000000002</v>
      </c>
      <c r="N17" s="47">
        <v>0.19739999999999999</v>
      </c>
      <c r="O17" s="55">
        <f t="shared" si="0"/>
        <v>24837.354791795795</v>
      </c>
      <c r="P17" s="47">
        <f t="shared" ref="P17:P18" si="16">IF(I17&lt;5,0,-0.00164)</f>
        <v>0</v>
      </c>
      <c r="Q17" s="46">
        <f t="shared" ref="Q17:Q18" si="17">IF(I17&lt;5,0,-0.00627)</f>
        <v>0</v>
      </c>
      <c r="R17" s="47">
        <f t="shared" ref="R17:R18" si="18">IF(I17&lt;5,0,0.0123)</f>
        <v>0</v>
      </c>
      <c r="S17" s="46">
        <f t="shared" ref="S17:S20" si="19">10^(P17+Q17*LOG(I17)+R17*(LOG(I17))^2)</f>
        <v>1</v>
      </c>
      <c r="T17" s="47">
        <v>5</v>
      </c>
      <c r="U17" s="47">
        <v>2.7</v>
      </c>
      <c r="V17" s="47">
        <v>1.63</v>
      </c>
      <c r="W17" s="47">
        <v>1.66</v>
      </c>
      <c r="X17" s="47">
        <f t="shared" si="15"/>
        <v>6.1120000000000001</v>
      </c>
      <c r="Y17" s="67">
        <f t="shared" si="12"/>
        <v>151805.91248745591</v>
      </c>
      <c r="Z17" s="67">
        <f t="shared" si="14"/>
        <v>276893.98437711957</v>
      </c>
    </row>
    <row r="18" spans="1:26" ht="17.25" x14ac:dyDescent="0.25">
      <c r="A18" s="37"/>
      <c r="B18" s="60" t="s">
        <v>144</v>
      </c>
      <c r="C18" s="60">
        <v>1</v>
      </c>
      <c r="D18" s="60" t="s">
        <v>214</v>
      </c>
      <c r="E18" s="47"/>
      <c r="F18" s="47"/>
      <c r="G18" s="35">
        <f>Equipment!S29</f>
        <v>658.06100000000004</v>
      </c>
      <c r="H18" s="52" t="s">
        <v>215</v>
      </c>
      <c r="I18" s="52">
        <v>1</v>
      </c>
      <c r="J18" s="63" t="s">
        <v>208</v>
      </c>
      <c r="K18" s="46">
        <v>850</v>
      </c>
      <c r="L18" s="47">
        <v>4.3247</v>
      </c>
      <c r="M18" s="46">
        <v>-0.30299999999999999</v>
      </c>
      <c r="N18" s="46">
        <v>0.16339999999999999</v>
      </c>
      <c r="O18" s="55">
        <f t="shared" si="0"/>
        <v>58693.517174018547</v>
      </c>
      <c r="P18" s="47">
        <f t="shared" si="16"/>
        <v>0</v>
      </c>
      <c r="Q18" s="46">
        <f t="shared" si="17"/>
        <v>0</v>
      </c>
      <c r="R18" s="47">
        <f t="shared" si="18"/>
        <v>0</v>
      </c>
      <c r="S18" s="46">
        <f t="shared" si="19"/>
        <v>1</v>
      </c>
      <c r="T18" s="46">
        <v>5</v>
      </c>
      <c r="U18" s="46">
        <v>2.7</v>
      </c>
      <c r="V18" s="46">
        <v>1.63</v>
      </c>
      <c r="W18" s="46">
        <v>1.66</v>
      </c>
      <c r="X18" s="47">
        <f t="shared" si="15"/>
        <v>6.1120000000000001</v>
      </c>
      <c r="Y18" s="67">
        <f t="shared" si="12"/>
        <v>358734.77696760138</v>
      </c>
      <c r="Z18" s="67">
        <f t="shared" si="14"/>
        <v>654332.23318890494</v>
      </c>
    </row>
    <row r="19" spans="1:26" x14ac:dyDescent="0.25">
      <c r="A19" s="37"/>
      <c r="B19" s="60" t="s">
        <v>77</v>
      </c>
      <c r="C19" s="60">
        <v>2</v>
      </c>
      <c r="D19" s="60" t="s">
        <v>216</v>
      </c>
      <c r="E19" s="47"/>
      <c r="F19" s="47"/>
      <c r="G19" s="51">
        <f>Equipment!O13</f>
        <v>2.1298570461000002</v>
      </c>
      <c r="H19" s="46" t="s">
        <v>21</v>
      </c>
      <c r="I19" s="52">
        <v>1</v>
      </c>
      <c r="J19" s="63" t="s">
        <v>208</v>
      </c>
      <c r="K19" s="52">
        <v>850</v>
      </c>
      <c r="L19" s="47">
        <v>3.3892000000000002</v>
      </c>
      <c r="M19" s="46">
        <v>5.3600000000000002E-2</v>
      </c>
      <c r="N19" s="47">
        <v>0.15379999999999999</v>
      </c>
      <c r="O19" s="55">
        <f t="shared" si="0"/>
        <v>2650.8269720175099</v>
      </c>
      <c r="P19" s="47">
        <f>IF(I19&lt;10,0,-0.3935)</f>
        <v>0</v>
      </c>
      <c r="Q19" s="46">
        <f>IF(I19&lt;10,0,0.3957)</f>
        <v>0</v>
      </c>
      <c r="R19" s="46">
        <f>IF(I19&lt;10,0,-0.00226)</f>
        <v>0</v>
      </c>
      <c r="S19" s="46">
        <f t="shared" si="19"/>
        <v>1</v>
      </c>
      <c r="T19" s="52">
        <v>39</v>
      </c>
      <c r="U19" s="52">
        <v>2.2999999999999998</v>
      </c>
      <c r="V19" s="52">
        <v>1.89</v>
      </c>
      <c r="W19" s="52">
        <v>1.35</v>
      </c>
      <c r="X19" s="47">
        <f t="shared" si="15"/>
        <v>4.9950000000000001</v>
      </c>
      <c r="Y19" s="95">
        <f t="shared" ref="Y19:Y21" si="20">X19*O19*C19</f>
        <v>26481.761450454924</v>
      </c>
      <c r="Z19" s="67">
        <f t="shared" si="14"/>
        <v>48302.732885629783</v>
      </c>
    </row>
    <row r="20" spans="1:26" x14ac:dyDescent="0.25">
      <c r="A20" s="37"/>
      <c r="B20" s="60" t="s">
        <v>77</v>
      </c>
      <c r="C20" s="60">
        <v>2</v>
      </c>
      <c r="D20" s="61" t="s">
        <v>119</v>
      </c>
      <c r="E20" s="47"/>
      <c r="F20" s="47"/>
      <c r="G20" s="51">
        <f>G19</f>
        <v>2.1298570461000002</v>
      </c>
      <c r="H20" s="46" t="s">
        <v>21</v>
      </c>
      <c r="I20" s="52">
        <v>1</v>
      </c>
      <c r="J20" s="63"/>
      <c r="K20" s="52">
        <v>850</v>
      </c>
      <c r="L20" s="47">
        <v>2.4603999999999999</v>
      </c>
      <c r="M20" s="46">
        <v>1.4191</v>
      </c>
      <c r="N20" s="46">
        <v>-0.17979999999999999</v>
      </c>
      <c r="O20" s="55">
        <f t="shared" si="0"/>
        <v>807.19259599000884</v>
      </c>
      <c r="P20" s="47">
        <f t="shared" ref="P20:R20" si="21">P19</f>
        <v>0</v>
      </c>
      <c r="Q20" s="46">
        <f t="shared" si="21"/>
        <v>0</v>
      </c>
      <c r="R20" s="46">
        <f t="shared" si="21"/>
        <v>0</v>
      </c>
      <c r="S20" s="46">
        <f t="shared" si="19"/>
        <v>1</v>
      </c>
      <c r="T20" s="52">
        <v>13</v>
      </c>
      <c r="U20" s="52"/>
      <c r="V20" s="52"/>
      <c r="W20" s="52"/>
      <c r="X20" s="52">
        <v>1.5</v>
      </c>
      <c r="Y20" s="95">
        <f t="shared" si="20"/>
        <v>2421.5777879700263</v>
      </c>
      <c r="Z20" s="67">
        <f t="shared" si="14"/>
        <v>4416.9578852573277</v>
      </c>
    </row>
    <row r="21" spans="1:26" ht="15.75" customHeight="1" x14ac:dyDescent="0.25">
      <c r="A21" s="37"/>
      <c r="B21" s="60" t="s">
        <v>99</v>
      </c>
      <c r="C21" s="60">
        <v>1</v>
      </c>
      <c r="D21" s="60" t="s">
        <v>217</v>
      </c>
      <c r="E21" s="68">
        <f>Equipment!AA16</f>
        <v>1.5407515895457125</v>
      </c>
      <c r="F21" s="68">
        <f>Equipment!AA17</f>
        <v>4.6222547686371378</v>
      </c>
      <c r="G21" s="35">
        <f>Equipment!AA15</f>
        <v>8.6180500000000002</v>
      </c>
      <c r="H21" s="47" t="s">
        <v>218</v>
      </c>
      <c r="I21" s="52">
        <v>1</v>
      </c>
      <c r="J21" s="63" t="s">
        <v>208</v>
      </c>
      <c r="K21" s="46">
        <v>850</v>
      </c>
      <c r="L21" s="47">
        <v>3.5565000000000002</v>
      </c>
      <c r="M21" s="46">
        <v>0.33760000000000001</v>
      </c>
      <c r="N21" s="46">
        <v>9.0499999999999997E-2</v>
      </c>
      <c r="O21" s="55">
        <f t="shared" si="0"/>
        <v>8942.9474325705396</v>
      </c>
      <c r="P21" s="47"/>
      <c r="Q21" s="46"/>
      <c r="R21" s="47"/>
      <c r="S21" s="68">
        <f t="shared" ref="S21:S23" si="22">(I21*E21/(2*K21-1.2*I21)+0.00315)/0.0063</f>
        <v>0.64396264679322779</v>
      </c>
      <c r="T21" s="46">
        <v>20</v>
      </c>
      <c r="U21" s="46">
        <v>3.1</v>
      </c>
      <c r="V21" s="46">
        <v>1.49</v>
      </c>
      <c r="W21" s="46">
        <v>1.52</v>
      </c>
      <c r="X21" s="68">
        <f>V21+W21*U21*S21</f>
        <v>4.5243519916896897</v>
      </c>
      <c r="Y21" s="95">
        <f t="shared" si="20"/>
        <v>40461.042028126722</v>
      </c>
      <c r="Z21" s="67">
        <f t="shared" si="14"/>
        <v>73800.940659303131</v>
      </c>
    </row>
    <row r="22" spans="1:26" ht="15.75" customHeight="1" x14ac:dyDescent="0.25">
      <c r="A22" s="37"/>
      <c r="B22" s="60" t="s">
        <v>110</v>
      </c>
      <c r="C22" s="61">
        <f>Equipment!AA21</f>
        <v>2</v>
      </c>
      <c r="D22" s="61" t="s">
        <v>219</v>
      </c>
      <c r="E22" s="76">
        <f>Equipment!AA24</f>
        <v>31.857093005702357</v>
      </c>
      <c r="F22" s="76">
        <f>Equipment!AA25</f>
        <v>23.892819754276768</v>
      </c>
      <c r="G22" s="96">
        <f>Equipment!AA23</f>
        <v>19044.5</v>
      </c>
      <c r="H22" s="47" t="s">
        <v>220</v>
      </c>
      <c r="I22" s="52">
        <v>1</v>
      </c>
      <c r="J22" s="63" t="s">
        <v>98</v>
      </c>
      <c r="K22" s="46">
        <v>850</v>
      </c>
      <c r="L22" s="47">
        <v>5.9566999999999997</v>
      </c>
      <c r="M22" s="46">
        <v>-0.75849999999999995</v>
      </c>
      <c r="N22" s="46">
        <v>0.1749</v>
      </c>
      <c r="O22" s="55">
        <f t="shared" si="0"/>
        <v>820423.26496854855</v>
      </c>
      <c r="P22" s="47"/>
      <c r="Q22" s="46"/>
      <c r="R22" s="47"/>
      <c r="S22" s="68">
        <f t="shared" si="22"/>
        <v>3.4766196311964706</v>
      </c>
      <c r="T22" s="52">
        <v>18</v>
      </c>
      <c r="U22" s="52">
        <v>1</v>
      </c>
      <c r="V22" s="46">
        <v>2.25</v>
      </c>
      <c r="W22" s="46">
        <v>1.82</v>
      </c>
      <c r="X22" s="46"/>
      <c r="Y22" s="67">
        <f t="shared" ref="Y22:Y23" si="23">O22*(V22+W22*U22*S22)*C22</f>
        <v>14074275.341481522</v>
      </c>
      <c r="Z22" s="67">
        <f t="shared" si="14"/>
        <v>25671478.222862296</v>
      </c>
    </row>
    <row r="23" spans="1:26" ht="15.75" customHeight="1" x14ac:dyDescent="0.25">
      <c r="A23" s="37"/>
      <c r="B23" s="60" t="s">
        <v>221</v>
      </c>
      <c r="C23" s="60">
        <f>Equipment!AA29</f>
        <v>2</v>
      </c>
      <c r="D23" s="61" t="s">
        <v>222</v>
      </c>
      <c r="E23" s="76">
        <f>Equipment!AA32</f>
        <v>29.593161967392074</v>
      </c>
      <c r="F23" s="76">
        <f>Equipment!AA33</f>
        <v>22.194871475544055</v>
      </c>
      <c r="G23" s="96">
        <f>Equipment!AA31</f>
        <v>15266</v>
      </c>
      <c r="H23" s="47" t="s">
        <v>223</v>
      </c>
      <c r="I23" s="52">
        <v>1</v>
      </c>
      <c r="J23" s="63" t="s">
        <v>208</v>
      </c>
      <c r="K23" s="46">
        <v>850</v>
      </c>
      <c r="L23" s="47">
        <v>4.8509000000000002</v>
      </c>
      <c r="M23" s="46">
        <v>-0.39729999999999999</v>
      </c>
      <c r="N23" s="46">
        <v>0.14449999999999999</v>
      </c>
      <c r="O23" s="55">
        <f t="shared" si="0"/>
        <v>522360.04005649372</v>
      </c>
      <c r="P23" s="47"/>
      <c r="Q23" s="46"/>
      <c r="R23" s="47"/>
      <c r="S23" s="68">
        <f t="shared" si="22"/>
        <v>3.2650855288506242</v>
      </c>
      <c r="T23" s="46">
        <v>20</v>
      </c>
      <c r="U23" s="46">
        <v>3.1</v>
      </c>
      <c r="V23" s="46">
        <v>2.25</v>
      </c>
      <c r="W23" s="46">
        <v>1.82</v>
      </c>
      <c r="X23" s="46"/>
      <c r="Y23" s="67">
        <f t="shared" si="23"/>
        <v>21596048.723244686</v>
      </c>
      <c r="Z23" s="67">
        <f t="shared" si="14"/>
        <v>39391192.871198304</v>
      </c>
    </row>
    <row r="24" spans="1:26" ht="15.75" customHeight="1" x14ac:dyDescent="0.25">
      <c r="A24" s="37"/>
      <c r="B24" s="61" t="s">
        <v>224</v>
      </c>
      <c r="C24" s="60">
        <f>Equipment!D5</f>
        <v>18</v>
      </c>
      <c r="D24" s="60" t="s">
        <v>225</v>
      </c>
      <c r="E24" s="47"/>
      <c r="F24" s="47"/>
      <c r="G24" s="35">
        <f>Equipment!D11</f>
        <v>17.079800786662769</v>
      </c>
      <c r="H24" s="52" t="s">
        <v>226</v>
      </c>
      <c r="I24" s="52">
        <v>1</v>
      </c>
      <c r="J24" s="63" t="s">
        <v>208</v>
      </c>
      <c r="K24" s="46">
        <v>850</v>
      </c>
      <c r="L24" s="47">
        <v>2.9948999999999999</v>
      </c>
      <c r="M24" s="46">
        <v>0.44650000000000001</v>
      </c>
      <c r="N24" s="46">
        <v>0.39610000000000001</v>
      </c>
      <c r="O24" s="55">
        <f t="shared" si="0"/>
        <v>14024.421581082113</v>
      </c>
      <c r="P24" s="47">
        <v>0</v>
      </c>
      <c r="Q24" s="46">
        <v>0</v>
      </c>
      <c r="R24" s="47">
        <v>0</v>
      </c>
      <c r="S24" s="46">
        <f>10^(P24+Q24*LOG(I24)+R24*(LOG(I24))^2)</f>
        <v>1</v>
      </c>
      <c r="T24" s="46">
        <v>61</v>
      </c>
      <c r="U24" s="46"/>
      <c r="V24" s="46"/>
      <c r="W24" s="46"/>
      <c r="X24" s="46">
        <v>1.8</v>
      </c>
      <c r="Y24" s="67">
        <f>O24*C24*X24</f>
        <v>454391.25922706048</v>
      </c>
      <c r="Z24" s="67">
        <f t="shared" si="14"/>
        <v>828809.6568301582</v>
      </c>
    </row>
    <row r="25" spans="1:26" ht="15.75" customHeight="1" x14ac:dyDescent="0.25">
      <c r="B25" s="97" t="s">
        <v>227</v>
      </c>
      <c r="C25" s="98"/>
      <c r="D25" s="99"/>
      <c r="E25" s="100"/>
      <c r="F25" s="101"/>
      <c r="G25" s="102"/>
      <c r="H25" s="99"/>
      <c r="I25" s="99"/>
      <c r="J25" s="103"/>
      <c r="K25" s="104"/>
      <c r="L25" s="103"/>
      <c r="M25" s="99"/>
      <c r="N25" s="99"/>
      <c r="O25" s="105">
        <f>SUM(O4:O24)</f>
        <v>5343121.5063869087</v>
      </c>
      <c r="P25" s="106"/>
      <c r="Q25" s="99"/>
      <c r="R25" s="103"/>
      <c r="S25" s="107"/>
      <c r="T25" s="99"/>
      <c r="U25" s="99"/>
      <c r="V25" s="99"/>
      <c r="W25" s="99"/>
      <c r="X25" s="99"/>
      <c r="Y25" s="108">
        <f t="shared" ref="Y25:Z25" si="24">SUM(Y4:Y24)</f>
        <v>45900758.356527649</v>
      </c>
      <c r="Z25" s="109">
        <f t="shared" si="24"/>
        <v>81271121.651238799</v>
      </c>
    </row>
    <row r="26" spans="1:26" ht="15.75" customHeight="1" x14ac:dyDescent="0.25">
      <c r="B26" s="110"/>
      <c r="C26" s="110"/>
      <c r="D26" s="110"/>
      <c r="E26" s="4"/>
      <c r="F26" s="4"/>
      <c r="G26" s="110"/>
      <c r="H26" s="110"/>
      <c r="I26" s="110"/>
      <c r="J26" s="110"/>
      <c r="K26" s="4"/>
      <c r="L26" s="110"/>
      <c r="M26" s="110"/>
      <c r="N26" s="110"/>
      <c r="O26" s="111"/>
      <c r="P26" s="110"/>
      <c r="Q26" s="110"/>
      <c r="R26" s="110"/>
      <c r="S26" s="110"/>
      <c r="T26" s="110"/>
      <c r="U26" s="110"/>
      <c r="V26" s="110"/>
      <c r="W26" s="110"/>
      <c r="X26" s="110"/>
      <c r="Y26" s="111"/>
      <c r="Z26" s="111"/>
    </row>
    <row r="27" spans="1:26" ht="15.75" customHeight="1" x14ac:dyDescent="0.25">
      <c r="A27" s="4" t="s">
        <v>228</v>
      </c>
      <c r="B27" s="4" t="s">
        <v>229</v>
      </c>
      <c r="C27" s="4" t="s">
        <v>230</v>
      </c>
      <c r="D27" s="110"/>
      <c r="E27" s="4"/>
      <c r="F27" s="4"/>
      <c r="G27" s="110"/>
      <c r="H27" s="110"/>
      <c r="I27" s="110"/>
      <c r="J27" s="110"/>
      <c r="K27" s="4"/>
      <c r="L27" s="110"/>
      <c r="M27" s="110"/>
      <c r="N27" s="110"/>
      <c r="O27" s="111"/>
      <c r="P27" s="110"/>
      <c r="Q27" s="110"/>
      <c r="R27" s="110"/>
      <c r="S27" s="110"/>
      <c r="T27" s="110"/>
      <c r="U27" s="110"/>
      <c r="V27" s="110"/>
      <c r="W27" s="110"/>
      <c r="X27" s="110"/>
      <c r="Y27" s="112" t="s">
        <v>231</v>
      </c>
      <c r="Z27" s="113">
        <v>1.52</v>
      </c>
    </row>
    <row r="28" spans="1:26" ht="15.75" customHeight="1" x14ac:dyDescent="0.25">
      <c r="A28" s="4" t="s">
        <v>22</v>
      </c>
      <c r="B28" s="110" t="s">
        <v>232</v>
      </c>
      <c r="C28" s="114">
        <v>43773</v>
      </c>
      <c r="D28" s="110"/>
      <c r="E28" s="4"/>
      <c r="F28" s="4"/>
      <c r="G28" s="110"/>
      <c r="H28" s="110"/>
      <c r="I28" s="110"/>
      <c r="J28" s="110"/>
      <c r="K28" s="4"/>
      <c r="L28" s="110"/>
      <c r="M28" s="110"/>
      <c r="N28" s="110"/>
      <c r="O28" s="111"/>
      <c r="P28" s="110"/>
      <c r="Q28" s="110"/>
      <c r="R28" s="110"/>
      <c r="S28" s="110"/>
      <c r="T28" s="110"/>
      <c r="U28" s="110"/>
      <c r="V28" s="110"/>
      <c r="W28" s="110"/>
      <c r="X28" s="110"/>
      <c r="Y28" s="111"/>
      <c r="Z28" s="111"/>
    </row>
    <row r="29" spans="1:26" ht="15.75" customHeight="1" x14ac:dyDescent="0.25">
      <c r="A29" s="115" t="s">
        <v>233</v>
      </c>
      <c r="B29" s="110" t="s">
        <v>232</v>
      </c>
      <c r="C29" s="114">
        <v>43782</v>
      </c>
      <c r="D29" s="110"/>
      <c r="E29" s="4"/>
      <c r="F29" s="4"/>
      <c r="G29" s="110"/>
      <c r="H29" s="110"/>
      <c r="I29" s="110" t="s">
        <v>234</v>
      </c>
      <c r="J29" s="110"/>
      <c r="K29" s="4"/>
      <c r="L29" s="110"/>
      <c r="M29" s="110"/>
      <c r="N29" s="110"/>
      <c r="O29" s="111"/>
      <c r="P29" s="110"/>
      <c r="Q29" s="110"/>
      <c r="R29" s="110"/>
      <c r="S29" s="110"/>
      <c r="T29" s="110"/>
      <c r="U29" s="110"/>
      <c r="V29" s="110"/>
      <c r="W29" s="110"/>
      <c r="X29" s="110"/>
      <c r="Y29" s="111"/>
      <c r="Z29" s="111"/>
    </row>
    <row r="30" spans="1:26" ht="15.75" customHeight="1" x14ac:dyDescent="0.25">
      <c r="A30" s="115" t="s">
        <v>235</v>
      </c>
      <c r="B30" s="116" t="s">
        <v>236</v>
      </c>
      <c r="C30" s="117">
        <v>43785</v>
      </c>
      <c r="D30" s="110"/>
      <c r="E30" s="4"/>
      <c r="F30" s="4"/>
      <c r="G30" s="116" t="s">
        <v>237</v>
      </c>
      <c r="H30" s="110"/>
      <c r="I30" s="110"/>
      <c r="J30" s="110"/>
      <c r="K30" s="4"/>
      <c r="L30" s="110"/>
      <c r="M30" s="110"/>
      <c r="N30" s="110"/>
      <c r="O30" s="111"/>
      <c r="P30" s="110"/>
      <c r="Q30" s="110"/>
      <c r="R30" s="110"/>
      <c r="S30" s="110"/>
      <c r="T30" s="110"/>
      <c r="U30" s="110"/>
      <c r="V30" s="110"/>
      <c r="W30" s="110"/>
      <c r="X30" s="110"/>
      <c r="Y30" s="111"/>
      <c r="Z30" s="111"/>
    </row>
    <row r="31" spans="1:26" ht="15.75" customHeight="1" x14ac:dyDescent="0.25">
      <c r="A31" s="115" t="s">
        <v>86</v>
      </c>
      <c r="B31" s="110" t="s">
        <v>238</v>
      </c>
      <c r="C31" s="114">
        <v>43785</v>
      </c>
      <c r="D31" s="110"/>
      <c r="E31" s="118" t="s">
        <v>239</v>
      </c>
      <c r="F31" s="118" t="s">
        <v>240</v>
      </c>
      <c r="G31" s="116" t="s">
        <v>241</v>
      </c>
      <c r="H31" s="110"/>
      <c r="J31" s="110"/>
      <c r="K31" s="4"/>
      <c r="L31" s="110"/>
      <c r="M31" s="110"/>
      <c r="N31" s="110"/>
      <c r="O31" s="111"/>
      <c r="P31" s="110"/>
      <c r="Q31" s="110"/>
      <c r="R31" s="110"/>
      <c r="S31" s="110"/>
      <c r="T31" s="110"/>
      <c r="U31" s="110"/>
      <c r="V31" s="110"/>
      <c r="W31" s="110"/>
      <c r="X31" s="110"/>
      <c r="Y31" s="111"/>
      <c r="Z31" s="111"/>
    </row>
    <row r="32" spans="1:26" ht="15.75" customHeight="1" x14ac:dyDescent="0.25">
      <c r="A32" s="115" t="s">
        <v>242</v>
      </c>
      <c r="B32" s="116" t="s">
        <v>236</v>
      </c>
      <c r="C32" s="117">
        <v>43786</v>
      </c>
      <c r="D32" s="116"/>
      <c r="E32" s="118" t="s">
        <v>243</v>
      </c>
      <c r="F32" s="118">
        <v>4.17</v>
      </c>
      <c r="G32" s="116"/>
      <c r="H32" s="110"/>
      <c r="I32" s="110"/>
      <c r="J32" s="110"/>
      <c r="K32" s="4"/>
      <c r="L32" s="110"/>
      <c r="M32" s="110"/>
      <c r="N32" s="110"/>
      <c r="O32" s="111"/>
      <c r="P32" s="110"/>
      <c r="Q32" s="110"/>
      <c r="R32" s="110"/>
      <c r="S32" s="110"/>
      <c r="T32" s="110"/>
      <c r="U32" s="110"/>
      <c r="V32" s="110"/>
      <c r="W32" s="110"/>
      <c r="X32" s="110"/>
      <c r="Y32" s="111"/>
      <c r="Z32" s="111"/>
    </row>
    <row r="33" spans="2:26" ht="15.75" customHeight="1" x14ac:dyDescent="0.25">
      <c r="B33" s="110"/>
      <c r="C33" s="116"/>
      <c r="D33" s="116"/>
      <c r="E33" s="118" t="s">
        <v>244</v>
      </c>
      <c r="F33" s="118">
        <v>231.53</v>
      </c>
      <c r="G33" s="116"/>
      <c r="H33" s="110"/>
      <c r="I33" s="110"/>
      <c r="J33" s="110"/>
      <c r="K33" s="4"/>
      <c r="L33" s="110"/>
      <c r="M33" s="110"/>
      <c r="N33" s="110"/>
      <c r="O33" s="111"/>
      <c r="P33" s="110"/>
      <c r="Q33" s="110"/>
      <c r="R33" s="110"/>
      <c r="S33" s="110"/>
      <c r="T33" s="110"/>
      <c r="U33" s="110"/>
      <c r="V33" s="110"/>
      <c r="W33" s="110"/>
      <c r="X33" s="110"/>
      <c r="Y33" s="111"/>
      <c r="Z33" s="111"/>
    </row>
    <row r="34" spans="2:26" ht="15.75" customHeight="1" x14ac:dyDescent="0.25">
      <c r="B34" s="110"/>
      <c r="C34" s="119"/>
      <c r="D34" s="116"/>
      <c r="E34" s="118" t="s">
        <v>245</v>
      </c>
      <c r="F34" s="118">
        <v>68.09</v>
      </c>
      <c r="G34" s="116"/>
      <c r="H34" s="110"/>
      <c r="I34" s="110"/>
      <c r="J34" s="110"/>
      <c r="K34" s="4"/>
      <c r="L34" s="110"/>
      <c r="M34" s="110"/>
      <c r="N34" s="110"/>
      <c r="O34" s="111"/>
      <c r="P34" s="110"/>
      <c r="Q34" s="110"/>
      <c r="R34" s="110"/>
      <c r="S34" s="110"/>
      <c r="T34" s="110"/>
      <c r="U34" s="110"/>
      <c r="V34" s="110"/>
      <c r="W34" s="110"/>
      <c r="X34" s="110"/>
      <c r="Y34" s="111"/>
      <c r="Z34" s="111"/>
    </row>
    <row r="35" spans="2:26" ht="15.75" customHeight="1" x14ac:dyDescent="0.25">
      <c r="B35" s="110"/>
      <c r="C35" s="119"/>
      <c r="D35" s="116"/>
      <c r="E35" s="4" t="s">
        <v>246</v>
      </c>
      <c r="F35" s="118">
        <v>7.61</v>
      </c>
      <c r="G35" s="116"/>
      <c r="H35" s="110"/>
      <c r="I35" s="110"/>
      <c r="J35" s="110"/>
      <c r="K35" s="4"/>
      <c r="L35" s="110"/>
      <c r="M35" s="110"/>
      <c r="N35" s="110"/>
      <c r="O35" s="111"/>
      <c r="P35" s="110"/>
      <c r="Q35" s="110"/>
      <c r="R35" s="110"/>
      <c r="S35" s="110"/>
      <c r="T35" s="110"/>
      <c r="U35" s="110"/>
      <c r="V35" s="110"/>
      <c r="W35" s="110"/>
      <c r="X35" s="110"/>
      <c r="Y35" s="111"/>
      <c r="Z35" s="111"/>
    </row>
    <row r="36" spans="2:26" ht="15.75" customHeight="1" x14ac:dyDescent="0.25">
      <c r="B36" s="110"/>
      <c r="C36" s="119"/>
      <c r="D36" s="116"/>
      <c r="E36" s="4" t="s">
        <v>247</v>
      </c>
      <c r="F36" s="118">
        <v>0</v>
      </c>
      <c r="G36" s="116"/>
      <c r="H36" s="110"/>
      <c r="I36" s="110"/>
      <c r="J36" s="110"/>
      <c r="K36" s="4"/>
      <c r="L36" s="110"/>
      <c r="M36" s="110"/>
      <c r="N36" s="110"/>
      <c r="O36" s="111"/>
      <c r="P36" s="110"/>
      <c r="Q36" s="110"/>
      <c r="R36" s="110"/>
      <c r="S36" s="110"/>
      <c r="T36" s="110"/>
      <c r="U36" s="110"/>
      <c r="V36" s="110"/>
      <c r="W36" s="110"/>
      <c r="X36" s="110"/>
      <c r="Y36" s="111"/>
      <c r="Z36" s="111"/>
    </row>
    <row r="37" spans="2:26" ht="15.75" customHeight="1" x14ac:dyDescent="0.25">
      <c r="B37" s="110"/>
      <c r="C37" s="110"/>
      <c r="D37" s="116"/>
      <c r="E37" s="2" t="s">
        <v>227</v>
      </c>
      <c r="F37" s="4">
        <f>SUM(F32:F36)</f>
        <v>311.39999999999998</v>
      </c>
      <c r="G37" s="110"/>
      <c r="H37" s="110"/>
      <c r="I37" s="110"/>
      <c r="J37" s="110"/>
      <c r="K37" s="4"/>
      <c r="L37" s="110"/>
      <c r="M37" s="110"/>
      <c r="N37" s="110"/>
      <c r="O37" s="111"/>
      <c r="P37" s="110"/>
      <c r="Q37" s="110"/>
      <c r="R37" s="110"/>
      <c r="S37" s="110"/>
      <c r="T37" s="110"/>
      <c r="U37" s="110"/>
      <c r="V37" s="110"/>
      <c r="W37" s="110"/>
      <c r="X37" s="110"/>
      <c r="Y37" s="111"/>
      <c r="Z37" s="111"/>
    </row>
    <row r="38" spans="2:26" ht="15.75" customHeight="1" x14ac:dyDescent="0.25">
      <c r="B38" s="116"/>
      <c r="D38" s="110"/>
      <c r="E38" s="2" t="s">
        <v>248</v>
      </c>
      <c r="F38" s="2"/>
      <c r="G38" s="62"/>
      <c r="H38" s="110"/>
      <c r="I38" s="110"/>
      <c r="J38" s="110"/>
      <c r="K38" s="4"/>
      <c r="L38" s="110"/>
      <c r="M38" s="110"/>
      <c r="N38" s="110"/>
      <c r="O38" s="111"/>
      <c r="P38" s="110"/>
      <c r="Q38" s="110"/>
      <c r="R38" s="110"/>
      <c r="S38" s="110"/>
      <c r="T38" s="110"/>
      <c r="U38" s="110"/>
      <c r="V38" s="110"/>
      <c r="W38" s="110"/>
      <c r="X38" s="110"/>
      <c r="Y38" s="111"/>
      <c r="Z38" s="111"/>
    </row>
    <row r="39" spans="2:26" ht="15.75" customHeight="1" x14ac:dyDescent="0.2"/>
    <row r="40" spans="2:26" ht="15.75" customHeight="1" x14ac:dyDescent="0.2"/>
    <row r="41" spans="2:26" ht="15.75" customHeight="1" x14ac:dyDescent="0.2"/>
    <row r="42" spans="2:26" ht="15.75" customHeight="1" x14ac:dyDescent="0.2"/>
    <row r="43" spans="2:26" ht="15.75" customHeight="1" x14ac:dyDescent="0.2"/>
    <row r="44" spans="2:26" ht="15.75" customHeight="1" x14ac:dyDescent="0.2"/>
    <row r="45" spans="2:26" ht="15.75" customHeight="1" x14ac:dyDescent="0.2"/>
    <row r="46" spans="2:26" ht="15.75" customHeight="1" x14ac:dyDescent="0.2"/>
    <row r="47" spans="2:26" ht="15.75" customHeight="1" x14ac:dyDescent="0.2"/>
    <row r="48" spans="2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L2:O2"/>
    <mergeCell ref="P2:S2"/>
    <mergeCell ref="T2:U2"/>
    <mergeCell ref="V2:Z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Base Case</vt:lpstr>
      <vt:lpstr>Equipment</vt:lpstr>
      <vt:lpstr>Costing</vt:lpstr>
      <vt:lpstr>'Base Case'!solver_adj</vt:lpstr>
      <vt:lpstr>'Base Case'!solver_opt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Sharp</dc:creator>
  <cp:lastModifiedBy>Patrick Sharp</cp:lastModifiedBy>
  <dcterms:created xsi:type="dcterms:W3CDTF">2019-10-02T22:47:05Z</dcterms:created>
  <dcterms:modified xsi:type="dcterms:W3CDTF">2024-03-21T01:33:21Z</dcterms:modified>
</cp:coreProperties>
</file>