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TD3\examples\EEE-Kenji\"/>
    </mc:Choice>
  </mc:AlternateContent>
  <xr:revisionPtr revIDLastSave="0" documentId="13_ncr:1_{3CB9EBD3-D589-4BCF-949B-8A4061C6A8F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ulti-Stage" sheetId="9" r:id="rId1"/>
  </sheets>
  <definedNames>
    <definedName name="solver_adj" localSheetId="0" hidden="1">'Multi-Stage'!$B$16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0" localSheetId="0" hidden="1">'Multi-Stage'!$I$4</definedName>
    <definedName name="solver_lhs1" localSheetId="0" hidden="1">'Multi-Stage'!$B$15</definedName>
    <definedName name="solver_lhs2" localSheetId="0" hidden="1">'Multi-Stage'!#REF!</definedName>
    <definedName name="solver_lhs3" localSheetId="0" hidden="1">'Multi-Stage'!#REF!</definedName>
    <definedName name="solver_lhs4" localSheetId="0" hidden="1">'Multi-Stage'!#REF!</definedName>
    <definedName name="solver_lhs5" localSheetId="0" hidden="1">'Multi-Stage'!#REF!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'Multi-Stage'!$R$35</definedName>
    <definedName name="solver_pre" localSheetId="0" hidden="1">0.000001</definedName>
    <definedName name="solver_rbv" localSheetId="0" hidden="1">2</definedName>
    <definedName name="solver_rel0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0" localSheetId="0" hidden="1">0.3</definedName>
    <definedName name="solver_rhs1" localSheetId="0" hidden="1">1</definedName>
    <definedName name="solver_rhs2" localSheetId="0" hidden="1">'Multi-Stage'!#REF!</definedName>
    <definedName name="solver_rhs3" localSheetId="0" hidden="1">'Multi-Stage'!#REF!</definedName>
    <definedName name="solver_rhs4" localSheetId="0" hidden="1">'Multi-Stage'!#REF!</definedName>
    <definedName name="solver_rhs5" localSheetId="0" hidden="1">'Multi-Stage'!#REF!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41.6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U10" i="9"/>
  <c r="U22" i="9" s="1"/>
  <c r="L4" i="9" l="1"/>
  <c r="L13" i="9"/>
  <c r="O10" i="9"/>
  <c r="O22" i="9" s="1"/>
  <c r="O4" i="9"/>
  <c r="AB5" i="9" l="1"/>
  <c r="C14" i="9"/>
  <c r="I6" i="9"/>
  <c r="I8" i="9" s="1"/>
  <c r="I5" i="9" s="1"/>
  <c r="AE16" i="9"/>
  <c r="AE15" i="9"/>
  <c r="I10" i="9"/>
  <c r="I7" i="9"/>
  <c r="AE8" i="9"/>
  <c r="AE10" i="9" s="1"/>
  <c r="AE12" i="9" s="1"/>
  <c r="L22" i="9" l="1"/>
  <c r="R22" i="9"/>
  <c r="I9" i="9"/>
  <c r="L41" i="9" l="1"/>
  <c r="L44" i="9"/>
  <c r="L5" i="9"/>
  <c r="L14" i="9" s="1"/>
  <c r="L15" i="9" s="1"/>
  <c r="L16" i="9" l="1"/>
  <c r="L17" i="9"/>
  <c r="L6" i="9"/>
  <c r="L32" i="9" s="1"/>
  <c r="L25" i="9" l="1"/>
  <c r="AD6" i="9" s="1"/>
  <c r="AD8" i="9"/>
  <c r="AD14" i="9" s="1"/>
  <c r="L7" i="9"/>
  <c r="L35" i="9" s="1"/>
  <c r="AE5" i="9"/>
  <c r="AE7" i="9" s="1"/>
  <c r="L12" i="9"/>
  <c r="L23" i="9"/>
  <c r="L11" i="9" s="1"/>
  <c r="L10" i="9" s="1"/>
  <c r="AG6" i="9" l="1"/>
  <c r="L31" i="9"/>
  <c r="AD13" i="9"/>
  <c r="L24" i="9"/>
  <c r="L27" i="9" l="1"/>
  <c r="AA5" i="9"/>
  <c r="L26" i="9" l="1"/>
  <c r="O31" i="9" s="1"/>
  <c r="O30" i="9"/>
  <c r="L28" i="9"/>
  <c r="O5" i="9" l="1"/>
  <c r="O23" i="9" s="1"/>
  <c r="O24" i="9" s="1"/>
  <c r="O6" i="9" s="1"/>
  <c r="O29" i="9"/>
  <c r="O16" i="9" l="1"/>
  <c r="O25" i="9"/>
  <c r="O26" i="9" l="1"/>
  <c r="O19" i="9" s="1"/>
  <c r="O27" i="9"/>
  <c r="AE9" i="9" l="1"/>
  <c r="AE11" i="9" s="1"/>
  <c r="O17" i="9"/>
  <c r="O28" i="9" s="1"/>
  <c r="AD12" i="9"/>
  <c r="AD15" i="9" s="1"/>
  <c r="O14" i="9"/>
  <c r="O7" i="9"/>
  <c r="L40" i="9"/>
  <c r="O15" i="9" l="1"/>
  <c r="O18" i="9" s="1"/>
  <c r="O11" i="9" s="1"/>
  <c r="O12" i="9" s="1"/>
  <c r="AD10" i="9"/>
  <c r="AD16" i="9" s="1"/>
  <c r="O32" i="9"/>
  <c r="O35" i="9"/>
  <c r="L36" i="9" l="1"/>
  <c r="R4" i="9"/>
  <c r="O13" i="9"/>
  <c r="U4" i="9"/>
  <c r="AG9" i="9"/>
  <c r="O36" i="9"/>
  <c r="L43" i="9" l="1"/>
  <c r="L42" i="9"/>
  <c r="O33" i="9"/>
  <c r="R13" i="9"/>
  <c r="R5" i="9"/>
  <c r="R44" i="9"/>
  <c r="R41" i="9"/>
  <c r="L39" i="9"/>
  <c r="R14" i="9" l="1"/>
  <c r="R15" i="9" s="1"/>
  <c r="R6" i="9" s="1"/>
  <c r="R23" i="9" s="1"/>
  <c r="R12" i="9" l="1"/>
  <c r="R32" i="9"/>
  <c r="R17" i="9"/>
  <c r="R25" i="9" s="1"/>
  <c r="R16" i="9"/>
  <c r="R7" i="9"/>
  <c r="R11" i="9"/>
  <c r="R35" i="9" l="1"/>
  <c r="R24" i="9"/>
  <c r="R27" i="9" s="1"/>
  <c r="U30" i="9" s="1"/>
  <c r="U29" i="9" s="1"/>
  <c r="R10" i="9"/>
  <c r="R31" i="9" s="1"/>
  <c r="R28" i="9" l="1"/>
  <c r="R26" i="9"/>
  <c r="U31" i="9" s="1"/>
  <c r="U5" i="9" l="1"/>
  <c r="U16" i="9" s="1"/>
  <c r="U23" i="9" l="1"/>
  <c r="U24" i="9" s="1"/>
  <c r="U27" i="9" s="1"/>
  <c r="U14" i="9" s="1"/>
  <c r="U6" i="9" l="1"/>
  <c r="R40" i="9" s="1"/>
  <c r="U26" i="9"/>
  <c r="U19" i="9" s="1"/>
  <c r="U25" i="9"/>
  <c r="U7" i="9" l="1"/>
  <c r="U35" i="9" s="1"/>
  <c r="R36" i="9" s="1"/>
  <c r="U17" i="9"/>
  <c r="U28" i="9" s="1"/>
  <c r="U32" i="9" s="1"/>
  <c r="U36" i="9" s="1"/>
  <c r="U15" i="9"/>
  <c r="U13" i="9" s="1"/>
  <c r="R43" i="9" s="1"/>
  <c r="L46" i="9"/>
  <c r="R42" i="9" l="1"/>
  <c r="U18" i="9"/>
  <c r="U11" i="9" s="1"/>
  <c r="U12" i="9" s="1"/>
  <c r="R39" i="9" s="1"/>
  <c r="U33" i="9"/>
</calcChain>
</file>

<file path=xl/sharedStrings.xml><?xml version="1.0" encoding="utf-8"?>
<sst xmlns="http://schemas.openxmlformats.org/spreadsheetml/2006/main" count="189" uniqueCount="151">
  <si>
    <t>x</t>
  </si>
  <si>
    <t>y</t>
  </si>
  <si>
    <t>rpm</t>
  </si>
  <si>
    <t>V2</t>
  </si>
  <si>
    <t>V3</t>
  </si>
  <si>
    <t>% Span</t>
  </si>
  <si>
    <t>Performance</t>
  </si>
  <si>
    <t>W2</t>
  </si>
  <si>
    <t>W3</t>
  </si>
  <si>
    <t>U1</t>
  </si>
  <si>
    <t>U2</t>
  </si>
  <si>
    <t xml:space="preserve">Design Parameters </t>
  </si>
  <si>
    <t>Inlet Angle (deg)</t>
  </si>
  <si>
    <t>Exit Angle (deg)</t>
  </si>
  <si>
    <t>Gas Properties</t>
  </si>
  <si>
    <t>γ</t>
  </si>
  <si>
    <t>R (J/(kg K))</t>
  </si>
  <si>
    <t>Cp (J/(kgK))</t>
  </si>
  <si>
    <t>mdot (kg/s)</t>
  </si>
  <si>
    <t>μ</t>
  </si>
  <si>
    <t>Turbine Exit</t>
  </si>
  <si>
    <t>ω (rad/s)</t>
  </si>
  <si>
    <r>
      <t>P</t>
    </r>
    <r>
      <rPr>
        <vertAlign val="subscript"/>
        <sz val="11"/>
        <color rgb="FF000000"/>
        <rFont val="Calibri"/>
        <family val="2"/>
        <scheme val="minor"/>
      </rPr>
      <t xml:space="preserve">01 </t>
    </r>
    <r>
      <rPr>
        <sz val="11"/>
        <color rgb="FF000000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</si>
  <si>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01 </t>
    </r>
    <r>
      <rPr>
        <sz val="11"/>
        <color theme="1"/>
        <rFont val="Calibri"/>
        <family val="2"/>
        <scheme val="minor"/>
      </rPr>
      <t>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</si>
  <si>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(K)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</si>
  <si>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%span </t>
    </r>
    <r>
      <rPr>
        <sz val="11"/>
        <color theme="1"/>
        <rFont val="Calibri"/>
        <family val="2"/>
        <scheme val="minor"/>
      </rPr>
      <t>(m)</t>
    </r>
  </si>
  <si>
    <r>
      <t>H</t>
    </r>
    <r>
      <rPr>
        <vertAlign val="subscript"/>
        <sz val="11"/>
        <color theme="1"/>
        <rFont val="Calibri"/>
        <family val="2"/>
        <scheme val="minor"/>
      </rPr>
      <t>02,r</t>
    </r>
    <r>
      <rPr>
        <sz val="11"/>
        <color theme="1"/>
        <rFont val="Calibri"/>
        <family val="2"/>
        <scheme val="minor"/>
      </rPr>
      <t xml:space="preserve"> (J/kg)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</si>
  <si>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03,r </t>
    </r>
    <r>
      <rPr>
        <sz val="11"/>
        <color rgb="FF000000"/>
        <rFont val="Calibri"/>
        <family val="2"/>
        <scheme val="minor"/>
      </rPr>
      <t>(J/kg)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</si>
  <si>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</si>
  <si>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3s,is </t>
    </r>
    <r>
      <rPr>
        <sz val="11"/>
        <color rgb="FF000000"/>
        <rFont val="Calibri"/>
        <family val="2"/>
        <scheme val="minor"/>
      </rPr>
      <t>(K)</t>
    </r>
  </si>
  <si>
    <t>Stator Exit</t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</si>
  <si>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2,ax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</si>
  <si>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</si>
  <si>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</si>
  <si>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</si>
  <si>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</si>
  <si>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3,is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</si>
  <si>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3u</t>
    </r>
    <r>
      <rPr>
        <sz val="11"/>
        <color rgb="FF000000"/>
        <rFont val="Calibri"/>
        <family val="2"/>
        <scheme val="minor"/>
      </rPr>
      <t xml:space="preserve"> (m/s) 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</si>
  <si>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 </t>
    </r>
  </si>
  <si>
    <r>
      <t>η</t>
    </r>
    <r>
      <rPr>
        <vertAlign val="subscript"/>
        <sz val="11"/>
        <color theme="1"/>
        <rFont val="Calibri"/>
        <family val="2"/>
        <scheme val="minor"/>
      </rPr>
      <t>t</t>
    </r>
  </si>
  <si>
    <t>a (m/s)</t>
  </si>
  <si>
    <t>a,is (m/s)</t>
  </si>
  <si>
    <r>
      <t>W</t>
    </r>
    <r>
      <rPr>
        <vertAlign val="subscript"/>
        <sz val="11"/>
        <color rgb="FF000000"/>
        <rFont val="Calibri"/>
        <family val="2"/>
        <scheme val="minor"/>
      </rPr>
      <t>3,ax,is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</si>
  <si>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</si>
  <si>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03</t>
    </r>
    <r>
      <rPr>
        <sz val="11"/>
        <color rgb="FF000000"/>
        <rFont val="Calibri"/>
        <family val="2"/>
        <scheme val="minor"/>
      </rPr>
      <t xml:space="preserve"> (K)</t>
    </r>
  </si>
  <si>
    <t>Ʌ</t>
  </si>
  <si>
    <r>
      <t>T</t>
    </r>
    <r>
      <rPr>
        <vertAlign val="subscript"/>
        <sz val="11"/>
        <color rgb="FF000000"/>
        <rFont val="Calibri"/>
        <family val="2"/>
        <scheme val="minor"/>
      </rPr>
      <t>1s</t>
    </r>
    <r>
      <rPr>
        <sz val="11"/>
        <color rgb="FF000000"/>
        <rFont val="Calibri"/>
        <family val="2"/>
        <scheme val="minor"/>
      </rPr>
      <t xml:space="preserve"> (K)</t>
    </r>
  </si>
  <si>
    <t>φ</t>
  </si>
  <si>
    <t>Velocity Triangles</t>
  </si>
  <si>
    <t>W (m/s)^2</t>
  </si>
  <si>
    <t>U3</t>
  </si>
  <si>
    <r>
      <t>U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</si>
  <si>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</si>
  <si>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</si>
  <si>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1,s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</si>
  <si>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1,ax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</si>
  <si>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1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</si>
  <si>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</si>
  <si>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3,r</t>
    </r>
  </si>
  <si>
    <r>
      <t>M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</si>
  <si>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</si>
  <si>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s2,is</t>
    </r>
    <r>
      <rPr>
        <sz val="11"/>
        <color theme="1"/>
        <rFont val="Calibri"/>
        <family val="2"/>
        <scheme val="minor"/>
      </rPr>
      <t xml:space="preserve"> (K)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</si>
  <si>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02 </t>
    </r>
    <r>
      <rPr>
        <sz val="11"/>
        <color theme="1"/>
        <rFont val="Calibri"/>
        <family val="2"/>
        <scheme val="minor"/>
      </rPr>
      <t>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</si>
  <si>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02,r,is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</si>
  <si>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03,r </t>
    </r>
    <r>
      <rPr>
        <sz val="11"/>
        <color theme="1"/>
        <rFont val="Calibri"/>
        <family val="2"/>
        <scheme val="minor"/>
      </rPr>
      <t>(K) - correction</t>
    </r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</si>
  <si>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p </t>
    </r>
    <r>
      <rPr>
        <sz val="11"/>
        <color theme="1"/>
        <rFont val="Calibri"/>
        <family val="2"/>
        <scheme val="minor"/>
      </rPr>
      <t>(Pressure deg reaction)</t>
    </r>
  </si>
  <si>
    <t>Ψ (blade loading)</t>
  </si>
  <si>
    <t>massflow inlet</t>
  </si>
  <si>
    <r>
      <t>M</t>
    </r>
    <r>
      <rPr>
        <vertAlign val="subscript"/>
        <sz val="11"/>
        <color theme="1"/>
        <rFont val="Calibri"/>
        <family val="2"/>
        <scheme val="minor"/>
      </rPr>
      <t>1,ax</t>
    </r>
  </si>
  <si>
    <t>Design Type 3: Degree of reaction is known</t>
  </si>
  <si>
    <r>
      <t>P</t>
    </r>
    <r>
      <rPr>
        <vertAlign val="subscript"/>
        <sz val="11"/>
        <color rgb="FF000000"/>
        <rFont val="Calibri"/>
        <family val="2"/>
        <scheme val="minor"/>
      </rPr>
      <t>01</t>
    </r>
    <r>
      <rPr>
        <sz val="11"/>
        <color rgb="FF000000"/>
        <rFont val="Calibri"/>
        <family val="2"/>
        <scheme val="minor"/>
      </rPr>
      <t>/P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</si>
  <si>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</si>
  <si>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(bar)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</si>
  <si>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2is</t>
    </r>
    <r>
      <rPr>
        <sz val="11"/>
        <color rgb="FF000000"/>
        <rFont val="Calibri"/>
        <family val="2"/>
        <scheme val="minor"/>
      </rPr>
      <t xml:space="preserve"> (m/s)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</si>
  <si>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</si>
  <si>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(kJ/kg)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</si>
  <si>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</si>
  <si>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2</t>
    </r>
    <r>
      <rPr>
        <sz val="11"/>
        <color rgb="FF000000"/>
        <rFont val="Calibri"/>
        <family val="2"/>
        <scheme val="minor"/>
      </rPr>
      <t xml:space="preserve"> (m/s)</t>
    </r>
  </si>
  <si>
    <r>
      <t>r</t>
    </r>
    <r>
      <rPr>
        <sz val="8"/>
        <color theme="1"/>
        <rFont val="Calibri"/>
        <family val="2"/>
        <scheme val="minor"/>
      </rPr>
      <t>mean</t>
    </r>
    <r>
      <rPr>
        <sz val="11"/>
        <color theme="1"/>
        <rFont val="Calibri"/>
        <family val="2"/>
        <scheme val="minor"/>
      </rPr>
      <t xml:space="preserve"> [m]</t>
    </r>
  </si>
  <si>
    <t>H2/H1</t>
  </si>
  <si>
    <t>H3/H2</t>
  </si>
  <si>
    <t>H1 [m]</t>
  </si>
  <si>
    <t>V2**2/V2_is**2</t>
  </si>
  <si>
    <t>P0_Loss</t>
  </si>
  <si>
    <t>change to match massflow</t>
  </si>
  <si>
    <t>massflow_error</t>
  </si>
  <si>
    <r>
      <t>T</t>
    </r>
    <r>
      <rPr>
        <sz val="8"/>
        <color theme="1"/>
        <rFont val="Calibri"/>
        <family val="2"/>
        <scheme val="minor"/>
      </rPr>
      <t>02</t>
    </r>
    <r>
      <rPr>
        <sz val="11"/>
        <color theme="1"/>
        <rFont val="Calibri"/>
        <family val="2"/>
        <scheme val="minor"/>
      </rPr>
      <t xml:space="preserve"> [K]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</si>
  <si>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</si>
  <si>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</si>
  <si>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03,r</t>
    </r>
    <r>
      <rPr>
        <sz val="11"/>
        <color theme="1"/>
        <rFont val="Calibri"/>
        <family val="2"/>
        <scheme val="minor"/>
      </rPr>
      <t xml:space="preserve"> (Bar)</t>
    </r>
  </si>
  <si>
    <t>Stage 1</t>
  </si>
  <si>
    <t>Stage 2</t>
  </si>
  <si>
    <t>Inlet</t>
  </si>
  <si>
    <t>Absolute Frame</t>
  </si>
  <si>
    <t>Rotating Frame</t>
  </si>
  <si>
    <t>rp1</t>
  </si>
  <si>
    <t>rp2</t>
  </si>
  <si>
    <t>H4/H3</t>
  </si>
  <si>
    <t>H5/H4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</si>
  <si>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</si>
  <si>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s4,is</t>
    </r>
    <r>
      <rPr>
        <sz val="11"/>
        <color theme="1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</si>
  <si>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</si>
  <si>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</si>
  <si>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t>Area [m2]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</si>
  <si>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04 </t>
    </r>
    <r>
      <rPr>
        <sz val="11"/>
        <color theme="1"/>
        <rFont val="Calibri"/>
        <family val="2"/>
        <scheme val="minor"/>
      </rPr>
      <t>(bar)</t>
    </r>
  </si>
  <si>
    <r>
      <t>M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</si>
  <si>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(kJ/kg)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</si>
  <si>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</t>
    </r>
    <r>
      <rPr>
        <sz val="11"/>
        <color theme="1"/>
        <rFont val="Calibri"/>
        <family val="2"/>
        <scheme val="minor"/>
      </rPr>
      <t xml:space="preserve"> [K]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</si>
  <si>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4is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</si>
  <si>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</si>
  <si>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 xml:space="preserve">4,ax </t>
    </r>
    <r>
      <rPr>
        <sz val="11"/>
        <color rgb="FF000000"/>
        <rFont val="Calibri"/>
        <family val="2"/>
        <scheme val="minor"/>
      </rPr>
      <t>(m/s)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</si>
  <si>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</si>
  <si>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</si>
  <si>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</si>
  <si>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</si>
  <si>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4u</t>
    </r>
    <r>
      <rPr>
        <sz val="11"/>
        <color rgb="FF000000"/>
        <rFont val="Calibri"/>
        <family val="2"/>
        <scheme val="minor"/>
      </rPr>
      <t xml:space="preserve"> (m/s)</t>
    </r>
  </si>
  <si>
    <r>
      <t>P</t>
    </r>
    <r>
      <rPr>
        <vertAlign val="subscript"/>
        <sz val="11"/>
        <color theme="1"/>
        <rFont val="Calibri"/>
        <family val="2"/>
        <scheme val="minor"/>
      </rPr>
      <t>04,r,is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</si>
  <si>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(K)</t>
    </r>
  </si>
  <si>
    <r>
      <t>H</t>
    </r>
    <r>
      <rPr>
        <vertAlign val="subscript"/>
        <sz val="11"/>
        <color theme="1"/>
        <rFont val="Calibri"/>
        <family val="2"/>
        <scheme val="minor"/>
      </rPr>
      <t>04,r</t>
    </r>
    <r>
      <rPr>
        <sz val="11"/>
        <color theme="1"/>
        <rFont val="Calibri"/>
        <family val="2"/>
        <scheme val="minor"/>
      </rPr>
      <t xml:space="preserve"> (J/kg)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</si>
  <si>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 xml:space="preserve"> (Bar)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</si>
  <si>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3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</si>
  <si>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3ax</t>
    </r>
  </si>
  <si>
    <r>
      <t>P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</si>
  <si>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 xml:space="preserve">5s,is </t>
    </r>
    <r>
      <rPr>
        <sz val="11"/>
        <color rgb="FF000000"/>
        <rFont val="Calibri"/>
        <family val="2"/>
        <scheme val="minor"/>
      </rPr>
      <t>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</si>
  <si>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(K)</t>
    </r>
  </si>
  <si>
    <r>
      <t>ρ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(kg/m</t>
    </r>
    <r>
      <rPr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</si>
  <si>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</t>
    </r>
    <r>
      <rPr>
        <sz val="11"/>
        <color theme="1"/>
        <rFont val="Calibri"/>
        <family val="2"/>
        <scheme val="minor"/>
      </rPr>
      <t xml:space="preserve"> (Bar)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</si>
  <si>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05,is</t>
    </r>
    <r>
      <rPr>
        <sz val="11"/>
        <color rgb="FF000000"/>
        <rFont val="Calibri"/>
        <family val="2"/>
        <scheme val="minor"/>
      </rPr>
      <t xml:space="preserve"> (K)</t>
    </r>
  </si>
  <si>
    <r>
      <t>T</t>
    </r>
    <r>
      <rPr>
        <vertAlign val="subscript"/>
        <sz val="11"/>
        <color rgb="FF000000"/>
        <rFont val="Calibri"/>
        <family val="2"/>
        <scheme val="minor"/>
      </rPr>
      <t>05</t>
    </r>
    <r>
      <rPr>
        <sz val="11"/>
        <color rgb="FF000000"/>
        <rFont val="Calibri"/>
        <family val="2"/>
        <scheme val="minor"/>
      </rPr>
      <t xml:space="preserve"> (K)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</si>
  <si>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 </t>
    </r>
  </si>
  <si>
    <r>
      <t>a</t>
    </r>
    <r>
      <rPr>
        <vertAlign val="subscript"/>
        <sz val="11"/>
        <color rgb="FF000000"/>
        <rFont val="Calibri"/>
        <family val="2"/>
        <scheme val="minor"/>
      </rPr>
      <t>is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</si>
  <si>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</t>
    </r>
  </si>
  <si>
    <r>
      <t>V</t>
    </r>
    <r>
      <rPr>
        <vertAlign val="subscript"/>
        <sz val="11"/>
        <color rgb="FF000000"/>
        <rFont val="Calibri"/>
        <family val="2"/>
        <scheme val="minor"/>
      </rPr>
      <t>5ax</t>
    </r>
  </si>
  <si>
    <r>
      <t>U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</si>
  <si>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</si>
  <si>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</si>
  <si>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5,ax,is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</si>
  <si>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5,ax</t>
    </r>
    <r>
      <rPr>
        <sz val="11"/>
        <color rgb="FF000000"/>
        <rFont val="Calibri"/>
        <family val="2"/>
        <scheme val="minor"/>
      </rPr>
      <t xml:space="preserve"> (m/s)</t>
    </r>
  </si>
  <si>
    <r>
      <t>W</t>
    </r>
    <r>
      <rPr>
        <vertAlign val="subscript"/>
        <sz val="11"/>
        <color rgb="FF000000"/>
        <rFont val="Calibri"/>
        <family val="2"/>
        <scheme val="minor"/>
      </rPr>
      <t>5u</t>
    </r>
    <r>
      <rPr>
        <sz val="11"/>
        <color rgb="FF000000"/>
        <rFont val="Calibri"/>
        <family val="2"/>
        <scheme val="minor"/>
      </rPr>
      <t xml:space="preserve"> (m/s)</t>
    </r>
  </si>
  <si>
    <r>
      <t>M</t>
    </r>
    <r>
      <rPr>
        <vertAlign val="subscript"/>
        <sz val="11"/>
        <color rgb="FF000000"/>
        <rFont val="Calibri"/>
        <family val="2"/>
        <scheme val="minor"/>
      </rPr>
      <t>5,r</t>
    </r>
  </si>
  <si>
    <r>
      <t>H</t>
    </r>
    <r>
      <rPr>
        <vertAlign val="subscript"/>
        <sz val="11"/>
        <color rgb="FF000000"/>
        <rFont val="Calibri"/>
        <family val="2"/>
        <scheme val="minor"/>
      </rPr>
      <t xml:space="preserve">05,r </t>
    </r>
    <r>
      <rPr>
        <sz val="11"/>
        <color rgb="FF000000"/>
        <rFont val="Calibri"/>
        <family val="2"/>
        <scheme val="minor"/>
      </rPr>
      <t>(J/kg)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</si>
  <si>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05,r </t>
    </r>
    <r>
      <rPr>
        <sz val="11"/>
        <color theme="1"/>
        <rFont val="Calibri"/>
        <family val="2"/>
        <scheme val="minor"/>
      </rPr>
      <t>(K) - correction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</si>
  <si>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05,r,is</t>
    </r>
    <r>
      <rPr>
        <sz val="11"/>
        <color theme="1"/>
        <rFont val="Calibri"/>
        <family val="2"/>
        <scheme val="minor"/>
      </rPr>
      <t xml:space="preserve"> (Bar)</t>
    </r>
  </si>
  <si>
    <r>
      <t>P</t>
    </r>
    <r>
      <rPr>
        <vertAlign val="subscript"/>
        <sz val="11"/>
        <color theme="1"/>
        <rFont val="Calibri"/>
        <family val="2"/>
        <scheme val="minor"/>
      </rPr>
      <t>05,r</t>
    </r>
    <r>
      <rPr>
        <sz val="11"/>
        <color theme="1"/>
        <rFont val="Calibri"/>
        <family val="2"/>
        <scheme val="minor"/>
      </rPr>
      <t xml:space="preserve"> (Bar)</t>
    </r>
  </si>
  <si>
    <t>Power [MW]</t>
  </si>
  <si>
    <t>massflow_mean</t>
  </si>
  <si>
    <r>
      <t>P</t>
    </r>
    <r>
      <rPr>
        <vertAlign val="subscript"/>
        <sz val="11"/>
        <color theme="1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</si>
  <si>
    <r>
      <t>P</t>
    </r>
    <r>
      <rPr>
        <vertAlign val="subscript"/>
        <sz val="11"/>
        <color theme="1"/>
        <rFont val="Calibri"/>
        <family val="2"/>
        <scheme val="minor"/>
      </rPr>
      <t>03</t>
    </r>
    <r>
      <rPr>
        <sz val="11"/>
        <color theme="1"/>
        <rFont val="Calibri"/>
        <family val="2"/>
        <scheme val="minor"/>
      </rPr>
      <t>/P</t>
    </r>
    <r>
      <rPr>
        <vertAlign val="subscript"/>
        <sz val="11"/>
        <color theme="1"/>
        <rFont val="Calibri"/>
        <family val="2"/>
        <scheme val="minor"/>
      </rPr>
      <t>5</t>
    </r>
  </si>
  <si>
    <t>Stator</t>
  </si>
  <si>
    <t>Rotor</t>
  </si>
  <si>
    <t>rmean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</si>
</sst>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4" fillId="2" borderId="1" applyNumberFormat="0" applyAlignment="0" applyProtection="0"/>
    <xf numFmtId="0" fontId="5" fillId="3" borderId="1" applyNumberFormat="0" applyAlignment="0" applyProtection="0"/>
    <xf numFmtId="0" fontId="8" fillId="4" borderId="0" applyNumberFormat="0" applyBorder="0" applyAlignment="0" applyProtection="0"/>
  </cellStyleXfs>
  <cellXfs count="50">
    <xf numFmtId="0" fontId="0" fillId="0" borderId="0" xfId="0"/>
    <xf numFmtId="0" fontId="0" fillId="5" borderId="0" xfId="0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vertical="center"/>
    </xf>
    <xf numFmtId="166" fontId="0" fillId="5" borderId="0" xfId="0" applyNumberFormat="1" applyFill="1"/>
    <xf numFmtId="2" fontId="0" fillId="5" borderId="0" xfId="0" applyNumberFormat="1" applyFill="1" applyAlignment="1">
      <alignment horizontal="right"/>
    </xf>
    <xf numFmtId="164" fontId="0" fillId="5" borderId="0" xfId="0" applyNumberFormat="1" applyFill="1"/>
    <xf numFmtId="2" fontId="0" fillId="5" borderId="0" xfId="0" applyNumberFormat="1" applyFill="1"/>
    <xf numFmtId="165" fontId="0" fillId="5" borderId="0" xfId="0" applyNumberFormat="1" applyFill="1"/>
    <xf numFmtId="1" fontId="0" fillId="5" borderId="0" xfId="0" applyNumberFormat="1" applyFill="1"/>
    <xf numFmtId="0" fontId="1" fillId="5" borderId="0" xfId="0" applyFont="1" applyFill="1" applyAlignment="1">
      <alignment vertical="center"/>
    </xf>
    <xf numFmtId="164" fontId="5" fillId="5" borderId="1" xfId="2" applyNumberFormat="1" applyFill="1"/>
    <xf numFmtId="0" fontId="0" fillId="5" borderId="2" xfId="0" applyFill="1" applyBorder="1"/>
    <xf numFmtId="0" fontId="10" fillId="5" borderId="7" xfId="0" applyFont="1" applyFill="1" applyBorder="1"/>
    <xf numFmtId="0" fontId="0" fillId="5" borderId="8" xfId="0" applyFill="1" applyBorder="1"/>
    <xf numFmtId="0" fontId="11" fillId="5" borderId="7" xfId="0" applyFont="1" applyFill="1" applyBorder="1"/>
    <xf numFmtId="0" fontId="0" fillId="5" borderId="7" xfId="0" applyFill="1" applyBorder="1" applyAlignment="1">
      <alignment vertical="center"/>
    </xf>
    <xf numFmtId="2" fontId="0" fillId="5" borderId="8" xfId="0" applyNumberFormat="1" applyFill="1" applyBorder="1"/>
    <xf numFmtId="0" fontId="2" fillId="5" borderId="7" xfId="0" applyFont="1" applyFill="1" applyBorder="1" applyAlignment="1">
      <alignment vertical="center"/>
    </xf>
    <xf numFmtId="0" fontId="0" fillId="5" borderId="9" xfId="0" applyFill="1" applyBorder="1"/>
    <xf numFmtId="166" fontId="0" fillId="5" borderId="0" xfId="0" applyNumberFormat="1" applyFill="1" applyAlignment="1">
      <alignment horizontal="right"/>
    </xf>
    <xf numFmtId="0" fontId="0" fillId="5" borderId="7" xfId="0" applyFill="1" applyBorder="1"/>
    <xf numFmtId="164" fontId="0" fillId="5" borderId="8" xfId="0" applyNumberFormat="1" applyFill="1" applyBorder="1"/>
    <xf numFmtId="166" fontId="0" fillId="6" borderId="8" xfId="0" applyNumberFormat="1" applyFill="1" applyBorder="1"/>
    <xf numFmtId="1" fontId="0" fillId="5" borderId="8" xfId="0" applyNumberFormat="1" applyFill="1" applyBorder="1"/>
    <xf numFmtId="166" fontId="0" fillId="6" borderId="0" xfId="0" applyNumberFormat="1" applyFill="1"/>
    <xf numFmtId="0" fontId="12" fillId="5" borderId="0" xfId="0" applyFont="1" applyFill="1"/>
    <xf numFmtId="0" fontId="11" fillId="5" borderId="0" xfId="0" applyFont="1" applyFill="1"/>
    <xf numFmtId="2" fontId="0" fillId="5" borderId="2" xfId="0" applyNumberFormat="1" applyFill="1" applyBorder="1"/>
    <xf numFmtId="0" fontId="2" fillId="5" borderId="2" xfId="0" applyFont="1" applyFill="1" applyBorder="1" applyAlignment="1">
      <alignment vertical="center"/>
    </xf>
    <xf numFmtId="0" fontId="14" fillId="5" borderId="0" xfId="3" applyNumberFormat="1" applyFont="1" applyFill="1"/>
    <xf numFmtId="0" fontId="14" fillId="5" borderId="0" xfId="0" applyFont="1" applyFill="1"/>
    <xf numFmtId="0" fontId="4" fillId="5" borderId="0" xfId="1" applyFill="1" applyBorder="1"/>
    <xf numFmtId="0" fontId="10" fillId="7" borderId="0" xfId="0" applyFont="1" applyFill="1"/>
    <xf numFmtId="0" fontId="4" fillId="5" borderId="3" xfId="1" applyFill="1" applyBorder="1"/>
    <xf numFmtId="2" fontId="5" fillId="5" borderId="3" xfId="2" applyNumberFormat="1" applyFill="1" applyBorder="1"/>
    <xf numFmtId="0" fontId="0" fillId="5" borderId="3" xfId="0" applyFill="1" applyBorder="1"/>
    <xf numFmtId="166" fontId="5" fillId="5" borderId="11" xfId="2" applyNumberFormat="1" applyFill="1" applyBorder="1"/>
    <xf numFmtId="2" fontId="14" fillId="5" borderId="0" xfId="1" applyNumberFormat="1" applyFont="1" applyFill="1" applyBorder="1"/>
    <xf numFmtId="0" fontId="14" fillId="5" borderId="0" xfId="0" applyFont="1" applyFill="1" applyBorder="1"/>
    <xf numFmtId="164" fontId="0" fillId="8" borderId="0" xfId="0" applyNumberFormat="1" applyFill="1"/>
    <xf numFmtId="2" fontId="0" fillId="8" borderId="0" xfId="0" applyNumberFormat="1" applyFill="1"/>
    <xf numFmtId="164" fontId="0" fillId="8" borderId="10" xfId="0" applyNumberFormat="1" applyFill="1" applyBorder="1"/>
    <xf numFmtId="164" fontId="14" fillId="5" borderId="0" xfId="0" applyNumberFormat="1" applyFont="1" applyFill="1"/>
    <xf numFmtId="0" fontId="13" fillId="5" borderId="4" xfId="0" applyFont="1" applyFill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1" fontId="0" fillId="0" borderId="0" xfId="0" applyNumberFormat="1"/>
    <xf numFmtId="0" fontId="0" fillId="5" borderId="0" xfId="0" applyFill="1" applyBorder="1"/>
  </cellXfs>
  <cellStyles count="4">
    <cellStyle name="Calculation" xfId="2" builtinId="22"/>
    <cellStyle name="Good" xfId="3" builtinId="26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Triangles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'Multi-Stage'!$AC$5</c:f>
              <c:strCache>
                <c:ptCount val="1"/>
                <c:pt idx="0">
                  <c:v>W2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'Multi-Stage'!$AD$5:$AD$6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'Multi-Stage'!$AE$5:$AE$6</c:f>
              <c:numCache>
                <c:formatCode>0.00</c:formatCode>
                <c:ptCount val="2"/>
                <c:pt idx="0">
                  <c:v>92.078957492360544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34-4B26-8D5E-5C428F3DF9FB}"/>
            </c:ext>
          </c:extLst>
        </c:ser>
        <c:ser>
          <c:idx val="1"/>
          <c:order val="1"/>
          <c:tx>
            <c:strRef>
              <c:f>'Multi-Stage'!$AC$7</c:f>
              <c:strCache>
                <c:ptCount val="1"/>
                <c:pt idx="0">
                  <c:v>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'Multi-Stage'!$AD$7:$AD$8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-283.38989159449795</c:v>
                </c:pt>
              </c:numCache>
            </c:numRef>
          </c:xVal>
          <c:yVal>
            <c:numRef>
              <c:f>'Multi-Stage'!$AE$7:$AE$8</c:f>
              <c:numCache>
                <c:formatCode>General</c:formatCode>
                <c:ptCount val="2"/>
                <c:pt idx="0" formatCode="0.00">
                  <c:v>92.078957492360544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34-4B26-8D5E-5C428F3DF9FB}"/>
            </c:ext>
          </c:extLst>
        </c:ser>
        <c:ser>
          <c:idx val="2"/>
          <c:order val="2"/>
          <c:tx>
            <c:strRef>
              <c:f>'Multi-Stage'!$AC$9</c:f>
              <c:strCache>
                <c:ptCount val="1"/>
                <c:pt idx="0">
                  <c:v>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'Multi-Stage'!$AD$9:$AD$10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'Multi-Stage'!$AE$9:$AE$10</c:f>
              <c:numCache>
                <c:formatCode>General</c:formatCode>
                <c:ptCount val="2"/>
                <c:pt idx="0" formatCode="0.0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34-4B26-8D5E-5C428F3DF9FB}"/>
            </c:ext>
          </c:extLst>
        </c:ser>
        <c:ser>
          <c:idx val="3"/>
          <c:order val="3"/>
          <c:tx>
            <c:strRef>
              <c:f>'Multi-Stage'!$AC$11</c:f>
              <c:strCache>
                <c:ptCount val="1"/>
                <c:pt idx="0">
                  <c:v>W3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'Multi-Stage'!$AD$11:$AD$12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xVal>
          <c:yVal>
            <c:numRef>
              <c:f>'Multi-Stage'!$AE$11:$AE$12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34-4B26-8D5E-5C428F3DF9FB}"/>
            </c:ext>
          </c:extLst>
        </c:ser>
        <c:ser>
          <c:idx val="4"/>
          <c:order val="4"/>
          <c:tx>
            <c:strRef>
              <c:f>'Multi-Stage'!$AC$13</c:f>
              <c:strCache>
                <c:ptCount val="1"/>
                <c:pt idx="0">
                  <c:v>U1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'Multi-Stage'!$AD$13:$AD$14</c:f>
              <c:numCache>
                <c:formatCode>0.00</c:formatCode>
                <c:ptCount val="2"/>
                <c:pt idx="0">
                  <c:v>0</c:v>
                </c:pt>
                <c:pt idx="1">
                  <c:v>-283.38989159449795</c:v>
                </c:pt>
              </c:numCache>
            </c:numRef>
          </c:xVal>
          <c:yVal>
            <c:numRef>
              <c:f>'Multi-Stage'!$AE$13:$AE$14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34-4B26-8D5E-5C428F3DF9FB}"/>
            </c:ext>
          </c:extLst>
        </c:ser>
        <c:ser>
          <c:idx val="5"/>
          <c:order val="5"/>
          <c:tx>
            <c:strRef>
              <c:f>'Multi-Stage'!$AC$15</c:f>
              <c:strCache>
                <c:ptCount val="1"/>
                <c:pt idx="0">
                  <c:v>U2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'Multi-Stage'!$AD$15:$AD$16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'Multi-Stage'!$AE$15:$AE$16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34-4B26-8D5E-5C428F3DF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500544"/>
        <c:axId val="905501104"/>
      </c:scatterChart>
      <c:valAx>
        <c:axId val="90550054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1104"/>
        <c:crosses val="autoZero"/>
        <c:crossBetween val="midCat"/>
      </c:valAx>
      <c:valAx>
        <c:axId val="905501104"/>
        <c:scaling>
          <c:orientation val="minMax"/>
          <c:max val="800"/>
          <c:min val="-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0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66674</xdr:colOff>
      <xdr:row>16</xdr:row>
      <xdr:rowOff>200025</xdr:rowOff>
    </xdr:from>
    <xdr:to>
      <xdr:col>32</xdr:col>
      <xdr:colOff>228600</xdr:colOff>
      <xdr:row>35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AG47"/>
  <sheetViews>
    <sheetView tabSelected="1" zoomScaleNormal="100" workbookViewId="0">
      <selection activeCell="I14" sqref="A14:I15"/>
    </sheetView>
  </sheetViews>
  <sheetFormatPr defaultColWidth="8.85546875" defaultRowHeight="15" x14ac:dyDescent="0.25"/>
  <cols>
    <col min="1" max="1" width="18.28515625" style="1" bestFit="1" customWidth="1"/>
    <col min="2" max="2" width="11" style="1" customWidth="1"/>
    <col min="3" max="3" width="12.85546875" style="1" customWidth="1"/>
    <col min="4" max="4" width="10.140625" style="1" customWidth="1"/>
    <col min="5" max="5" width="10" style="1" bestFit="1" customWidth="1"/>
    <col min="6" max="6" width="9.5703125" style="1" bestFit="1" customWidth="1"/>
    <col min="7" max="7" width="8.85546875" style="1"/>
    <col min="8" max="8" width="15" style="1" bestFit="1" customWidth="1"/>
    <col min="9" max="9" width="12.28515625" style="1" customWidth="1"/>
    <col min="10" max="10" width="3.140625" style="1" customWidth="1"/>
    <col min="11" max="11" width="15.7109375" style="1" customWidth="1"/>
    <col min="12" max="12" width="12.28515625" style="1" customWidth="1"/>
    <col min="13" max="13" width="2.85546875" style="1" customWidth="1"/>
    <col min="14" max="14" width="18" style="1" bestFit="1" customWidth="1"/>
    <col min="15" max="15" width="16" style="1" customWidth="1"/>
    <col min="16" max="16" width="8.85546875" style="1"/>
    <col min="17" max="17" width="10.85546875" style="1" customWidth="1"/>
    <col min="18" max="19" width="8.85546875" style="1"/>
    <col min="20" max="20" width="18" style="1" bestFit="1" customWidth="1"/>
    <col min="21" max="24" width="8.85546875" style="1"/>
    <col min="25" max="25" width="18.42578125" style="1" customWidth="1"/>
    <col min="26" max="26" width="10.28515625" style="1" customWidth="1"/>
    <col min="27" max="27" width="10" style="1" customWidth="1"/>
    <col min="28" max="28" width="13.28515625" style="1" bestFit="1" customWidth="1"/>
    <col min="29" max="16384" width="8.85546875" style="1"/>
  </cols>
  <sheetData>
    <row r="1" spans="1:33" ht="18.75" x14ac:dyDescent="0.3">
      <c r="A1" s="1" t="s">
        <v>69</v>
      </c>
      <c r="H1" s="1" t="s">
        <v>92</v>
      </c>
      <c r="K1" s="45" t="s">
        <v>90</v>
      </c>
      <c r="L1" s="46"/>
      <c r="M1" s="46"/>
      <c r="N1" s="46"/>
      <c r="O1" s="47"/>
      <c r="Q1" s="45" t="s">
        <v>91</v>
      </c>
      <c r="R1" s="46"/>
      <c r="S1" s="46"/>
      <c r="T1" s="46"/>
      <c r="U1" s="47"/>
    </row>
    <row r="2" spans="1:33" ht="18" x14ac:dyDescent="0.25">
      <c r="A2" s="1" t="s">
        <v>78</v>
      </c>
      <c r="B2" s="1">
        <v>0.38900000000000001</v>
      </c>
      <c r="H2" s="4" t="s">
        <v>22</v>
      </c>
      <c r="I2" s="48">
        <f>3163392/100000</f>
        <v>31.63392</v>
      </c>
      <c r="K2" s="14" t="s">
        <v>30</v>
      </c>
      <c r="L2" s="3"/>
      <c r="N2" s="27" t="s">
        <v>20</v>
      </c>
      <c r="O2" s="15"/>
      <c r="Q2" s="14" t="s">
        <v>30</v>
      </c>
      <c r="R2" s="3"/>
      <c r="T2" s="27" t="s">
        <v>20</v>
      </c>
      <c r="U2" s="15"/>
    </row>
    <row r="3" spans="1:33" ht="18" x14ac:dyDescent="0.25">
      <c r="A3" s="1" t="s">
        <v>81</v>
      </c>
      <c r="B3" s="1">
        <v>0.04</v>
      </c>
      <c r="H3" s="2" t="s">
        <v>23</v>
      </c>
      <c r="I3" s="34">
        <v>1810</v>
      </c>
      <c r="K3" s="16" t="s">
        <v>14</v>
      </c>
      <c r="N3" s="28" t="s">
        <v>14</v>
      </c>
      <c r="O3" s="15"/>
      <c r="Q3" s="16" t="s">
        <v>14</v>
      </c>
      <c r="T3" s="28" t="s">
        <v>14</v>
      </c>
      <c r="U3" s="15"/>
      <c r="AC3" s="1" t="s">
        <v>48</v>
      </c>
    </row>
    <row r="4" spans="1:33" ht="18" x14ac:dyDescent="0.25">
      <c r="A4" s="1" t="s">
        <v>79</v>
      </c>
      <c r="B4" s="1">
        <v>1.159</v>
      </c>
      <c r="H4" s="2" t="s">
        <v>68</v>
      </c>
      <c r="I4" s="1">
        <v>0.17</v>
      </c>
      <c r="K4" s="17" t="s">
        <v>72</v>
      </c>
      <c r="L4" s="8">
        <f>I2/B18 + B15*(I2-I2/B18)</f>
        <v>28.3650816</v>
      </c>
      <c r="N4" s="4" t="s">
        <v>71</v>
      </c>
      <c r="O4" s="18">
        <f>I2/B18</f>
        <v>26.361599999999999</v>
      </c>
      <c r="Q4" s="17" t="s">
        <v>99</v>
      </c>
      <c r="R4" s="8" t="e">
        <f>O11/$B$19 + $B$16*(O11-O11/$B$19)</f>
        <v>#REF!</v>
      </c>
      <c r="T4" s="4" t="s">
        <v>122</v>
      </c>
      <c r="U4" s="18" t="e">
        <f>O11/B19</f>
        <v>#REF!</v>
      </c>
      <c r="AD4" s="1" t="s">
        <v>0</v>
      </c>
      <c r="AE4" s="1" t="s">
        <v>1</v>
      </c>
    </row>
    <row r="5" spans="1:33" ht="18" x14ac:dyDescent="0.25">
      <c r="A5" s="1" t="s">
        <v>80</v>
      </c>
      <c r="B5" s="1">
        <v>1.3169999999999999</v>
      </c>
      <c r="H5" s="4" t="s">
        <v>55</v>
      </c>
      <c r="I5" s="10">
        <f>I4*I8</f>
        <v>136.18280940844934</v>
      </c>
      <c r="K5" s="17" t="s">
        <v>61</v>
      </c>
      <c r="L5" s="5">
        <f>I3*(L4/I2)^((B26-1)/B26)</f>
        <v>1769.7178221767833</v>
      </c>
      <c r="N5" s="4" t="s">
        <v>29</v>
      </c>
      <c r="O5" s="25" t="e">
        <f>L27/(L26/O4)^((B26-1)/B26)</f>
        <v>#REF!</v>
      </c>
      <c r="Q5" s="17" t="s">
        <v>100</v>
      </c>
      <c r="R5" s="5" t="e">
        <f>O13*(R4/O11)^(($C$26-1)/$C$26)</f>
        <v>#REF!</v>
      </c>
      <c r="T5" s="4" t="s">
        <v>123</v>
      </c>
      <c r="U5" s="25" t="e">
        <f>R27/(R26/U4)^(($C$26-1)/$C$26)</f>
        <v>#REF!</v>
      </c>
      <c r="AA5" s="9" t="e">
        <f>2*L16/L22*(TAN(RADIANS(D10))-TAN(RADIANS(C9)))</f>
        <v>#REF!</v>
      </c>
      <c r="AB5" s="8">
        <f>1-(1-(L4/I2)^((B26-1)/B26))/(1-(O4/I2)^((B26-1)/B26))</f>
        <v>0.39724971368978523</v>
      </c>
      <c r="AC5" s="1" t="s">
        <v>7</v>
      </c>
      <c r="AD5" s="8">
        <v>0</v>
      </c>
      <c r="AE5" s="8">
        <f>L16</f>
        <v>92.078957492360544</v>
      </c>
    </row>
    <row r="6" spans="1:33" ht="18" x14ac:dyDescent="0.25">
      <c r="A6" s="1" t="s">
        <v>97</v>
      </c>
      <c r="B6" s="1">
        <v>1.1000000000000001</v>
      </c>
      <c r="H6" s="4" t="s">
        <v>46</v>
      </c>
      <c r="I6" s="10">
        <f>(1+(B26-1)/2*I4^2)^(-1)*I3</f>
        <v>1803.2252826132221</v>
      </c>
      <c r="K6" s="17" t="s">
        <v>74</v>
      </c>
      <c r="L6" s="5">
        <f>-((L15^2/2)/B27-I3)</f>
        <v>1776.9686141849622</v>
      </c>
      <c r="N6" s="4" t="s">
        <v>60</v>
      </c>
      <c r="O6" s="25" t="e">
        <f>O30-O24^2/(2*B27)</f>
        <v>#REF!</v>
      </c>
      <c r="Q6" s="17" t="s">
        <v>101</v>
      </c>
      <c r="R6" s="5" t="e">
        <f>-((R15^2/2)/$C$27-O13)</f>
        <v>#REF!</v>
      </c>
      <c r="T6" s="4" t="s">
        <v>124</v>
      </c>
      <c r="U6" s="25" t="e">
        <f>U30-U24^2/(2*$C$27)</f>
        <v>#REF!</v>
      </c>
      <c r="AD6" s="8" t="e">
        <f>L25</f>
        <v>#REF!</v>
      </c>
      <c r="AE6" s="8">
        <v>0</v>
      </c>
      <c r="AF6" s="1" t="s">
        <v>10</v>
      </c>
      <c r="AG6" s="8" t="e">
        <f>AD6-AD8</f>
        <v>#REF!</v>
      </c>
    </row>
    <row r="7" spans="1:33" ht="18" x14ac:dyDescent="0.25">
      <c r="A7" s="1" t="s">
        <v>98</v>
      </c>
      <c r="B7" s="1">
        <v>1.1000000000000001</v>
      </c>
      <c r="G7" s="33"/>
      <c r="H7" s="2" t="s">
        <v>54</v>
      </c>
      <c r="I7" s="10">
        <f>(1+(B26-1)/2*I4^2)^(-B26/(B26-1))*I2</f>
        <v>31.064232564926176</v>
      </c>
      <c r="K7" s="19" t="s">
        <v>28</v>
      </c>
      <c r="L7" s="8">
        <f>L4*100000/(B25*L6)</f>
        <v>5.6516866805043318</v>
      </c>
      <c r="N7" s="4" t="s">
        <v>53</v>
      </c>
      <c r="O7" s="23" t="e">
        <f>O4*100000/(B25*O6)</f>
        <v>#REF!</v>
      </c>
      <c r="Q7" s="19" t="s">
        <v>102</v>
      </c>
      <c r="R7" s="8" t="e">
        <f>R4*100000/(B25*$R$6)</f>
        <v>#REF!</v>
      </c>
      <c r="T7" s="4" t="s">
        <v>125</v>
      </c>
      <c r="U7" s="23" t="e">
        <f>U4*100000/($B$25*U6)</f>
        <v>#REF!</v>
      </c>
      <c r="AC7" s="1" t="s">
        <v>3</v>
      </c>
      <c r="AD7" s="1">
        <v>0</v>
      </c>
      <c r="AE7" s="8">
        <f>AE5</f>
        <v>92.078957492360544</v>
      </c>
    </row>
    <row r="8" spans="1:33" x14ac:dyDescent="0.25">
      <c r="A8" s="1" t="s">
        <v>11</v>
      </c>
      <c r="B8" s="1" t="s">
        <v>92</v>
      </c>
      <c r="C8" s="1" t="s">
        <v>148</v>
      </c>
      <c r="D8" s="1" t="s">
        <v>149</v>
      </c>
      <c r="E8" s="1" t="s">
        <v>148</v>
      </c>
      <c r="F8" s="1" t="s">
        <v>149</v>
      </c>
      <c r="G8" s="33"/>
      <c r="H8" s="2" t="s">
        <v>40</v>
      </c>
      <c r="I8" s="10">
        <f>SQRT(B26*B25*I6)</f>
        <v>801.07534946146666</v>
      </c>
      <c r="K8" s="22"/>
      <c r="O8" s="15"/>
      <c r="Q8" s="22"/>
      <c r="U8" s="15"/>
      <c r="AD8" s="8">
        <f>L17</f>
        <v>-283.38989159449795</v>
      </c>
      <c r="AE8" s="1">
        <f t="shared" ref="AE8:AE12" si="0">AE6</f>
        <v>0</v>
      </c>
    </row>
    <row r="9" spans="1:33" ht="18" x14ac:dyDescent="0.25">
      <c r="A9" s="1" t="s">
        <v>12</v>
      </c>
      <c r="B9" s="35">
        <v>0</v>
      </c>
      <c r="C9" s="36"/>
      <c r="D9" s="37"/>
      <c r="E9" s="37"/>
      <c r="F9" s="37"/>
      <c r="H9" s="4" t="s">
        <v>56</v>
      </c>
      <c r="I9" s="10">
        <f>I5*COS(RADIANS(B9))</f>
        <v>136.18280940844934</v>
      </c>
      <c r="K9" s="16" t="s">
        <v>93</v>
      </c>
      <c r="N9" s="28" t="s">
        <v>93</v>
      </c>
      <c r="O9" s="15"/>
      <c r="Q9" s="16" t="s">
        <v>93</v>
      </c>
      <c r="T9" s="28" t="s">
        <v>93</v>
      </c>
      <c r="U9" s="15"/>
      <c r="AC9" s="1" t="s">
        <v>4</v>
      </c>
      <c r="AD9" s="1">
        <v>0</v>
      </c>
      <c r="AE9" s="8" t="e">
        <f>O26</f>
        <v>#REF!</v>
      </c>
      <c r="AF9" s="1" t="s">
        <v>50</v>
      </c>
      <c r="AG9" s="8" t="e">
        <f>AD12-AD10</f>
        <v>#REF!</v>
      </c>
    </row>
    <row r="10" spans="1:33" ht="18" x14ac:dyDescent="0.25">
      <c r="A10" s="1" t="s">
        <v>13</v>
      </c>
      <c r="B10" s="37">
        <v>0</v>
      </c>
      <c r="C10" s="35">
        <v>-72</v>
      </c>
      <c r="D10" s="35">
        <v>70.8</v>
      </c>
      <c r="E10" s="37">
        <v>-68.5</v>
      </c>
      <c r="F10" s="37">
        <v>73.8</v>
      </c>
      <c r="H10" s="1" t="s">
        <v>67</v>
      </c>
      <c r="I10" s="10">
        <f>B21*I2*100000/SQRT(I3)*SQRT(B26/B25)*I4*(1+(B26-1)/2*I4^2)^(-(B26+1)/(2*(B26-1)))</f>
        <v>0</v>
      </c>
      <c r="K10" s="17" t="s">
        <v>62</v>
      </c>
      <c r="L10" s="5">
        <f>L4*(1+(B26-1)/2*L11^2)^((B26)/(B26-1))</f>
        <v>30.963708766510354</v>
      </c>
      <c r="N10" s="2" t="s">
        <v>25</v>
      </c>
      <c r="O10" s="15" t="e">
        <f>#REF!+(#REF!-#REF!)*B22</f>
        <v>#REF!</v>
      </c>
      <c r="Q10" s="17" t="s">
        <v>104</v>
      </c>
      <c r="R10" s="5" t="e">
        <f>R4*(1+($C$26-1)/2*R11^2)^(($C$26)/($C$26-1))</f>
        <v>#REF!</v>
      </c>
      <c r="T10" s="2" t="s">
        <v>25</v>
      </c>
      <c r="U10" s="15" t="e">
        <f>#REF!+(#REF!-#REF!)*B22</f>
        <v>#REF!</v>
      </c>
      <c r="AD10" s="8" t="e">
        <f>O14</f>
        <v>#REF!</v>
      </c>
      <c r="AE10" s="1">
        <f t="shared" si="0"/>
        <v>0</v>
      </c>
    </row>
    <row r="11" spans="1:33" ht="18" x14ac:dyDescent="0.25">
      <c r="A11" s="1" t="s">
        <v>150</v>
      </c>
      <c r="B11" s="49"/>
      <c r="C11" s="35"/>
      <c r="D11" s="35"/>
      <c r="E11" s="37"/>
      <c r="F11" s="37"/>
      <c r="K11" s="17" t="s">
        <v>59</v>
      </c>
      <c r="L11" s="5">
        <f>L15/L23</f>
        <v>0.37470524910070524</v>
      </c>
      <c r="N11" s="2" t="s">
        <v>119</v>
      </c>
      <c r="O11" s="18" t="e">
        <f>O4*(1+(B26-1)/2*O18^2)^(B26/(B26-1))</f>
        <v>#REF!</v>
      </c>
      <c r="Q11" s="17" t="s">
        <v>105</v>
      </c>
      <c r="R11" s="5" t="e">
        <f>R15/R23</f>
        <v>#REF!</v>
      </c>
      <c r="T11" s="2" t="s">
        <v>126</v>
      </c>
      <c r="U11" s="18" t="e">
        <f>U4*(1+($C$26-1)/2*U18^2)^($C$26/($C$26-1))</f>
        <v>#REF!</v>
      </c>
      <c r="AC11" s="1" t="s">
        <v>8</v>
      </c>
      <c r="AD11" s="1">
        <v>0</v>
      </c>
      <c r="AE11" s="1" t="e">
        <f t="shared" si="0"/>
        <v>#REF!</v>
      </c>
    </row>
    <row r="12" spans="1:33" ht="18" x14ac:dyDescent="0.25">
      <c r="A12" s="2" t="s">
        <v>82</v>
      </c>
      <c r="C12" s="35">
        <v>0.82</v>
      </c>
      <c r="D12" s="35">
        <v>0.82</v>
      </c>
      <c r="E12" s="37">
        <v>0.82</v>
      </c>
      <c r="F12" s="37">
        <v>0.82</v>
      </c>
      <c r="K12" s="17" t="s">
        <v>75</v>
      </c>
      <c r="L12" s="10">
        <f>L6*B27</f>
        <v>2388245.8174645891</v>
      </c>
      <c r="N12" s="4" t="s">
        <v>43</v>
      </c>
      <c r="O12" s="18" t="e">
        <f>I3*(O11/L10)^(($B$26-1)/$B$26)</f>
        <v>#REF!</v>
      </c>
      <c r="Q12" s="17" t="s">
        <v>106</v>
      </c>
      <c r="R12" s="10" t="e">
        <f>R6*$C$27</f>
        <v>#REF!</v>
      </c>
      <c r="T12" s="4" t="s">
        <v>127</v>
      </c>
      <c r="U12" s="18" t="e">
        <f>R13*(U11/R10)^(($C$26-1)/$C$26)</f>
        <v>#REF!</v>
      </c>
      <c r="AD12" s="8" t="e">
        <f>O27</f>
        <v>#REF!</v>
      </c>
      <c r="AE12" s="1">
        <f t="shared" si="0"/>
        <v>0</v>
      </c>
    </row>
    <row r="13" spans="1:33" ht="18" x14ac:dyDescent="0.25">
      <c r="A13" s="1" t="s">
        <v>2</v>
      </c>
      <c r="B13" s="33"/>
      <c r="C13" s="35">
        <v>13119</v>
      </c>
      <c r="K13" s="17" t="s">
        <v>86</v>
      </c>
      <c r="L13" s="5">
        <f>I3</f>
        <v>1810</v>
      </c>
      <c r="N13" s="4" t="s">
        <v>44</v>
      </c>
      <c r="O13" s="18" t="e">
        <f>O6+O15^2 / (2*B27)</f>
        <v>#REF!</v>
      </c>
      <c r="Q13" s="17" t="s">
        <v>107</v>
      </c>
      <c r="R13" s="5" t="e">
        <f>O13</f>
        <v>#REF!</v>
      </c>
      <c r="T13" s="4" t="s">
        <v>128</v>
      </c>
      <c r="U13" s="18" t="e">
        <f>U6+U15^2/(2*$C$27)</f>
        <v>#REF!</v>
      </c>
      <c r="AC13" s="1" t="s">
        <v>9</v>
      </c>
      <c r="AD13" s="8" t="e">
        <f>AD6</f>
        <v>#REF!</v>
      </c>
      <c r="AE13" s="1">
        <v>0</v>
      </c>
    </row>
    <row r="14" spans="1:33" ht="18" x14ac:dyDescent="0.25">
      <c r="A14" s="11" t="s">
        <v>21</v>
      </c>
      <c r="C14" s="38">
        <f>C13*PI()/30</f>
        <v>1373.8184674148167</v>
      </c>
      <c r="J14" s="3"/>
      <c r="K14" s="19" t="s">
        <v>73</v>
      </c>
      <c r="L14" s="5">
        <f>SQRT(B27*(I3-L5)*2)</f>
        <v>329.05697681223296</v>
      </c>
      <c r="M14" s="3"/>
      <c r="N14" s="4" t="s">
        <v>37</v>
      </c>
      <c r="O14" s="18" t="e">
        <f>O27+O22</f>
        <v>#REF!</v>
      </c>
      <c r="Q14" s="19" t="s">
        <v>108</v>
      </c>
      <c r="R14" s="5" t="e">
        <f>SQRT($C$27*(R13-R5)*2)</f>
        <v>#REF!</v>
      </c>
      <c r="S14" s="3"/>
      <c r="T14" s="4" t="s">
        <v>129</v>
      </c>
      <c r="U14" s="18" t="e">
        <f>U27+U22</f>
        <v>#REF!</v>
      </c>
      <c r="AD14" s="8">
        <f>AD8</f>
        <v>-283.38989159449795</v>
      </c>
      <c r="AE14" s="1">
        <v>0</v>
      </c>
    </row>
    <row r="15" spans="1:33" ht="18" x14ac:dyDescent="0.25">
      <c r="A15" s="4" t="s">
        <v>95</v>
      </c>
      <c r="B15" s="8">
        <v>0.38</v>
      </c>
      <c r="C15" s="1" t="s">
        <v>84</v>
      </c>
      <c r="K15" s="19" t="s">
        <v>57</v>
      </c>
      <c r="L15" s="5">
        <f>SQRT(L14*L14*C12)</f>
        <v>297.97376574259226</v>
      </c>
      <c r="N15" s="4" t="s">
        <v>38</v>
      </c>
      <c r="O15" s="18" t="e">
        <f>SQRT(O14^2+O26^2)</f>
        <v>#REF!</v>
      </c>
      <c r="Q15" s="19" t="s">
        <v>109</v>
      </c>
      <c r="R15" s="5" t="e">
        <f>SQRT(R14*R14*E12)</f>
        <v>#REF!</v>
      </c>
      <c r="T15" s="4" t="s">
        <v>38</v>
      </c>
      <c r="U15" s="18" t="e">
        <f>SQRT(U14^2+U26^2)</f>
        <v>#REF!</v>
      </c>
      <c r="AC15" s="1" t="s">
        <v>10</v>
      </c>
      <c r="AD15" s="8" t="e">
        <f>AD12</f>
        <v>#REF!</v>
      </c>
      <c r="AE15" s="1">
        <f>AE13</f>
        <v>0</v>
      </c>
    </row>
    <row r="16" spans="1:33" ht="18" x14ac:dyDescent="0.25">
      <c r="A16" s="4" t="s">
        <v>96</v>
      </c>
      <c r="B16" s="8">
        <v>0.41399999999999998</v>
      </c>
      <c r="J16" s="8"/>
      <c r="K16" s="19" t="s">
        <v>31</v>
      </c>
      <c r="L16" s="5">
        <f>L15*COS(RADIANS(C10))</f>
        <v>92.078957492360544</v>
      </c>
      <c r="M16" s="8"/>
      <c r="N16" s="4" t="s">
        <v>41</v>
      </c>
      <c r="O16" s="18" t="e">
        <f>SQRT(B26*B25*O5)</f>
        <v>#REF!</v>
      </c>
      <c r="Q16" s="19" t="s">
        <v>110</v>
      </c>
      <c r="R16" s="5" t="e">
        <f>R15*COS(RADIANS(E10))</f>
        <v>#REF!</v>
      </c>
      <c r="S16" s="8"/>
      <c r="T16" s="4" t="s">
        <v>130</v>
      </c>
      <c r="U16" s="18" t="e">
        <f>SQRT(C26*B25*U5)</f>
        <v>#REF!</v>
      </c>
      <c r="AD16" s="8" t="e">
        <f>AD10</f>
        <v>#REF!</v>
      </c>
      <c r="AE16" s="1">
        <f>AE14</f>
        <v>0</v>
      </c>
    </row>
    <row r="17" spans="1:21" ht="18" x14ac:dyDescent="0.25">
      <c r="J17" s="5"/>
      <c r="K17" s="19" t="s">
        <v>32</v>
      </c>
      <c r="L17" s="5">
        <f>L15*SIN(RADIANS(C10))</f>
        <v>-283.38989159449795</v>
      </c>
      <c r="M17" s="5"/>
      <c r="N17" s="4" t="s">
        <v>40</v>
      </c>
      <c r="O17" s="18" t="e">
        <f>SQRT(B26*B25*O6)</f>
        <v>#REF!</v>
      </c>
      <c r="Q17" s="19" t="s">
        <v>111</v>
      </c>
      <c r="R17" s="5" t="e">
        <f>R15*SIN(RADIANS(E10))</f>
        <v>#REF!</v>
      </c>
      <c r="S17" s="5"/>
      <c r="T17" s="4" t="s">
        <v>40</v>
      </c>
      <c r="U17" s="18" t="e">
        <f>SQRT($C$26*$B$25*U6)</f>
        <v>#REF!</v>
      </c>
    </row>
    <row r="18" spans="1:21" ht="18" x14ac:dyDescent="0.25">
      <c r="A18" s="4" t="s">
        <v>70</v>
      </c>
      <c r="B18" s="31">
        <v>1.2</v>
      </c>
      <c r="J18" s="5"/>
      <c r="K18" s="19"/>
      <c r="L18" s="5"/>
      <c r="M18" s="5"/>
      <c r="N18" s="4" t="s">
        <v>120</v>
      </c>
      <c r="O18" s="18" t="e">
        <f>O15/O17</f>
        <v>#REF!</v>
      </c>
      <c r="Q18" s="19"/>
      <c r="R18" s="5"/>
      <c r="S18" s="5"/>
      <c r="T18" s="4" t="s">
        <v>131</v>
      </c>
      <c r="U18" s="18" t="e">
        <f>U15/U17</f>
        <v>#REF!</v>
      </c>
    </row>
    <row r="19" spans="1:21" ht="18" x14ac:dyDescent="0.35">
      <c r="A19" s="1" t="s">
        <v>147</v>
      </c>
      <c r="B19" s="32">
        <v>2.2000000000000002</v>
      </c>
      <c r="J19" s="8"/>
      <c r="K19" s="19"/>
      <c r="L19" s="5"/>
      <c r="M19" s="5"/>
      <c r="N19" s="4" t="s">
        <v>121</v>
      </c>
      <c r="O19" s="18" t="e">
        <f>O26</f>
        <v>#REF!</v>
      </c>
      <c r="Q19" s="19"/>
      <c r="R19" s="5"/>
      <c r="S19" s="5"/>
      <c r="T19" s="4" t="s">
        <v>132</v>
      </c>
      <c r="U19" s="18" t="e">
        <f>U26</f>
        <v>#REF!</v>
      </c>
    </row>
    <row r="20" spans="1:21" ht="18" x14ac:dyDescent="0.35">
      <c r="A20" s="1" t="s">
        <v>146</v>
      </c>
      <c r="B20" s="44">
        <v>1.5</v>
      </c>
      <c r="J20" s="8"/>
      <c r="K20" s="19"/>
      <c r="L20" s="5"/>
      <c r="M20" s="5"/>
      <c r="N20" s="4"/>
      <c r="O20" s="18"/>
      <c r="Q20" s="19"/>
      <c r="R20" s="5"/>
      <c r="S20" s="5"/>
      <c r="T20" s="4"/>
      <c r="U20" s="18"/>
    </row>
    <row r="21" spans="1:21" x14ac:dyDescent="0.25">
      <c r="A21" s="1" t="s">
        <v>103</v>
      </c>
      <c r="B21" s="12"/>
      <c r="C21" s="12">
        <v>8.8666980000000006E-2</v>
      </c>
      <c r="D21" s="12">
        <v>9.8341560000000008E-2</v>
      </c>
      <c r="E21" s="12">
        <v>0.15244785000000002</v>
      </c>
      <c r="F21" s="12">
        <v>0.17262959999999999</v>
      </c>
      <c r="K21" s="16" t="s">
        <v>94</v>
      </c>
      <c r="M21" s="8"/>
      <c r="N21" s="28" t="s">
        <v>94</v>
      </c>
      <c r="O21" s="15"/>
      <c r="Q21" s="16" t="s">
        <v>94</v>
      </c>
      <c r="S21" s="8"/>
      <c r="T21" s="28" t="s">
        <v>94</v>
      </c>
      <c r="U21" s="15"/>
    </row>
    <row r="22" spans="1:21" ht="18" x14ac:dyDescent="0.25">
      <c r="A22" s="1" t="s">
        <v>5</v>
      </c>
      <c r="B22" s="1">
        <v>0.5</v>
      </c>
      <c r="J22" s="8"/>
      <c r="K22" s="19" t="s">
        <v>77</v>
      </c>
      <c r="L22" s="21" t="e">
        <f>(#REF!+#REF!)/2 *C14</f>
        <v>#REF!</v>
      </c>
      <c r="M22" s="8"/>
      <c r="N22" s="4" t="s">
        <v>51</v>
      </c>
      <c r="O22" s="18" t="e">
        <f>$C$13*PI()/30*O10</f>
        <v>#REF!</v>
      </c>
      <c r="Q22" s="19" t="s">
        <v>112</v>
      </c>
      <c r="R22" s="21" t="e">
        <f>(#REF!+#REF!)/2 *$C$14</f>
        <v>#REF!</v>
      </c>
      <c r="S22" s="8"/>
      <c r="T22" s="4" t="s">
        <v>133</v>
      </c>
      <c r="U22" s="18" t="e">
        <f>C13*PI()/30*$U$10</f>
        <v>#REF!</v>
      </c>
    </row>
    <row r="23" spans="1:21" ht="18" x14ac:dyDescent="0.25">
      <c r="A23" s="1" t="s">
        <v>14</v>
      </c>
      <c r="J23" s="7"/>
      <c r="K23" s="17" t="s">
        <v>76</v>
      </c>
      <c r="L23" s="5">
        <f>SQRT(B25*B26*L6)</f>
        <v>795.22175485326409</v>
      </c>
      <c r="N23" s="4" t="s">
        <v>36</v>
      </c>
      <c r="O23" s="25" t="e">
        <f>SQRT((O30-O5)*2*B27)</f>
        <v>#REF!</v>
      </c>
      <c r="Q23" s="17" t="s">
        <v>113</v>
      </c>
      <c r="R23" s="5" t="e">
        <f>SQRT($C$26*$B$25*R6)</f>
        <v>#REF!</v>
      </c>
      <c r="T23" s="4" t="s">
        <v>134</v>
      </c>
      <c r="U23" s="25" t="e">
        <f>SQRT((U30-U5)*2*$C$27)</f>
        <v>#REF!</v>
      </c>
    </row>
    <row r="24" spans="1:21" ht="18" x14ac:dyDescent="0.25">
      <c r="B24" s="13" t="s">
        <v>90</v>
      </c>
      <c r="C24" s="13" t="s">
        <v>91</v>
      </c>
      <c r="J24" s="5"/>
      <c r="K24" s="19" t="s">
        <v>52</v>
      </c>
      <c r="L24" s="5" t="e">
        <f>SQRT(L25^2+L16^2)</f>
        <v>#REF!</v>
      </c>
      <c r="M24" s="8"/>
      <c r="N24" s="4" t="s">
        <v>87</v>
      </c>
      <c r="O24" s="25" t="e">
        <f>SQRT(O23*O23*D12)</f>
        <v>#REF!</v>
      </c>
      <c r="Q24" s="19" t="s">
        <v>114</v>
      </c>
      <c r="R24" s="5" t="e">
        <f>SQRT(R25^2+R16^2)</f>
        <v>#REF!</v>
      </c>
      <c r="S24" s="8"/>
      <c r="T24" s="4" t="s">
        <v>135</v>
      </c>
      <c r="U24" s="25" t="e">
        <f>SQRT(U23*U23*$F$12)</f>
        <v>#REF!</v>
      </c>
    </row>
    <row r="25" spans="1:21" ht="18" x14ac:dyDescent="0.25">
      <c r="A25" s="1" t="s">
        <v>16</v>
      </c>
      <c r="B25" s="39">
        <v>282.44</v>
      </c>
      <c r="C25" s="39">
        <v>282.44</v>
      </c>
      <c r="J25" s="10"/>
      <c r="K25" s="19" t="s">
        <v>33</v>
      </c>
      <c r="L25" s="5" t="e">
        <f>L17-L22</f>
        <v>#REF!</v>
      </c>
      <c r="M25" s="7"/>
      <c r="N25" s="4" t="s">
        <v>42</v>
      </c>
      <c r="O25" s="18" t="e">
        <f>O23*COS(RADIANS(D10))</f>
        <v>#REF!</v>
      </c>
      <c r="Q25" s="19" t="s">
        <v>115</v>
      </c>
      <c r="R25" s="5" t="e">
        <f>R17-R22</f>
        <v>#REF!</v>
      </c>
      <c r="S25" s="7"/>
      <c r="T25" s="4" t="s">
        <v>136</v>
      </c>
      <c r="U25" s="18" t="e">
        <f>U23*COS(RADIANS(F10))</f>
        <v>#REF!</v>
      </c>
    </row>
    <row r="26" spans="1:21" ht="18" x14ac:dyDescent="0.25">
      <c r="A26" s="2" t="s">
        <v>15</v>
      </c>
      <c r="B26" s="39">
        <v>1.26</v>
      </c>
      <c r="C26" s="40">
        <v>1.27</v>
      </c>
      <c r="K26" s="17" t="s">
        <v>63</v>
      </c>
      <c r="L26" s="5" t="e">
        <f>(L27/L6)^(B26/(B26-1))*L4</f>
        <v>#REF!</v>
      </c>
      <c r="M26" s="5"/>
      <c r="N26" s="4" t="s">
        <v>35</v>
      </c>
      <c r="O26" s="18" t="e">
        <f>O24*COS(RADIANS(D10))</f>
        <v>#REF!</v>
      </c>
      <c r="Q26" s="17" t="s">
        <v>116</v>
      </c>
      <c r="R26" s="5" t="e">
        <f>(R27/R6)^($C$26/($C$26-1))*R4</f>
        <v>#REF!</v>
      </c>
      <c r="S26" s="5"/>
      <c r="T26" s="4" t="s">
        <v>137</v>
      </c>
      <c r="U26" s="18" t="e">
        <f>U24*COS(RADIANS(F10))</f>
        <v>#REF!</v>
      </c>
    </row>
    <row r="27" spans="1:21" ht="18" x14ac:dyDescent="0.35">
      <c r="A27" s="1" t="s">
        <v>17</v>
      </c>
      <c r="B27" s="5">
        <v>1344</v>
      </c>
      <c r="C27" s="10">
        <v>1324</v>
      </c>
      <c r="K27" s="22" t="s">
        <v>24</v>
      </c>
      <c r="L27" s="5" t="e">
        <f>L6+L24^2/(2*B27)</f>
        <v>#REF!</v>
      </c>
      <c r="M27" s="10"/>
      <c r="N27" s="4" t="s">
        <v>34</v>
      </c>
      <c r="O27" s="18" t="e">
        <f>O24*SIN(RADIANS(D10))</f>
        <v>#REF!</v>
      </c>
      <c r="Q27" s="22" t="s">
        <v>117</v>
      </c>
      <c r="R27" s="5" t="e">
        <f>R6+R24^2/(2*$B$27)</f>
        <v>#REF!</v>
      </c>
      <c r="S27" s="10"/>
      <c r="T27" s="4" t="s">
        <v>138</v>
      </c>
      <c r="U27" s="18" t="e">
        <f>U24*SIN(RADIANS(F10))</f>
        <v>#REF!</v>
      </c>
    </row>
    <row r="28" spans="1:21" ht="18" x14ac:dyDescent="0.25">
      <c r="J28" s="6"/>
      <c r="K28" s="17" t="s">
        <v>26</v>
      </c>
      <c r="L28" s="10" t="e">
        <f>L27*B27</f>
        <v>#REF!</v>
      </c>
      <c r="N28" s="4" t="s">
        <v>58</v>
      </c>
      <c r="O28" s="18" t="e">
        <f>O24/O17</f>
        <v>#REF!</v>
      </c>
      <c r="Q28" s="17" t="s">
        <v>118</v>
      </c>
      <c r="R28" s="10" t="e">
        <f>R27*$C$27</f>
        <v>#REF!</v>
      </c>
      <c r="T28" s="4" t="s">
        <v>139</v>
      </c>
      <c r="U28" s="18" t="e">
        <f>U24/U17</f>
        <v>#REF!</v>
      </c>
    </row>
    <row r="29" spans="1:21" ht="18" x14ac:dyDescent="0.25">
      <c r="J29" s="5"/>
      <c r="K29" s="22"/>
      <c r="N29" s="4" t="s">
        <v>27</v>
      </c>
      <c r="O29" s="25" t="e">
        <f>O30*B27</f>
        <v>#REF!</v>
      </c>
      <c r="Q29" s="22"/>
      <c r="T29" s="4" t="s">
        <v>140</v>
      </c>
      <c r="U29" s="25" t="e">
        <f>U30*C27</f>
        <v>#REF!</v>
      </c>
    </row>
    <row r="30" spans="1:21" ht="18" x14ac:dyDescent="0.25">
      <c r="A30" s="2"/>
      <c r="B30" s="8"/>
      <c r="J30" s="5"/>
      <c r="K30" s="22"/>
      <c r="M30" s="6"/>
      <c r="N30" s="2" t="s">
        <v>64</v>
      </c>
      <c r="O30" s="25" t="e">
        <f>L27-(L22^2-O22^2)/(2*B27)</f>
        <v>#REF!</v>
      </c>
      <c r="Q30" s="22"/>
      <c r="S30" s="6"/>
      <c r="T30" s="2" t="s">
        <v>141</v>
      </c>
      <c r="U30" s="25" t="e">
        <f>R27-(R22^2-U22^2)/(2*$C$27)</f>
        <v>#REF!</v>
      </c>
    </row>
    <row r="31" spans="1:21" ht="18" x14ac:dyDescent="0.25">
      <c r="J31" s="5"/>
      <c r="K31" s="19" t="s">
        <v>83</v>
      </c>
      <c r="L31" s="41">
        <f>(I2-L10)/(I2-L4)</f>
        <v>0.20503039657440561</v>
      </c>
      <c r="M31" s="5"/>
      <c r="N31" s="2" t="s">
        <v>88</v>
      </c>
      <c r="O31" s="18" t="e">
        <f>L26</f>
        <v>#REF!</v>
      </c>
      <c r="Q31" s="19" t="s">
        <v>83</v>
      </c>
      <c r="R31" s="42" t="e">
        <f>(O11-R10)/(O11-R4)</f>
        <v>#REF!</v>
      </c>
      <c r="S31" s="5"/>
      <c r="T31" s="2" t="s">
        <v>142</v>
      </c>
      <c r="U31" s="18" t="e">
        <f>R26</f>
        <v>#REF!</v>
      </c>
    </row>
    <row r="32" spans="1:21" ht="18" x14ac:dyDescent="0.25">
      <c r="J32" s="8"/>
      <c r="K32" s="17" t="s">
        <v>19</v>
      </c>
      <c r="L32" s="7">
        <f>B30*(L6/273.15)^1.5*(273.15+110.4)/(L6+110.4)</f>
        <v>0</v>
      </c>
      <c r="M32" s="5"/>
      <c r="N32" s="2" t="s">
        <v>89</v>
      </c>
      <c r="O32" s="18" t="e">
        <f>POWER(1+(B26-1)/2*O28^2,B26/(B26-1))*O4</f>
        <v>#REF!</v>
      </c>
      <c r="Q32" s="17" t="s">
        <v>19</v>
      </c>
      <c r="R32" s="7" t="e">
        <f>$B$30*(R6/273.15)^1.5*(273.15+110.4)/(R6+110.4)</f>
        <v>#REF!</v>
      </c>
      <c r="S32" s="5"/>
      <c r="T32" s="2" t="s">
        <v>143</v>
      </c>
      <c r="U32" s="18" t="e">
        <f>POWER(1+($C$26-1)/2*U28^2,$C$26/($C$26-1))*U4</f>
        <v>#REF!</v>
      </c>
    </row>
    <row r="33" spans="10:21" x14ac:dyDescent="0.25">
      <c r="J33" s="8"/>
      <c r="K33" s="17"/>
      <c r="L33" s="7"/>
      <c r="M33" s="5"/>
      <c r="N33" s="2" t="s">
        <v>144</v>
      </c>
      <c r="O33" s="18" t="e">
        <f>(L13-O13)*O35*$B$27/1000000</f>
        <v>#REF!</v>
      </c>
      <c r="Q33" s="17"/>
      <c r="R33" s="7"/>
      <c r="S33" s="5"/>
      <c r="T33" s="2" t="s">
        <v>144</v>
      </c>
      <c r="U33" s="18" t="e">
        <f>(R13-U13)*U35*$B$27/1000000</f>
        <v>#REF!</v>
      </c>
    </row>
    <row r="34" spans="10:21" x14ac:dyDescent="0.25">
      <c r="K34" s="22"/>
      <c r="M34" s="5"/>
      <c r="O34" s="15"/>
      <c r="Q34" s="22"/>
      <c r="S34" s="5"/>
      <c r="U34" s="15"/>
    </row>
    <row r="35" spans="10:21" x14ac:dyDescent="0.25">
      <c r="K35" s="22" t="s">
        <v>18</v>
      </c>
      <c r="L35" s="26">
        <f>L7*C21*L16</f>
        <v>46.142422087578666</v>
      </c>
      <c r="M35" s="8"/>
      <c r="N35" s="1" t="s">
        <v>18</v>
      </c>
      <c r="O35" s="24" t="e">
        <f>O26*O7*D21</f>
        <v>#REF!</v>
      </c>
      <c r="Q35" s="22" t="s">
        <v>18</v>
      </c>
      <c r="R35" s="26" t="e">
        <f>R7*E21*R16</f>
        <v>#REF!</v>
      </c>
      <c r="S35" s="8"/>
      <c r="T35" s="1" t="s">
        <v>18</v>
      </c>
      <c r="U35" s="24" t="e">
        <f>U26*U7*F21</f>
        <v>#REF!</v>
      </c>
    </row>
    <row r="36" spans="10:21" x14ac:dyDescent="0.25">
      <c r="J36" s="7"/>
      <c r="K36" s="20" t="s">
        <v>85</v>
      </c>
      <c r="L36" s="29" t="e">
        <f>L35-O35</f>
        <v>#REF!</v>
      </c>
      <c r="M36" s="13"/>
      <c r="N36" s="30" t="s">
        <v>83</v>
      </c>
      <c r="O36" s="43" t="e">
        <f>(O31-O32)/(O31-O4)</f>
        <v>#REF!</v>
      </c>
      <c r="Q36" s="20" t="s">
        <v>85</v>
      </c>
      <c r="R36" s="29" t="e">
        <f>R35-U35</f>
        <v>#REF!</v>
      </c>
      <c r="S36" s="13"/>
      <c r="T36" s="30" t="s">
        <v>83</v>
      </c>
      <c r="U36" s="43" t="e">
        <f>(U31-U32)/(U31-U4)</f>
        <v>#REF!</v>
      </c>
    </row>
    <row r="37" spans="10:21" x14ac:dyDescent="0.25">
      <c r="J37" s="7"/>
      <c r="K37" s="5"/>
      <c r="L37" s="5"/>
    </row>
    <row r="38" spans="10:21" x14ac:dyDescent="0.25">
      <c r="K38" s="1" t="s">
        <v>6</v>
      </c>
      <c r="M38" s="7"/>
      <c r="Q38" s="1" t="s">
        <v>6</v>
      </c>
    </row>
    <row r="39" spans="10:21" ht="18" x14ac:dyDescent="0.25">
      <c r="J39" s="8"/>
      <c r="K39" s="2" t="s">
        <v>39</v>
      </c>
      <c r="L39" s="7" t="e">
        <f>(L13-O13)/(L13-O12)</f>
        <v>#REF!</v>
      </c>
      <c r="M39" s="7"/>
      <c r="Q39" s="2" t="s">
        <v>39</v>
      </c>
      <c r="R39" s="7" t="e">
        <f>(R13-U13)/(R13-U12)</f>
        <v>#REF!</v>
      </c>
    </row>
    <row r="40" spans="10:21" x14ac:dyDescent="0.25">
      <c r="K40" s="4" t="s">
        <v>45</v>
      </c>
      <c r="L40" s="8" t="e">
        <f>(L6-O6)/(I6-O6)</f>
        <v>#REF!</v>
      </c>
      <c r="Q40" s="4" t="s">
        <v>45</v>
      </c>
      <c r="R40" s="8" t="e">
        <f>(R6-U6)/(O6-U6)</f>
        <v>#REF!</v>
      </c>
    </row>
    <row r="41" spans="10:21" x14ac:dyDescent="0.25">
      <c r="K41" s="4" t="s">
        <v>47</v>
      </c>
      <c r="L41" s="7">
        <f>(L4-O4)/(I7-O4)</f>
        <v>0.42603405057470228</v>
      </c>
      <c r="M41" s="8"/>
      <c r="Q41" s="4" t="s">
        <v>47</v>
      </c>
      <c r="R41" s="7" t="e">
        <f>(R4-U4)/(O7-U4)</f>
        <v>#REF!</v>
      </c>
    </row>
    <row r="42" spans="10:21" x14ac:dyDescent="0.25">
      <c r="K42" s="4" t="s">
        <v>66</v>
      </c>
      <c r="L42" s="7" t="e">
        <f>$B$27*(I3-O13)/AVERAGE(L22,O22)^2</f>
        <v>#REF!</v>
      </c>
      <c r="Q42" s="4" t="s">
        <v>66</v>
      </c>
      <c r="R42" s="7" t="e">
        <f>$C$27*(O13-U13)/AVERAGE(R22,U22)^2</f>
        <v>#REF!</v>
      </c>
    </row>
    <row r="43" spans="10:21" x14ac:dyDescent="0.25">
      <c r="K43" s="4" t="s">
        <v>49</v>
      </c>
      <c r="L43" s="5" t="e">
        <f>$B$27*(I3-O13)</f>
        <v>#REF!</v>
      </c>
      <c r="Q43" s="4" t="s">
        <v>49</v>
      </c>
      <c r="R43" s="5" t="e">
        <f>$C$27*(O13-U13)</f>
        <v>#REF!</v>
      </c>
    </row>
    <row r="44" spans="10:21" ht="18" x14ac:dyDescent="0.25">
      <c r="K44" s="2" t="s">
        <v>65</v>
      </c>
      <c r="L44" s="8">
        <f>(L4-O4)/(I2-O4)</f>
        <v>0.38000000000000006</v>
      </c>
      <c r="Q44" s="2" t="s">
        <v>65</v>
      </c>
      <c r="R44" s="8" t="e">
        <f>(R4-U4)/(O11-U4)</f>
        <v>#REF!</v>
      </c>
    </row>
    <row r="46" spans="10:21" x14ac:dyDescent="0.25">
      <c r="K46" s="1" t="s">
        <v>145</v>
      </c>
      <c r="L46" s="5" t="e">
        <f>AVERAGE(L35,O35,R35,U35)</f>
        <v>#REF!</v>
      </c>
    </row>
    <row r="47" spans="10:21" x14ac:dyDescent="0.25">
      <c r="L47" s="10"/>
    </row>
  </sheetData>
  <mergeCells count="2">
    <mergeCell ref="K1:O1"/>
    <mergeCell ref="Q1:U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Multi-Stage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Juangphanich, Paht</dc:creator>
  <cp:lastModifiedBy>Juangphanich, Paht (GRC-LTE0)</cp:lastModifiedBy>
  <dcterms:created xsi:type="dcterms:W3CDTF">2015-06-11T18:26:47Z</dcterms:created>
  <dcterms:modified xsi:type="dcterms:W3CDTF">2024-09-06T20:30:02Z</dcterms:modified>
</cp:coreProperties>
</file>