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codeName="ThisWorkbook" defaultThemeVersion="124226"/>
  <xr:revisionPtr revIDLastSave="0" documentId="13_ncr:1_{763633A2-A333-7A48-8E45-2D2862337A90}" xr6:coauthVersionLast="47" xr6:coauthVersionMax="47" xr10:uidLastSave="{00000000-0000-0000-0000-000000000000}"/>
  <bookViews>
    <workbookView xWindow="1060" yWindow="1460" windowWidth="29240" windowHeight="18880" xr2:uid="{00000000-000D-0000-FFFF-FFFF00000000}"/>
  </bookViews>
  <sheets>
    <sheet name="1D" sheetId="2" r:id="rId1"/>
    <sheet name="Sheet1" sheetId="3" r:id="rId2"/>
  </sheets>
  <definedNames>
    <definedName name="solver_adj" localSheetId="0" hidden="1">'1D'!$C$8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'1D'!$L$49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36.4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2" l="1"/>
  <c r="I84" i="2"/>
  <c r="H51" i="2"/>
  <c r="H50" i="2"/>
  <c r="H53" i="2"/>
  <c r="H54" i="2"/>
  <c r="K52" i="2"/>
  <c r="K51" i="2"/>
  <c r="C36" i="2"/>
  <c r="C55" i="2" l="1"/>
  <c r="C57" i="2" l="1"/>
  <c r="C58" i="2" s="1"/>
  <c r="C64" i="2" s="1"/>
  <c r="C35" i="2"/>
  <c r="C53" i="2" l="1"/>
  <c r="C40" i="2"/>
  <c r="C38" i="2"/>
  <c r="C37" i="2"/>
  <c r="M9" i="2" l="1"/>
  <c r="C41" i="2" l="1"/>
  <c r="E59" i="2"/>
  <c r="D124" i="2"/>
  <c r="C56" i="2"/>
  <c r="C31" i="2"/>
  <c r="D122" i="2" s="1"/>
  <c r="C86" i="2"/>
  <c r="C42" i="2"/>
  <c r="C43" i="2" s="1"/>
  <c r="D116" i="2"/>
  <c r="L40" i="2" s="1"/>
  <c r="L38" i="2"/>
  <c r="K33" i="2"/>
  <c r="M31" i="2"/>
  <c r="L30" i="2"/>
  <c r="K30" i="2"/>
  <c r="R8" i="2"/>
  <c r="R10" i="2"/>
  <c r="C84" i="2"/>
  <c r="E60" i="2" l="1"/>
  <c r="G59" i="2"/>
  <c r="G60" i="2" s="1"/>
  <c r="C88" i="2"/>
  <c r="D119" i="2" s="1"/>
  <c r="C45" i="2"/>
  <c r="C44" i="2"/>
  <c r="C47" i="2" s="1"/>
  <c r="L43" i="2" l="1"/>
  <c r="C59" i="2"/>
  <c r="C65" i="2"/>
  <c r="C66" i="2" s="1"/>
  <c r="C67" i="2" s="1"/>
  <c r="L36" i="2"/>
  <c r="G21" i="2"/>
  <c r="C60" i="2" l="1"/>
  <c r="C62" i="2" s="1"/>
  <c r="C69" i="2"/>
  <c r="C68" i="2"/>
  <c r="C71" i="2" s="1"/>
  <c r="C87" i="2" s="1"/>
  <c r="C61" i="2"/>
  <c r="L31" i="2" l="1"/>
  <c r="L33" i="2"/>
  <c r="C75" i="2"/>
  <c r="C77" i="2"/>
  <c r="C73" i="2"/>
  <c r="L34" i="2" s="1"/>
  <c r="C72" i="2"/>
  <c r="C89" i="2" s="1"/>
  <c r="C90" i="2" s="1"/>
  <c r="C91" i="2" s="1"/>
  <c r="D126" i="2"/>
  <c r="L46" i="2" s="1"/>
  <c r="C78" i="2" l="1"/>
  <c r="G22" i="2"/>
  <c r="C92" i="2" l="1"/>
  <c r="C95" i="2" s="1"/>
  <c r="C93" i="2" l="1"/>
  <c r="C106" i="2" s="1"/>
  <c r="C96" i="2"/>
  <c r="C97" i="2" s="1"/>
  <c r="C99" i="2" l="1"/>
  <c r="C100" i="2" s="1"/>
  <c r="C104" i="2"/>
  <c r="D127" i="2" s="1"/>
  <c r="L47" i="2" s="1"/>
  <c r="C94" i="2"/>
  <c r="M34" i="2" s="1"/>
  <c r="C98" i="2"/>
  <c r="D113" i="2" s="1"/>
  <c r="C103" i="2"/>
  <c r="M30" i="2" s="1"/>
  <c r="D117" i="2"/>
  <c r="L41" i="2" s="1"/>
  <c r="C108" i="2"/>
  <c r="L49" i="2" s="1"/>
  <c r="M33" i="2" l="1"/>
  <c r="C101" i="2"/>
  <c r="C102" i="2" s="1"/>
  <c r="D118" i="2"/>
  <c r="L42" i="2" s="1"/>
  <c r="D123" i="2"/>
  <c r="D114" i="2"/>
  <c r="L37" i="2" s="1"/>
  <c r="C109" i="2"/>
  <c r="G23" i="2"/>
  <c r="D120" i="2" l="1"/>
  <c r="L44" i="2" s="1"/>
</calcChain>
</file>

<file path=xl/sharedStrings.xml><?xml version="1.0" encoding="utf-8"?>
<sst xmlns="http://schemas.openxmlformats.org/spreadsheetml/2006/main" count="255" uniqueCount="167">
  <si>
    <t>General</t>
  </si>
  <si>
    <r>
      <t xml:space="preserve">Pressure reaction </t>
    </r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p</t>
    </r>
  </si>
  <si>
    <r>
      <t xml:space="preserve">Pressure Ratio </t>
    </r>
    <r>
      <rPr>
        <b/>
        <sz val="11"/>
        <color theme="1"/>
        <rFont val="Calibri"/>
        <family val="2"/>
      </rPr>
      <t>π</t>
    </r>
  </si>
  <si>
    <r>
      <t xml:space="preserve">Flow Coefficient </t>
    </r>
    <r>
      <rPr>
        <b/>
        <sz val="11"/>
        <color theme="1"/>
        <rFont val="Calibri"/>
        <family val="2"/>
        <scheme val="minor"/>
      </rPr>
      <t>φ</t>
    </r>
  </si>
  <si>
    <r>
      <t>Stage Loading Coefficient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ψ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</si>
  <si>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</si>
  <si>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t>-</t>
  </si>
  <si>
    <t>Geometrical</t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</si>
  <si>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</si>
  <si>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01</t>
    </r>
  </si>
  <si>
    <r>
      <t>P</t>
    </r>
    <r>
      <rPr>
        <vertAlign val="subscript"/>
        <sz val="11"/>
        <color theme="1"/>
        <rFont val="Calibri"/>
        <family val="2"/>
        <scheme val="minor"/>
      </rPr>
      <t>01</t>
    </r>
  </si>
  <si>
    <t>Pa</t>
  </si>
  <si>
    <t>K</t>
  </si>
  <si>
    <t>deg.</t>
  </si>
  <si>
    <t>Mean Velocity Ratio</t>
  </si>
  <si>
    <t>Non Dim. Rotation speed</t>
  </si>
  <si>
    <t>U</t>
  </si>
  <si>
    <t>m/s</t>
  </si>
  <si>
    <t>Assumptions</t>
  </si>
  <si>
    <t>gamma</t>
  </si>
  <si>
    <t>Design Constants</t>
  </si>
  <si>
    <t>1D Design</t>
  </si>
  <si>
    <t>Calculations</t>
  </si>
  <si>
    <t>Summary</t>
  </si>
  <si>
    <r>
      <t>R</t>
    </r>
    <r>
      <rPr>
        <vertAlign val="subscript"/>
        <sz val="11"/>
        <color theme="1"/>
        <rFont val="Calibri"/>
        <family val="2"/>
      </rPr>
      <t>mean</t>
    </r>
  </si>
  <si>
    <t>Blade height</t>
  </si>
  <si>
    <r>
      <t>β</t>
    </r>
    <r>
      <rPr>
        <vertAlign val="subscript"/>
        <sz val="8"/>
        <color theme="1"/>
        <rFont val="Calibri"/>
        <family val="2"/>
      </rPr>
      <t>2</t>
    </r>
  </si>
  <si>
    <t>m</t>
  </si>
  <si>
    <r>
      <t>β</t>
    </r>
    <r>
      <rPr>
        <vertAlign val="subscript"/>
        <sz val="8"/>
        <color theme="1"/>
        <rFont val="Calibri"/>
        <family val="2"/>
      </rPr>
      <t>3</t>
    </r>
  </si>
  <si>
    <t>RPM</t>
  </si>
  <si>
    <t>r/min</t>
  </si>
  <si>
    <t>Given</t>
  </si>
  <si>
    <t>Inlet Flow Conditions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</si>
  <si>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</si>
  <si>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t>R</t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</si>
  <si>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</si>
  <si>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t>m²</t>
  </si>
  <si>
    <t>massflow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</si>
  <si>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</si>
  <si>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t>kg/s</t>
  </si>
  <si>
    <t>Performance</t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</si>
  <si>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</si>
  <si>
    <t>Station 2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</si>
  <si>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</si>
  <si>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η</t>
    </r>
    <r>
      <rPr>
        <vertAlign val="subscript"/>
        <sz val="11"/>
        <color theme="1"/>
        <rFont val="Calibri"/>
        <family val="2"/>
      </rPr>
      <t>stator</t>
    </r>
  </si>
  <si>
    <t>enthalpy ratio</t>
  </si>
  <si>
    <r>
      <t>η</t>
    </r>
    <r>
      <rPr>
        <vertAlign val="subscript"/>
        <sz val="11"/>
        <color theme="1"/>
        <rFont val="Calibri"/>
        <family val="2"/>
      </rPr>
      <t>rotor</t>
    </r>
  </si>
  <si>
    <r>
      <t>ρ</t>
    </r>
    <r>
      <rPr>
        <vertAlign val="subscript"/>
        <sz val="11"/>
        <color theme="1"/>
        <rFont val="Calibri"/>
        <family val="2"/>
      </rPr>
      <t>2</t>
    </r>
  </si>
  <si>
    <t>&lt; change</t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</si>
  <si>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1</t>
    </r>
  </si>
  <si>
    <t>Station 3</t>
  </si>
  <si>
    <r>
      <t>M</t>
    </r>
    <r>
      <rPr>
        <vertAlign val="subscript"/>
        <sz val="11"/>
        <color theme="1"/>
        <rFont val="Calibri"/>
        <family val="2"/>
      </rPr>
      <t>2,r</t>
    </r>
  </si>
  <si>
    <r>
      <t>T</t>
    </r>
    <r>
      <rPr>
        <vertAlign val="subscript"/>
        <sz val="11"/>
        <color theme="1"/>
        <rFont val="Calibri"/>
        <family val="2"/>
      </rPr>
      <t>03,r</t>
    </r>
  </si>
  <si>
    <r>
      <t>W</t>
    </r>
    <r>
      <rPr>
        <vertAlign val="subscript"/>
        <sz val="11"/>
        <color theme="1"/>
        <rFont val="Calibri"/>
        <family val="2"/>
      </rPr>
      <t>3</t>
    </r>
  </si>
  <si>
    <r>
      <t>T</t>
    </r>
    <r>
      <rPr>
        <vertAlign val="subscript"/>
        <sz val="11"/>
        <color theme="1"/>
        <rFont val="Calibri"/>
        <family val="2"/>
      </rPr>
      <t>3</t>
    </r>
  </si>
  <si>
    <r>
      <t>M</t>
    </r>
    <r>
      <rPr>
        <vertAlign val="subscript"/>
        <sz val="11"/>
        <color theme="1"/>
        <rFont val="Calibri"/>
        <family val="2"/>
      </rPr>
      <t>3,r</t>
    </r>
  </si>
  <si>
    <r>
      <t>P</t>
    </r>
    <r>
      <rPr>
        <vertAlign val="subscript"/>
        <sz val="11"/>
        <color theme="1"/>
        <rFont val="Calibri"/>
        <family val="2"/>
      </rPr>
      <t>01</t>
    </r>
    <r>
      <rPr>
        <sz val="11"/>
        <color theme="1"/>
        <rFont val="Calibri"/>
        <family val="2"/>
      </rPr>
      <t>/P</t>
    </r>
    <r>
      <rPr>
        <vertAlign val="subscript"/>
        <sz val="11"/>
        <color theme="1"/>
        <rFont val="Calibri"/>
        <family val="2"/>
      </rPr>
      <t>3</t>
    </r>
  </si>
  <si>
    <r>
      <t>P</t>
    </r>
    <r>
      <rPr>
        <vertAlign val="subscript"/>
        <sz val="11"/>
        <color theme="1"/>
        <rFont val="Calibri"/>
        <family val="2"/>
      </rPr>
      <t>3</t>
    </r>
  </si>
  <si>
    <r>
      <t>V</t>
    </r>
    <r>
      <rPr>
        <vertAlign val="subscript"/>
        <sz val="11"/>
        <color theme="1"/>
        <rFont val="Calibri"/>
        <family val="2"/>
      </rPr>
      <t>3,t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</si>
  <si>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</si>
  <si>
    <r>
      <t>W</t>
    </r>
    <r>
      <rPr>
        <vertAlign val="subscript"/>
        <sz val="11"/>
        <color theme="1"/>
        <rFont val="Calibri"/>
        <family val="2"/>
      </rPr>
      <t>3,t</t>
    </r>
  </si>
  <si>
    <r>
      <t>V</t>
    </r>
    <r>
      <rPr>
        <vertAlign val="subscript"/>
        <sz val="11"/>
        <color theme="1"/>
        <rFont val="Calibri"/>
        <family val="2"/>
      </rPr>
      <t>3,ax</t>
    </r>
  </si>
  <si>
    <t xml:space="preserve">Overall </t>
  </si>
  <si>
    <t>Power</t>
  </si>
  <si>
    <r>
      <t>T</t>
    </r>
    <r>
      <rPr>
        <vertAlign val="subscript"/>
        <sz val="11"/>
        <color theme="1"/>
        <rFont val="Calibri"/>
        <family val="2"/>
      </rPr>
      <t>03</t>
    </r>
  </si>
  <si>
    <r>
      <t>M</t>
    </r>
    <r>
      <rPr>
        <vertAlign val="subscript"/>
        <sz val="11"/>
        <color theme="1"/>
        <rFont val="Calibri"/>
        <family val="2"/>
      </rPr>
      <t>3</t>
    </r>
  </si>
  <si>
    <t>ΔH</t>
  </si>
  <si>
    <t>MW</t>
  </si>
  <si>
    <r>
      <t>P</t>
    </r>
    <r>
      <rPr>
        <vertAlign val="subscript"/>
        <sz val="11"/>
        <color theme="1"/>
        <rFont val="Calibri"/>
        <family val="2"/>
      </rPr>
      <t>03</t>
    </r>
  </si>
  <si>
    <r>
      <t>P</t>
    </r>
    <r>
      <rPr>
        <vertAlign val="subscript"/>
        <sz val="11"/>
        <color theme="1"/>
        <rFont val="Calibri"/>
        <family val="2"/>
      </rPr>
      <t>02</t>
    </r>
  </si>
  <si>
    <t>%</t>
  </si>
  <si>
    <t>Station 1</t>
  </si>
  <si>
    <t>kg/m³</t>
  </si>
  <si>
    <t>&lt; needs to match station 1</t>
  </si>
  <si>
    <t>Changed to match massflow</t>
  </si>
  <si>
    <r>
      <rPr>
        <b/>
        <sz val="11"/>
        <color theme="1"/>
        <rFont val="Calibri"/>
        <family val="2"/>
      </rPr>
      <t>α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</si>
  <si>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stat. 2</t>
  </si>
  <si>
    <t>stat. 3</t>
  </si>
  <si>
    <t>stat. 1:</t>
  </si>
  <si>
    <t>error</t>
  </si>
  <si>
    <r>
      <t>M</t>
    </r>
    <r>
      <rPr>
        <vertAlign val="subscript"/>
        <sz val="11"/>
        <color theme="1"/>
        <rFont val="Calibri"/>
        <family val="2"/>
      </rPr>
      <t>1</t>
    </r>
  </si>
  <si>
    <t>α</t>
  </si>
  <si>
    <t>β</t>
  </si>
  <si>
    <t>M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</si>
  <si>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r</t>
    </r>
  </si>
  <si>
    <t>Flow Coefficient φ</t>
  </si>
  <si>
    <r>
      <t xml:space="preserve">Stage Loading </t>
    </r>
    <r>
      <rPr>
        <b/>
        <sz val="11"/>
        <color theme="1"/>
        <rFont val="Calibri"/>
        <family val="2"/>
      </rPr>
      <t xml:space="preserve"> ψ</t>
    </r>
  </si>
  <si>
    <r>
      <t>DoR r</t>
    </r>
    <r>
      <rPr>
        <b/>
        <vertAlign val="subscript"/>
        <sz val="11"/>
        <color theme="1"/>
        <rFont val="Calibri"/>
        <family val="2"/>
        <scheme val="minor"/>
      </rPr>
      <t>p</t>
    </r>
  </si>
  <si>
    <r>
      <t>β</t>
    </r>
    <r>
      <rPr>
        <b/>
        <vertAlign val="subscript"/>
        <sz val="8"/>
        <color theme="1"/>
        <rFont val="Calibri"/>
        <family val="2"/>
      </rPr>
      <t>3</t>
    </r>
  </si>
  <si>
    <r>
      <t>V</t>
    </r>
    <r>
      <rPr>
        <vertAlign val="subscript"/>
        <sz val="11"/>
        <color theme="1"/>
        <rFont val="Calibri"/>
        <family val="2"/>
      </rPr>
      <t>3</t>
    </r>
  </si>
  <si>
    <r>
      <t>P</t>
    </r>
    <r>
      <rPr>
        <vertAlign val="subscript"/>
        <sz val="11"/>
        <color theme="1"/>
        <rFont val="Calibri"/>
        <family val="2"/>
      </rPr>
      <t>03r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</si>
  <si>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</si>
  <si>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r>
      <t>Re</t>
    </r>
    <r>
      <rPr>
        <b/>
        <vertAlign val="subscript"/>
        <sz val="11"/>
        <color theme="1"/>
        <rFont val="Calibri"/>
        <family val="2"/>
        <scheme val="minor"/>
      </rPr>
      <t>stator</t>
    </r>
  </si>
  <si>
    <r>
      <t>Re</t>
    </r>
    <r>
      <rPr>
        <b/>
        <vertAlign val="subscript"/>
        <sz val="11"/>
        <color theme="1"/>
        <rFont val="Calibri"/>
        <family val="2"/>
        <scheme val="minor"/>
      </rPr>
      <t>rotor</t>
    </r>
  </si>
  <si>
    <r>
      <t>mu</t>
    </r>
    <r>
      <rPr>
        <vertAlign val="subscript"/>
        <sz val="11"/>
        <color theme="1"/>
        <rFont val="Calibri"/>
        <family val="2"/>
        <scheme val="minor"/>
      </rPr>
      <t>1</t>
    </r>
  </si>
  <si>
    <r>
      <t>mu</t>
    </r>
    <r>
      <rPr>
        <vertAlign val="subscript"/>
        <sz val="11"/>
        <color theme="1"/>
        <rFont val="Calibri"/>
        <family val="2"/>
        <scheme val="minor"/>
      </rPr>
      <t>3</t>
    </r>
  </si>
  <si>
    <t>Sutherland Constants</t>
  </si>
  <si>
    <t>S</t>
  </si>
  <si>
    <r>
      <t>mu</t>
    </r>
    <r>
      <rPr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</si>
  <si>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</si>
  <si>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Re</t>
    </r>
    <r>
      <rPr>
        <vertAlign val="subscript"/>
        <sz val="11"/>
        <color theme="1"/>
        <rFont val="Calibri"/>
        <family val="2"/>
        <scheme val="minor"/>
      </rPr>
      <t>stator</t>
    </r>
  </si>
  <si>
    <r>
      <t>Re</t>
    </r>
    <r>
      <rPr>
        <vertAlign val="subscript"/>
        <sz val="11"/>
        <color theme="1"/>
        <rFont val="Calibri"/>
        <family val="2"/>
        <scheme val="minor"/>
      </rPr>
      <t>rotor</t>
    </r>
  </si>
  <si>
    <t>1/m</t>
  </si>
  <si>
    <t>[1/m]</t>
  </si>
  <si>
    <t>Massflow</t>
  </si>
  <si>
    <t>[kg/s]</t>
  </si>
  <si>
    <t>Constants (at 500K)</t>
  </si>
  <si>
    <t>[MW]</t>
  </si>
  <si>
    <t>Efficiency</t>
  </si>
  <si>
    <t>General Turbine Design</t>
  </si>
  <si>
    <r>
      <t xml:space="preserve"> - R</t>
    </r>
    <r>
      <rPr>
        <i/>
        <vertAlign val="subscript"/>
        <sz val="11"/>
        <color theme="1"/>
        <rFont val="Calibri"/>
        <family val="2"/>
        <scheme val="minor"/>
      </rPr>
      <t>mean</t>
    </r>
    <r>
      <rPr>
        <i/>
        <sz val="11"/>
        <color theme="1"/>
        <rFont val="Calibri"/>
        <family val="2"/>
        <scheme val="minor"/>
      </rPr>
      <t xml:space="preserve"> is constant</t>
    </r>
  </si>
  <si>
    <t>H2/H1</t>
  </si>
  <si>
    <t>H3/H2</t>
  </si>
  <si>
    <t>H1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</si>
  <si>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</si>
  <si>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peripheral speed</t>
  </si>
  <si>
    <t>given</t>
  </si>
  <si>
    <t>Comments</t>
  </si>
  <si>
    <t>annulus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</si>
  <si>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</si>
  <si>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Pa s</t>
  </si>
  <si>
    <r>
      <t>r</t>
    </r>
    <r>
      <rPr>
        <vertAlign val="subscript"/>
        <sz val="11"/>
        <color theme="1"/>
        <rFont val="Calibri"/>
        <family val="2"/>
      </rPr>
      <t>p</t>
    </r>
  </si>
  <si>
    <t>degree of reaction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</si>
  <si>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</si>
  <si>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02</t>
    </r>
  </si>
  <si>
    <t>No heat loss</t>
  </si>
  <si>
    <r>
      <t>V</t>
    </r>
    <r>
      <rPr>
        <vertAlign val="subscript"/>
        <sz val="11"/>
        <color theme="1"/>
        <rFont val="Calibri"/>
        <family val="2"/>
        <scheme val="minor"/>
      </rPr>
      <t>2,is</t>
    </r>
  </si>
  <si>
    <r>
      <t>from 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/P</t>
    </r>
    <r>
      <rPr>
        <i/>
        <vertAlign val="subscript"/>
        <sz val="11"/>
        <color theme="1"/>
        <rFont val="Calibri"/>
        <family val="2"/>
        <scheme val="minor"/>
      </rPr>
      <t>01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</si>
  <si>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</si>
  <si>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from η</t>
    </r>
    <r>
      <rPr>
        <i/>
        <vertAlign val="subscript"/>
        <sz val="11"/>
        <color theme="1"/>
        <rFont val="Calibri"/>
        <family val="2"/>
        <scheme val="minor"/>
      </rPr>
      <t>stator</t>
    </r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</si>
  <si>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</si>
  <si>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2,ax </t>
    </r>
    <r>
      <rPr>
        <sz val="11"/>
        <color theme="1"/>
        <rFont val="Calibri"/>
        <family val="2"/>
        <scheme val="minor"/>
      </rPr>
      <t>= W</t>
    </r>
    <r>
      <rPr>
        <vertAlign val="subscript"/>
        <sz val="11"/>
        <color theme="1"/>
        <rFont val="Calibri"/>
        <family val="2"/>
        <scheme val="minor"/>
      </rPr>
      <t>2,ax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</si>
  <si>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2,t </t>
    </r>
  </si>
  <si>
    <r>
      <t>W</t>
    </r>
    <r>
      <rPr>
        <vertAlign val="subscript"/>
        <sz val="11"/>
        <color theme="1"/>
        <rFont val="Calibri"/>
        <family val="2"/>
        <scheme val="minor"/>
      </rPr>
      <t>2,t</t>
    </r>
  </si>
  <si>
    <r>
      <t>W</t>
    </r>
    <r>
      <rPr>
        <vertAlign val="subscript"/>
        <sz val="11"/>
        <color theme="1"/>
        <rFont val="Calibri"/>
        <family val="2"/>
      </rPr>
      <t>2</t>
    </r>
  </si>
  <si>
    <r>
      <t>mu</t>
    </r>
    <r>
      <rPr>
        <vertAlign val="subscript"/>
        <sz val="11"/>
        <color theme="1"/>
        <rFont val="Calibri"/>
        <family val="2"/>
        <scheme val="minor"/>
      </rPr>
      <t>2</t>
    </r>
  </si>
  <si>
    <t>Losses</t>
  </si>
  <si>
    <r>
      <t>P</t>
    </r>
    <r>
      <rPr>
        <vertAlign val="subscript"/>
        <sz val="11"/>
        <color theme="1"/>
        <rFont val="Calibri"/>
        <family val="2"/>
      </rPr>
      <t>02,r</t>
    </r>
  </si>
  <si>
    <r>
      <t>T</t>
    </r>
    <r>
      <rPr>
        <vertAlign val="subscript"/>
        <sz val="11"/>
        <color theme="1"/>
        <rFont val="Calibri"/>
        <family val="2"/>
      </rPr>
      <t>02,r</t>
    </r>
  </si>
  <si>
    <t>ω</t>
  </si>
  <si>
    <r>
      <t>T</t>
    </r>
    <r>
      <rPr>
        <vertAlign val="subscript"/>
        <sz val="11"/>
        <color theme="1"/>
        <rFont val="Calibri"/>
        <family val="2"/>
      </rPr>
      <t>3,is</t>
    </r>
  </si>
  <si>
    <t>,</t>
  </si>
  <si>
    <t>Isentropic from P02r, P3 and T02r</t>
  </si>
  <si>
    <r>
      <t>W</t>
    </r>
    <r>
      <rPr>
        <vertAlign val="subscript"/>
        <sz val="11"/>
        <color theme="1"/>
        <rFont val="Calibri"/>
        <family val="2"/>
      </rPr>
      <t>3,is</t>
    </r>
  </si>
  <si>
    <r>
      <t>ρ</t>
    </r>
    <r>
      <rPr>
        <vertAlign val="subscript"/>
        <sz val="11"/>
        <color theme="1"/>
        <rFont val="Calibri"/>
        <family val="2"/>
      </rPr>
      <t>3</t>
    </r>
  </si>
  <si>
    <t>Tip Speed</t>
  </si>
  <si>
    <t>Height Ratio</t>
  </si>
  <si>
    <t xml:space="preserve"> - Constant gas properties</t>
  </si>
  <si>
    <t xml:space="preserve"> - Perfect gas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</si>
  <si>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</si>
  <si>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(total-to-total)</t>
  </si>
  <si>
    <t xml:space="preserve">   &gt; adjust to match massflow</t>
  </si>
  <si>
    <r>
      <t>AR</t>
    </r>
    <r>
      <rPr>
        <vertAlign val="subscript"/>
        <sz val="11"/>
        <color theme="1"/>
        <rFont val="Calibri"/>
        <family val="2"/>
        <scheme val="minor"/>
      </rPr>
      <t>stator</t>
    </r>
  </si>
  <si>
    <r>
      <t>AR</t>
    </r>
    <r>
      <rPr>
        <vertAlign val="subscript"/>
        <sz val="11"/>
        <color theme="1"/>
        <rFont val="Calibri"/>
        <family val="2"/>
        <scheme val="minor"/>
      </rPr>
      <t>rotor</t>
    </r>
  </si>
  <si>
    <t xml:space="preserve">   &gt; iterate based on Loss Correlations</t>
  </si>
  <si>
    <t>Aspect Ratio (H/C) (between 0.5-0.8 (Sieverding))</t>
  </si>
  <si>
    <t>Aspect Ratio (H/C)  (between 1.1-1.5 (Sieverding))</t>
  </si>
  <si>
    <t>Zweifel coefficient (0,8)</t>
  </si>
  <si>
    <t>Z</t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</si>
  <si>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</si>
  <si>
    <t>Cis De Maesschalck - May 2016</t>
  </si>
  <si>
    <r>
      <t xml:space="preserve"> - Area ratio is applied through both hub and shroud -</t>
    </r>
    <r>
      <rPr>
        <b/>
        <i/>
        <sz val="11"/>
        <color rgb="FFFF0000"/>
        <rFont val="Calibri"/>
        <family val="2"/>
        <scheme val="minor"/>
      </rPr>
      <t xml:space="preserve"> Not implemented </t>
    </r>
  </si>
  <si>
    <t>stator-rotor massflow</t>
  </si>
  <si>
    <t>Yp Stator</t>
  </si>
  <si>
    <t>Yp Rotor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</si>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</sst>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00000"/>
    <numFmt numFmtId="167" formatCode="0.0000"/>
    <numFmt numFmtId="168" formatCode="0.00000"/>
    <numFmt numFmtId="169" formatCode="0.00000000"/>
  </numFmts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theme="3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8"/>
      <color theme="3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8"/>
      <color theme="1"/>
      <name val="Calibri"/>
      <family val="2"/>
    </font>
    <font>
      <b/>
      <vertAlign val="subscript"/>
      <sz val="8"/>
      <color theme="1"/>
      <name val="Calibri"/>
      <family val="2"/>
    </font>
    <font>
      <i/>
      <sz val="11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/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85351115451523"/>
      </left>
      <right/>
      <top style="medium">
        <color theme="4" tint="0.39985351115451523"/>
      </top>
      <bottom/>
      <diagonal/>
    </border>
    <border>
      <left/>
      <right/>
      <top style="medium">
        <color theme="4" tint="0.39985351115451523"/>
      </top>
      <bottom/>
      <diagonal/>
    </border>
    <border>
      <left/>
      <right style="medium">
        <color theme="4" tint="0.39985351115451523"/>
      </right>
      <top style="medium">
        <color theme="4" tint="0.39985351115451523"/>
      </top>
      <bottom/>
      <diagonal/>
    </border>
    <border>
      <left style="medium">
        <color theme="4" tint="0.39985351115451523"/>
      </left>
      <right/>
      <top/>
      <bottom/>
      <diagonal/>
    </border>
    <border>
      <left/>
      <right style="medium">
        <color theme="4" tint="0.39985351115451523"/>
      </right>
      <top/>
      <bottom/>
      <diagonal/>
    </border>
    <border>
      <left style="medium">
        <color theme="4" tint="0.39985351115451523"/>
      </left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85351115451523"/>
      </bottom>
      <diagonal/>
    </border>
    <border>
      <left/>
      <right style="medium">
        <color theme="4" tint="0.39985351115451523"/>
      </right>
      <top/>
      <bottom style="medium">
        <color theme="4" tint="0.39985351115451523"/>
      </bottom>
      <diagonal/>
    </border>
    <border>
      <left style="medium">
        <color theme="3" tint="0.59996337778862885"/>
      </left>
      <right/>
      <top style="medium">
        <color theme="3" tint="0.59996337778862885"/>
      </top>
      <bottom/>
      <diagonal/>
    </border>
    <border>
      <left/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/>
      <top/>
      <bottom style="medium">
        <color theme="3" tint="0.59996337778862885"/>
      </bottom>
      <diagonal/>
    </border>
    <border>
      <left/>
      <right style="medium">
        <color theme="3" tint="0.59996337778862885"/>
      </right>
      <top/>
      <bottom style="medium">
        <color theme="3" tint="0.59996337778862885"/>
      </bottom>
      <diagonal/>
    </border>
    <border>
      <left style="medium">
        <color theme="3" tint="0.59996337778862885"/>
      </left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 style="medium">
        <color theme="3" tint="0.59996337778862885"/>
      </right>
      <top/>
      <bottom style="medium">
        <color theme="3" tint="0.59996337778862885"/>
      </bottom>
      <diagonal/>
    </border>
    <border>
      <left style="medium">
        <color theme="3" tint="0.59996337778862885"/>
      </left>
      <right/>
      <top/>
      <bottom/>
      <diagonal/>
    </border>
    <border>
      <left/>
      <right style="medium">
        <color theme="3" tint="0.59996337778862885"/>
      </right>
      <top/>
      <bottom/>
      <diagonal/>
    </border>
    <border>
      <left style="medium">
        <color theme="3" tint="0.59996337778862885"/>
      </left>
      <right style="medium">
        <color theme="3" tint="0.5999633777886288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0" fillId="2" borderId="0" xfId="0" applyFill="1"/>
    <xf numFmtId="9" fontId="1" fillId="0" borderId="1" xfId="1" applyNumberFormat="1"/>
    <xf numFmtId="9" fontId="1" fillId="0" borderId="0" xfId="1" applyNumberFormat="1" applyBorder="1"/>
    <xf numFmtId="0" fontId="9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2" borderId="0" xfId="0" applyFont="1" applyFill="1"/>
    <xf numFmtId="0" fontId="7" fillId="0" borderId="0" xfId="0" applyFont="1"/>
    <xf numFmtId="0" fontId="7" fillId="3" borderId="0" xfId="0" applyFont="1" applyFill="1"/>
    <xf numFmtId="0" fontId="0" fillId="3" borderId="0" xfId="0" applyFill="1"/>
    <xf numFmtId="2" fontId="0" fillId="0" borderId="0" xfId="0" applyNumberFormat="1" applyAlignment="1">
      <alignment horizontal="right"/>
    </xf>
    <xf numFmtId="0" fontId="0" fillId="4" borderId="0" xfId="0" applyFill="1"/>
    <xf numFmtId="0" fontId="7" fillId="4" borderId="0" xfId="0" applyFont="1" applyFill="1"/>
    <xf numFmtId="0" fontId="2" fillId="4" borderId="0" xfId="0" applyFont="1" applyFill="1"/>
    <xf numFmtId="0" fontId="11" fillId="4" borderId="0" xfId="0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0" borderId="12" xfId="0" applyBorder="1"/>
    <xf numFmtId="2" fontId="0" fillId="0" borderId="11" xfId="0" applyNumberFormat="1" applyBorder="1"/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0" fontId="2" fillId="0" borderId="8" xfId="0" applyFont="1" applyBorder="1"/>
    <xf numFmtId="0" fontId="0" fillId="0" borderId="10" xfId="0" applyBorder="1"/>
    <xf numFmtId="0" fontId="2" fillId="0" borderId="13" xfId="0" applyFont="1" applyBorder="1"/>
    <xf numFmtId="0" fontId="0" fillId="0" borderId="15" xfId="0" applyBorder="1"/>
    <xf numFmtId="9" fontId="1" fillId="0" borderId="16" xfId="1" applyNumberFormat="1" applyBorder="1"/>
    <xf numFmtId="165" fontId="0" fillId="0" borderId="17" xfId="0" applyNumberFormat="1" applyBorder="1"/>
    <xf numFmtId="0" fontId="0" fillId="0" borderId="18" xfId="0" applyBorder="1"/>
    <xf numFmtId="9" fontId="1" fillId="0" borderId="19" xfId="1" applyNumberFormat="1" applyBorder="1"/>
    <xf numFmtId="0" fontId="0" fillId="0" borderId="20" xfId="0" applyBorder="1"/>
    <xf numFmtId="9" fontId="1" fillId="0" borderId="21" xfId="1" applyNumberFormat="1" applyBorder="1"/>
    <xf numFmtId="165" fontId="0" fillId="0" borderId="22" xfId="0" applyNumberFormat="1" applyBorder="1"/>
    <xf numFmtId="0" fontId="0" fillId="0" borderId="23" xfId="0" applyBorder="1"/>
    <xf numFmtId="166" fontId="0" fillId="0" borderId="0" xfId="0" applyNumberFormat="1"/>
    <xf numFmtId="1" fontId="0" fillId="0" borderId="2" xfId="0" applyNumberFormat="1" applyBorder="1"/>
    <xf numFmtId="1" fontId="0" fillId="0" borderId="4" xfId="0" applyNumberFormat="1" applyBorder="1"/>
    <xf numFmtId="2" fontId="0" fillId="0" borderId="12" xfId="0" applyNumberFormat="1" applyBorder="1"/>
    <xf numFmtId="165" fontId="0" fillId="4" borderId="0" xfId="0" applyNumberFormat="1" applyFill="1"/>
    <xf numFmtId="0" fontId="2" fillId="0" borderId="24" xfId="0" applyFont="1" applyBorder="1"/>
    <xf numFmtId="0" fontId="0" fillId="0" borderId="25" xfId="0" applyBorder="1"/>
    <xf numFmtId="0" fontId="2" fillId="0" borderId="26" xfId="0" applyFont="1" applyBorder="1"/>
    <xf numFmtId="0" fontId="0" fillId="0" borderId="27" xfId="0" applyBorder="1"/>
    <xf numFmtId="165" fontId="0" fillId="0" borderId="28" xfId="0" applyNumberFormat="1" applyBorder="1"/>
    <xf numFmtId="0" fontId="2" fillId="0" borderId="30" xfId="0" applyFont="1" applyBorder="1"/>
    <xf numFmtId="0" fontId="0" fillId="0" borderId="31" xfId="0" applyBorder="1"/>
    <xf numFmtId="165" fontId="0" fillId="0" borderId="32" xfId="0" applyNumberFormat="1" applyBorder="1"/>
    <xf numFmtId="1" fontId="0" fillId="0" borderId="29" xfId="0" applyNumberFormat="1" applyBorder="1"/>
    <xf numFmtId="165" fontId="0" fillId="0" borderId="29" xfId="0" applyNumberFormat="1" applyBorder="1"/>
    <xf numFmtId="0" fontId="13" fillId="0" borderId="0" xfId="0" applyFont="1"/>
    <xf numFmtId="9" fontId="17" fillId="0" borderId="1" xfId="1" applyNumberFormat="1" applyFont="1"/>
    <xf numFmtId="167" fontId="0" fillId="0" borderId="0" xfId="0" applyNumberFormat="1"/>
    <xf numFmtId="168" fontId="0" fillId="3" borderId="0" xfId="0" applyNumberFormat="1" applyFill="1"/>
    <xf numFmtId="0" fontId="19" fillId="0" borderId="0" xfId="0" applyFont="1"/>
    <xf numFmtId="0" fontId="7" fillId="5" borderId="0" xfId="0" applyFont="1" applyFill="1"/>
    <xf numFmtId="0" fontId="0" fillId="5" borderId="0" xfId="0" applyFill="1"/>
    <xf numFmtId="0" fontId="20" fillId="0" borderId="0" xfId="0" applyFont="1"/>
    <xf numFmtId="9" fontId="17" fillId="0" borderId="0" xfId="1" applyNumberFormat="1" applyFont="1" applyBorder="1"/>
    <xf numFmtId="168" fontId="0" fillId="0" borderId="0" xfId="0" applyNumberFormat="1"/>
    <xf numFmtId="169" fontId="0" fillId="0" borderId="0" xfId="0" applyNumberFormat="1"/>
    <xf numFmtId="165" fontId="0" fillId="6" borderId="0" xfId="0" applyNumberFormat="1" applyFill="1"/>
    <xf numFmtId="0" fontId="2" fillId="0" borderId="0" xfId="0" applyFont="1" applyFill="1" applyBorder="1"/>
    <xf numFmtId="0" fontId="0" fillId="0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571741032370968E-2"/>
          <c:y val="5.13585977626181E-2"/>
          <c:w val="0.43722569648351683"/>
          <c:h val="0.92041205766213852"/>
        </c:manualLayout>
      </c:layout>
      <c:scatterChart>
        <c:scatterStyle val="lineMarker"/>
        <c:varyColors val="0"/>
        <c:ser>
          <c:idx val="0"/>
          <c:order val="0"/>
          <c:tx>
            <c:v>V2</c:v>
          </c:tx>
          <c:spPr>
            <a:ln>
              <a:solidFill>
                <a:srgbClr val="0000CC"/>
              </a:solidFill>
              <a:tailEnd type="triangle" w="lg" len="med"/>
            </a:ln>
          </c:spPr>
          <c:marker>
            <c:symbol val="none"/>
          </c:marker>
          <c:xVal>
            <c:numRef>
              <c:f>('1D'!$U$29,'1D'!$C$64)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124.45095036366688</c:v>
                </c:pt>
              </c:numCache>
            </c:numRef>
          </c:xVal>
          <c:yVal>
            <c:numRef>
              <c:f>('1D'!$U$29,'1D'!$C$65)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426.7459355323283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F-4E70-9EEE-03EF8E921BAE}"/>
            </c:ext>
          </c:extLst>
        </c:ser>
        <c:ser>
          <c:idx val="1"/>
          <c:order val="1"/>
          <c:tx>
            <c:v>W2</c:v>
          </c:tx>
          <c:spPr>
            <a:ln>
              <a:solidFill>
                <a:srgbClr val="FF0000"/>
              </a:solidFill>
              <a:tailEnd type="triangle" w="lg" len="med"/>
            </a:ln>
          </c:spPr>
          <c:marker>
            <c:symbol val="none"/>
          </c:marker>
          <c:xVal>
            <c:numRef>
              <c:f>('1D'!$U$29,'1D'!$C$64)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124.45095036366688</c:v>
                </c:pt>
              </c:numCache>
            </c:numRef>
          </c:xVal>
          <c:yVal>
            <c:numRef>
              <c:f>('1D'!$U$29,'1D'!$C$66)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121.22604997072091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F-4E70-9EEE-03EF8E921BAE}"/>
            </c:ext>
          </c:extLst>
        </c:ser>
        <c:ser>
          <c:idx val="2"/>
          <c:order val="2"/>
          <c:tx>
            <c:v>U2</c:v>
          </c:tx>
          <c:spPr>
            <a:ln>
              <a:solidFill>
                <a:schemeClr val="tx1"/>
              </a:solidFill>
              <a:prstDash val="solid"/>
              <a:tailEnd type="triangle" w="lg" len="me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chemeClr val="tx1"/>
                </a:solidFill>
                <a:prstDash val="solid"/>
                <a:headEnd type="none"/>
                <a:tailEnd type="triangle" w="lg" len="med"/>
              </a:ln>
            </c:spPr>
            <c:extLst>
              <c:ext xmlns:c16="http://schemas.microsoft.com/office/drawing/2014/chart" uri="{C3380CC4-5D6E-409C-BE32-E72D297353CC}">
                <c16:uniqueId val="{00000003-FC9F-4E70-9EEE-03EF8E921BAE}"/>
              </c:ext>
            </c:extLst>
          </c:dPt>
          <c:xVal>
            <c:numRef>
              <c:f>('1D'!$C$64,'1D'!$C$64)</c:f>
              <c:numCache>
                <c:formatCode>0.0</c:formatCode>
                <c:ptCount val="2"/>
                <c:pt idx="0">
                  <c:v>124.45095036366688</c:v>
                </c:pt>
                <c:pt idx="1">
                  <c:v>124.45095036366688</c:v>
                </c:pt>
              </c:numCache>
            </c:numRef>
          </c:xVal>
          <c:yVal>
            <c:numRef>
              <c:f>('1D'!$C$66,'1D'!$C$65)</c:f>
              <c:numCache>
                <c:formatCode>0.0</c:formatCode>
                <c:ptCount val="2"/>
                <c:pt idx="0">
                  <c:v>121.22604997072091</c:v>
                </c:pt>
                <c:pt idx="1">
                  <c:v>426.7459355323283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9F-4E70-9EEE-03EF8E921BAE}"/>
            </c:ext>
          </c:extLst>
        </c:ser>
        <c:ser>
          <c:idx val="3"/>
          <c:order val="3"/>
          <c:tx>
            <c:v>V3</c:v>
          </c:tx>
          <c:spPr>
            <a:ln>
              <a:solidFill>
                <a:srgbClr val="0000CC"/>
              </a:solidFill>
              <a:prstDash val="sysDash"/>
              <a:tailEnd type="triangle" w="lg" len="med"/>
            </a:ln>
          </c:spPr>
          <c:marker>
            <c:symbol val="none"/>
          </c:marker>
          <c:xVal>
            <c:numRef>
              <c:f>('1D'!$U$29,'1D'!$C$96)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171.51486299332549</c:v>
                </c:pt>
              </c:numCache>
            </c:numRef>
          </c:xVal>
          <c:yVal>
            <c:numRef>
              <c:f>('1D'!$U$29,'1D'!$C$95)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-137.29160035172663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F-4E70-9EEE-03EF8E921BAE}"/>
            </c:ext>
          </c:extLst>
        </c:ser>
        <c:ser>
          <c:idx val="4"/>
          <c:order val="4"/>
          <c:tx>
            <c:v>W3</c:v>
          </c:tx>
          <c:spPr>
            <a:ln>
              <a:solidFill>
                <a:srgbClr val="FF0000"/>
              </a:solidFill>
              <a:prstDash val="sysDash"/>
              <a:tailEnd type="triangle" w="lg" len="med"/>
            </a:ln>
          </c:spPr>
          <c:marker>
            <c:symbol val="none"/>
          </c:marker>
          <c:xVal>
            <c:numRef>
              <c:f>('1D'!$U$29,'1D'!$C$96)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171.51486299332549</c:v>
                </c:pt>
              </c:numCache>
            </c:numRef>
          </c:xVal>
          <c:yVal>
            <c:numRef>
              <c:f>('1D'!$U$29,'1D'!$C$92)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-442.81148591333402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9F-4E70-9EEE-03EF8E921BAE}"/>
            </c:ext>
          </c:extLst>
        </c:ser>
        <c:ser>
          <c:idx val="5"/>
          <c:order val="5"/>
          <c:tx>
            <c:v>U3</c:v>
          </c:tx>
          <c:spPr>
            <a:ln>
              <a:solidFill>
                <a:schemeClr val="tx1"/>
              </a:solidFill>
              <a:prstDash val="sysDash"/>
              <a:tailEnd type="triangle" w="lg" len="med"/>
            </a:ln>
          </c:spPr>
          <c:marker>
            <c:symbol val="none"/>
          </c:marker>
          <c:xVal>
            <c:numRef>
              <c:f>('1D'!$C$96,'1D'!$C$96)</c:f>
              <c:numCache>
                <c:formatCode>0.00</c:formatCode>
                <c:ptCount val="2"/>
                <c:pt idx="0">
                  <c:v>171.51486299332549</c:v>
                </c:pt>
                <c:pt idx="1">
                  <c:v>171.51486299332549</c:v>
                </c:pt>
              </c:numCache>
            </c:numRef>
          </c:xVal>
          <c:yVal>
            <c:numRef>
              <c:f>('1D'!$C$92,'1D'!$C$95)</c:f>
              <c:numCache>
                <c:formatCode>0.00</c:formatCode>
                <c:ptCount val="2"/>
                <c:pt idx="0">
                  <c:v>-442.81148591333402</c:v>
                </c:pt>
                <c:pt idx="1">
                  <c:v>-137.29160035172663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9F-4E70-9EEE-03EF8E921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220832"/>
        <c:axId val="911221392"/>
      </c:scatterChart>
      <c:valAx>
        <c:axId val="911220832"/>
        <c:scaling>
          <c:orientation val="minMax"/>
          <c:max val="30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11221392"/>
        <c:crosses val="autoZero"/>
        <c:crossBetween val="midCat"/>
      </c:valAx>
      <c:valAx>
        <c:axId val="911221392"/>
        <c:scaling>
          <c:orientation val="minMax"/>
          <c:max val="450"/>
          <c:min val="-450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numFmt formatCode="General" sourceLinked="1"/>
        <c:majorTickMark val="in"/>
        <c:minorTickMark val="none"/>
        <c:tickLblPos val="nextTo"/>
        <c:crossAx val="911220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902910255006077"/>
          <c:y val="0.31374412660017104"/>
          <c:w val="0.26298364656907602"/>
          <c:h val="0.3195050669377486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558781</xdr:colOff>
      <xdr:row>30</xdr:row>
      <xdr:rowOff>34122</xdr:rowOff>
    </xdr:from>
    <xdr:to>
      <xdr:col>27</xdr:col>
      <xdr:colOff>440398</xdr:colOff>
      <xdr:row>64</xdr:row>
      <xdr:rowOff>189860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X171"/>
  <sheetViews>
    <sheetView tabSelected="1" topLeftCell="A3" zoomScale="115" zoomScaleNormal="115" workbookViewId="0">
      <pane ySplit="11" topLeftCell="A84" activePane="bottomLeft" state="frozen"/>
      <selection activeCell="A3" sqref="A3"/>
      <selection pane="bottomLeft" activeCell="C108" sqref="C108"/>
    </sheetView>
  </sheetViews>
  <sheetFormatPr baseColWidth="10" defaultColWidth="8.83203125" defaultRowHeight="15" x14ac:dyDescent="0.2"/>
  <cols>
    <col min="2" max="2" width="15" customWidth="1"/>
    <col min="3" max="3" width="13.5" bestFit="1" customWidth="1"/>
    <col min="4" max="4" width="9.6640625" bestFit="1" customWidth="1"/>
    <col min="5" max="5" width="12.5" bestFit="1" customWidth="1"/>
    <col min="6" max="6" width="9.1640625" customWidth="1"/>
    <col min="9" max="9" width="18.5" bestFit="1" customWidth="1"/>
    <col min="12" max="12" width="17.1640625" customWidth="1"/>
    <col min="13" max="13" width="11.33203125" bestFit="1" customWidth="1"/>
    <col min="18" max="18" width="12.33203125" bestFit="1" customWidth="1"/>
  </cols>
  <sheetData>
    <row r="3" spans="2:24" ht="24" x14ac:dyDescent="0.3">
      <c r="B3" s="68" t="s">
        <v>109</v>
      </c>
      <c r="C3" s="1"/>
      <c r="D3" s="1"/>
      <c r="E3" s="1"/>
      <c r="F3" s="1"/>
      <c r="G3" s="1"/>
      <c r="I3" s="72" t="s">
        <v>160</v>
      </c>
      <c r="J3" s="1"/>
      <c r="P3" s="3"/>
      <c r="Q3" s="3"/>
      <c r="R3" s="3"/>
      <c r="S3" s="3"/>
    </row>
    <row r="5" spans="2:24" s="5" customFormat="1" ht="21" x14ac:dyDescent="0.25">
      <c r="B5" s="4" t="s">
        <v>31</v>
      </c>
      <c r="C5" s="4"/>
      <c r="D5" s="4"/>
      <c r="E5" s="4"/>
      <c r="F5" s="4"/>
      <c r="G5" s="4"/>
      <c r="Q5" s="14"/>
      <c r="R5" s="14"/>
      <c r="S5" s="14"/>
      <c r="T5" s="14"/>
      <c r="U5" s="14"/>
      <c r="V5" s="14"/>
      <c r="W5" s="14"/>
      <c r="X5" s="14"/>
    </row>
    <row r="6" spans="2:24" x14ac:dyDescent="0.2">
      <c r="Q6" s="13"/>
      <c r="R6" s="13"/>
      <c r="S6" s="13"/>
      <c r="T6" s="13"/>
      <c r="U6" s="13"/>
      <c r="V6" s="13"/>
      <c r="W6" s="13"/>
      <c r="X6" s="13"/>
    </row>
    <row r="7" spans="2:24" ht="16" thickBot="1" x14ac:dyDescent="0.25">
      <c r="B7" s="6" t="s">
        <v>20</v>
      </c>
      <c r="C7" s="6"/>
      <c r="D7" s="6"/>
      <c r="E7" s="6"/>
      <c r="G7" s="6" t="s">
        <v>7</v>
      </c>
      <c r="H7" s="6"/>
      <c r="I7" s="6"/>
      <c r="J7" s="6"/>
      <c r="L7" s="6" t="s">
        <v>106</v>
      </c>
      <c r="M7" s="6"/>
      <c r="N7" s="6"/>
      <c r="O7" s="6"/>
      <c r="Q7" s="6" t="s">
        <v>96</v>
      </c>
      <c r="R7" s="6"/>
      <c r="S7" s="6"/>
      <c r="T7" s="6"/>
      <c r="U7" s="13"/>
      <c r="V7" s="13"/>
      <c r="W7" s="13"/>
      <c r="X7" s="13"/>
    </row>
    <row r="8" spans="2:24" ht="17" x14ac:dyDescent="0.25">
      <c r="B8" s="15" t="s">
        <v>121</v>
      </c>
      <c r="C8">
        <v>0.39239997567509965</v>
      </c>
      <c r="D8" t="s">
        <v>6</v>
      </c>
      <c r="E8" t="s">
        <v>122</v>
      </c>
      <c r="G8" s="15" t="s">
        <v>24</v>
      </c>
      <c r="H8">
        <v>0.38900000000000001</v>
      </c>
      <c r="I8" t="s">
        <v>27</v>
      </c>
      <c r="L8" t="s">
        <v>19</v>
      </c>
      <c r="M8" s="12">
        <v>1.37</v>
      </c>
      <c r="Q8" t="s">
        <v>98</v>
      </c>
      <c r="R8">
        <f>1.716*10^-5</f>
        <v>1.7160000000000002E-5</v>
      </c>
      <c r="S8" t="s">
        <v>120</v>
      </c>
      <c r="T8" s="13"/>
      <c r="U8" s="13"/>
      <c r="V8" s="13"/>
      <c r="W8" s="13"/>
      <c r="X8" s="13"/>
    </row>
    <row r="9" spans="2:24" ht="17" x14ac:dyDescent="0.25">
      <c r="B9" s="15" t="s">
        <v>56</v>
      </c>
      <c r="C9">
        <v>3.96</v>
      </c>
      <c r="D9" t="s">
        <v>6</v>
      </c>
      <c r="G9" t="s">
        <v>113</v>
      </c>
      <c r="H9">
        <v>6.3E-2</v>
      </c>
      <c r="I9" t="s">
        <v>27</v>
      </c>
      <c r="J9" s="2" t="s">
        <v>25</v>
      </c>
      <c r="L9" t="s">
        <v>34</v>
      </c>
      <c r="M9" s="12">
        <f>286.158462</f>
        <v>286.15846199999999</v>
      </c>
      <c r="Q9" t="s">
        <v>99</v>
      </c>
      <c r="R9">
        <v>273.14999999999998</v>
      </c>
      <c r="S9" t="s">
        <v>12</v>
      </c>
      <c r="T9" s="13"/>
      <c r="U9" s="13"/>
      <c r="V9" s="13"/>
      <c r="W9" s="13"/>
      <c r="X9" s="13"/>
    </row>
    <row r="10" spans="2:24" ht="17" x14ac:dyDescent="0.25">
      <c r="B10" s="15" t="s">
        <v>29</v>
      </c>
      <c r="C10">
        <v>7500</v>
      </c>
      <c r="D10" t="s">
        <v>30</v>
      </c>
      <c r="G10" t="s">
        <v>111</v>
      </c>
      <c r="H10">
        <v>1.159</v>
      </c>
      <c r="I10" t="s">
        <v>6</v>
      </c>
      <c r="J10" s="2" t="s">
        <v>146</v>
      </c>
      <c r="L10" t="s">
        <v>91</v>
      </c>
      <c r="M10">
        <v>1047</v>
      </c>
      <c r="Q10" t="s">
        <v>97</v>
      </c>
      <c r="R10">
        <f>110.4</f>
        <v>110.4</v>
      </c>
      <c r="S10" s="13"/>
      <c r="T10" s="13"/>
      <c r="U10" s="13"/>
      <c r="V10" s="13"/>
      <c r="W10" s="13"/>
      <c r="X10" s="13"/>
    </row>
    <row r="11" spans="2:24" x14ac:dyDescent="0.2">
      <c r="G11" t="s">
        <v>112</v>
      </c>
      <c r="H11">
        <v>1.3169999999999999</v>
      </c>
      <c r="I11" t="s">
        <v>6</v>
      </c>
      <c r="J11" s="2" t="s">
        <v>146</v>
      </c>
      <c r="S11" s="13"/>
      <c r="T11" s="13"/>
      <c r="U11" s="13"/>
      <c r="V11" s="13"/>
      <c r="W11" s="13"/>
      <c r="X11" s="13"/>
    </row>
    <row r="12" spans="2:24" ht="17" x14ac:dyDescent="0.25">
      <c r="G12" t="s">
        <v>152</v>
      </c>
      <c r="H12">
        <v>0.8</v>
      </c>
      <c r="J12" s="2" t="s">
        <v>155</v>
      </c>
      <c r="S12" s="13"/>
      <c r="T12" s="13"/>
      <c r="U12" s="13"/>
      <c r="V12" s="13"/>
      <c r="W12" s="13"/>
      <c r="X12" s="13"/>
    </row>
    <row r="13" spans="2:24" ht="17" x14ac:dyDescent="0.25">
      <c r="G13" t="s">
        <v>153</v>
      </c>
      <c r="H13">
        <v>1.1000000000000001</v>
      </c>
      <c r="J13" s="2" t="s">
        <v>156</v>
      </c>
      <c r="S13" s="13"/>
      <c r="T13" s="13"/>
      <c r="U13" s="13"/>
      <c r="V13" s="13"/>
      <c r="W13" s="13"/>
      <c r="X13" s="13"/>
    </row>
    <row r="14" spans="2:24" x14ac:dyDescent="0.2">
      <c r="G14" t="s">
        <v>158</v>
      </c>
      <c r="H14">
        <v>0.8</v>
      </c>
      <c r="J14" s="2" t="s">
        <v>157</v>
      </c>
      <c r="S14" s="13"/>
      <c r="T14" s="13"/>
      <c r="U14" s="13"/>
      <c r="V14" s="13"/>
      <c r="W14" s="13"/>
      <c r="X14" s="13"/>
    </row>
    <row r="15" spans="2:24" ht="16" thickBot="1" x14ac:dyDescent="0.25">
      <c r="B15" s="6" t="s">
        <v>32</v>
      </c>
      <c r="C15" s="6"/>
      <c r="D15" s="6"/>
      <c r="E15" s="6"/>
      <c r="Q15" s="13"/>
      <c r="R15" s="13"/>
      <c r="S15" s="13"/>
      <c r="T15" s="13"/>
      <c r="U15" s="13"/>
      <c r="V15" s="13"/>
      <c r="W15" s="13"/>
      <c r="X15" s="13"/>
    </row>
    <row r="16" spans="2:24" ht="18" thickBot="1" x14ac:dyDescent="0.3">
      <c r="B16" t="s">
        <v>9</v>
      </c>
      <c r="C16">
        <v>676.3</v>
      </c>
      <c r="D16" t="s">
        <v>12</v>
      </c>
      <c r="G16" s="6" t="s">
        <v>40</v>
      </c>
      <c r="H16" s="6"/>
      <c r="I16" s="6"/>
      <c r="J16" s="6"/>
      <c r="L16" s="6" t="s">
        <v>18</v>
      </c>
      <c r="M16" s="6"/>
      <c r="N16" s="6"/>
      <c r="O16" s="6"/>
      <c r="Q16" s="13"/>
      <c r="R16" s="13"/>
      <c r="S16" s="13"/>
      <c r="T16" s="13"/>
      <c r="U16" s="13"/>
      <c r="V16" s="13"/>
      <c r="W16" s="13"/>
      <c r="X16" s="13"/>
    </row>
    <row r="17" spans="2:24" ht="17" x14ac:dyDescent="0.25">
      <c r="B17" t="s">
        <v>10</v>
      </c>
      <c r="C17">
        <v>500000</v>
      </c>
      <c r="D17" t="s">
        <v>11</v>
      </c>
      <c r="G17" s="73" t="s">
        <v>44</v>
      </c>
      <c r="H17" s="74">
        <v>0.92500000000000004</v>
      </c>
      <c r="J17" s="2" t="s">
        <v>45</v>
      </c>
      <c r="L17" s="2" t="s">
        <v>110</v>
      </c>
      <c r="Q17" s="13"/>
      <c r="R17" s="13"/>
      <c r="S17" s="13"/>
      <c r="T17" s="13"/>
      <c r="U17" s="13"/>
      <c r="V17" s="13"/>
      <c r="W17" s="13"/>
      <c r="X17" s="13"/>
    </row>
    <row r="18" spans="2:24" ht="17" x14ac:dyDescent="0.25">
      <c r="B18" s="15" t="s">
        <v>80</v>
      </c>
      <c r="C18">
        <v>0.18140000000000001</v>
      </c>
      <c r="D18" t="s">
        <v>6</v>
      </c>
      <c r="G18" s="73" t="s">
        <v>46</v>
      </c>
      <c r="H18" s="74">
        <v>0.87</v>
      </c>
      <c r="J18" s="2" t="s">
        <v>45</v>
      </c>
      <c r="L18" s="2" t="s">
        <v>161</v>
      </c>
      <c r="R18" s="13"/>
      <c r="S18" s="13"/>
      <c r="T18" s="13"/>
      <c r="U18" s="13"/>
      <c r="V18" s="13"/>
      <c r="W18" s="13"/>
      <c r="X18" s="13"/>
    </row>
    <row r="19" spans="2:24" x14ac:dyDescent="0.2">
      <c r="G19" s="75" t="s">
        <v>154</v>
      </c>
      <c r="L19" s="2" t="s">
        <v>148</v>
      </c>
      <c r="Q19" s="13"/>
      <c r="R19" s="13"/>
      <c r="S19" s="13"/>
      <c r="T19" s="13"/>
      <c r="U19" s="13"/>
      <c r="V19" s="13"/>
      <c r="W19" s="13"/>
      <c r="X19" s="13"/>
    </row>
    <row r="20" spans="2:24" ht="16" thickBot="1" x14ac:dyDescent="0.25">
      <c r="B20" s="6" t="s">
        <v>74</v>
      </c>
      <c r="C20" s="6"/>
      <c r="D20" s="6"/>
      <c r="L20" s="2" t="s">
        <v>147</v>
      </c>
      <c r="Q20" s="13"/>
      <c r="R20" s="13"/>
      <c r="S20" s="13"/>
      <c r="T20" s="13"/>
      <c r="U20" s="13"/>
      <c r="V20" s="13"/>
      <c r="W20" s="13"/>
      <c r="X20" s="13"/>
    </row>
    <row r="21" spans="2:24" ht="17" x14ac:dyDescent="0.25">
      <c r="B21" s="21" t="s">
        <v>75</v>
      </c>
      <c r="C21" s="57">
        <v>73.03</v>
      </c>
      <c r="D21" t="s">
        <v>13</v>
      </c>
      <c r="F21" s="45" t="s">
        <v>78</v>
      </c>
      <c r="G21" s="46">
        <f>C47</f>
        <v>36.443738677606113</v>
      </c>
      <c r="H21" s="47" t="s">
        <v>39</v>
      </c>
      <c r="Q21" s="13"/>
      <c r="R21" s="13"/>
      <c r="S21" s="13"/>
      <c r="T21" s="13"/>
      <c r="U21" s="13"/>
      <c r="V21" s="13"/>
      <c r="W21" s="13"/>
      <c r="X21" s="13"/>
    </row>
    <row r="22" spans="2:24" x14ac:dyDescent="0.2">
      <c r="B22" s="22" t="s">
        <v>88</v>
      </c>
      <c r="C22" s="57">
        <v>-67.613</v>
      </c>
      <c r="D22" t="s">
        <v>13</v>
      </c>
      <c r="F22" s="48" t="s">
        <v>76</v>
      </c>
      <c r="G22" s="12">
        <f>C77</f>
        <v>36.400000159652791</v>
      </c>
      <c r="H22" s="49" t="s">
        <v>39</v>
      </c>
      <c r="Q22" s="13"/>
      <c r="R22" s="13"/>
      <c r="S22" s="13"/>
      <c r="T22" s="13"/>
      <c r="U22" s="13"/>
      <c r="V22" s="13"/>
      <c r="W22" s="13"/>
      <c r="X22" s="13"/>
    </row>
    <row r="23" spans="2:24" ht="16" thickBot="1" x14ac:dyDescent="0.25">
      <c r="B23" s="75" t="s">
        <v>151</v>
      </c>
      <c r="C23" s="12"/>
      <c r="F23" s="50" t="s">
        <v>77</v>
      </c>
      <c r="G23" s="51">
        <f>C108</f>
        <v>36.399999770274086</v>
      </c>
      <c r="H23" s="52" t="s">
        <v>39</v>
      </c>
      <c r="Q23" s="13"/>
      <c r="R23" s="13"/>
      <c r="S23" s="13"/>
      <c r="T23" s="13"/>
      <c r="U23" s="13"/>
      <c r="V23" s="13"/>
      <c r="W23" s="13"/>
      <c r="X23" s="13"/>
    </row>
    <row r="24" spans="2:24" x14ac:dyDescent="0.2">
      <c r="Q24" s="13"/>
      <c r="R24" s="13"/>
      <c r="S24" s="13"/>
      <c r="T24" s="13"/>
      <c r="U24" s="13"/>
      <c r="V24" s="13"/>
      <c r="W24" s="13"/>
      <c r="X24" s="13"/>
    </row>
    <row r="25" spans="2:24" s="5" customFormat="1" ht="21" x14ac:dyDescent="0.25">
      <c r="B25" s="4" t="s">
        <v>21</v>
      </c>
      <c r="C25" s="4"/>
      <c r="D25" s="4"/>
      <c r="E25" s="4"/>
      <c r="F25" s="4"/>
      <c r="G25" s="4"/>
      <c r="Q25" s="14"/>
      <c r="R25" s="14"/>
      <c r="S25" s="14"/>
      <c r="T25" s="14"/>
      <c r="U25" s="14"/>
      <c r="V25" s="14"/>
      <c r="W25" s="14"/>
      <c r="X25" s="14"/>
    </row>
    <row r="26" spans="2:24" x14ac:dyDescent="0.2">
      <c r="Q26" s="13"/>
      <c r="R26" s="13"/>
      <c r="S26" s="13"/>
      <c r="T26" s="13"/>
      <c r="V26" s="13"/>
      <c r="W26" s="13"/>
      <c r="X26" s="13"/>
    </row>
    <row r="27" spans="2:24" ht="16" thickBot="1" x14ac:dyDescent="0.25">
      <c r="B27" s="6" t="s">
        <v>22</v>
      </c>
      <c r="C27" s="6"/>
      <c r="D27" s="6"/>
      <c r="E27" s="6"/>
      <c r="F27" s="69" t="s">
        <v>117</v>
      </c>
      <c r="G27" s="6"/>
      <c r="J27" s="6" t="s">
        <v>23</v>
      </c>
      <c r="K27" s="6"/>
      <c r="L27" s="6"/>
      <c r="M27" s="6"/>
      <c r="N27" s="6"/>
      <c r="O27" s="6"/>
      <c r="P27" s="6"/>
      <c r="Q27" s="6"/>
      <c r="R27" s="6"/>
      <c r="S27" s="6"/>
      <c r="T27" s="6"/>
      <c r="V27" s="13"/>
      <c r="W27" s="13"/>
      <c r="X27" s="13"/>
    </row>
    <row r="28" spans="2:24" ht="16" thickBot="1" x14ac:dyDescent="0.25">
      <c r="Q28" s="13"/>
      <c r="R28" s="13"/>
      <c r="S28" s="13"/>
      <c r="T28" s="13"/>
      <c r="V28" s="13"/>
      <c r="W28" s="13"/>
      <c r="X28" s="13"/>
    </row>
    <row r="29" spans="2:24" ht="16" thickBot="1" x14ac:dyDescent="0.25">
      <c r="B29" s="8" t="s">
        <v>0</v>
      </c>
      <c r="K29" s="28">
        <v>1</v>
      </c>
      <c r="L29" s="29">
        <v>2</v>
      </c>
      <c r="M29" s="30">
        <v>3</v>
      </c>
      <c r="Q29" s="13"/>
      <c r="R29" s="13"/>
      <c r="S29" s="13"/>
      <c r="T29" s="13"/>
      <c r="U29">
        <v>0</v>
      </c>
      <c r="V29" s="13"/>
      <c r="W29" s="13"/>
      <c r="X29" s="13"/>
    </row>
    <row r="30" spans="2:24" x14ac:dyDescent="0.2">
      <c r="J30" s="25" t="s">
        <v>81</v>
      </c>
      <c r="K30" s="31">
        <f>0</f>
        <v>0</v>
      </c>
      <c r="L30" s="32">
        <f>C21</f>
        <v>73.03</v>
      </c>
      <c r="M30" s="33">
        <f>C103</f>
        <v>-38.676040968298594</v>
      </c>
      <c r="Q30" s="13"/>
      <c r="R30" s="13"/>
      <c r="S30" s="13"/>
      <c r="T30" s="13"/>
      <c r="V30" s="13"/>
      <c r="W30" s="13"/>
      <c r="X30" s="13"/>
    </row>
    <row r="31" spans="2:24" x14ac:dyDescent="0.2">
      <c r="B31" t="s">
        <v>16</v>
      </c>
      <c r="C31" s="10">
        <f>C10/60*2*PI()*H8</f>
        <v>305.5198855616074</v>
      </c>
      <c r="D31" t="s">
        <v>17</v>
      </c>
      <c r="F31" s="2" t="s">
        <v>115</v>
      </c>
      <c r="J31" s="26" t="s">
        <v>82</v>
      </c>
      <c r="K31" s="34"/>
      <c r="L31" s="10">
        <f>C67</f>
        <v>44.247945187690497</v>
      </c>
      <c r="M31" s="35">
        <f>C22</f>
        <v>-67.613</v>
      </c>
      <c r="Q31" s="13"/>
      <c r="R31" s="13"/>
      <c r="S31" s="13"/>
      <c r="T31" s="13"/>
      <c r="V31" s="13"/>
      <c r="W31" s="13"/>
      <c r="X31" s="13"/>
    </row>
    <row r="32" spans="2:24" x14ac:dyDescent="0.2">
      <c r="J32" s="26"/>
      <c r="K32" s="34"/>
      <c r="M32" s="36"/>
      <c r="Q32" s="13"/>
      <c r="R32" s="13"/>
      <c r="S32" s="13"/>
      <c r="T32" s="13"/>
      <c r="V32" s="13"/>
      <c r="W32" s="13"/>
      <c r="X32" s="13"/>
    </row>
    <row r="33" spans="2:24" x14ac:dyDescent="0.2">
      <c r="B33" s="8" t="s">
        <v>71</v>
      </c>
      <c r="C33" s="12"/>
      <c r="J33" s="26" t="s">
        <v>83</v>
      </c>
      <c r="K33" s="37">
        <f>C18</f>
        <v>0.18140000000000001</v>
      </c>
      <c r="L33" s="9">
        <f>C60</f>
        <v>0.93066367883294532</v>
      </c>
      <c r="M33" s="56">
        <f>C99</f>
        <v>0.50194328555837775</v>
      </c>
      <c r="Q33" s="13"/>
      <c r="R33" s="13"/>
      <c r="S33" s="13"/>
      <c r="T33" s="13"/>
      <c r="V33" s="13"/>
      <c r="W33" s="13"/>
      <c r="X33" s="13"/>
    </row>
    <row r="34" spans="2:24" ht="18" thickBot="1" x14ac:dyDescent="0.3">
      <c r="C34" s="12"/>
      <c r="J34" s="27" t="s">
        <v>84</v>
      </c>
      <c r="K34" s="38"/>
      <c r="L34" s="39">
        <f>C73</f>
        <v>0.3637358144362734</v>
      </c>
      <c r="M34" s="40">
        <f>C94</f>
        <v>1.0849385963277833</v>
      </c>
      <c r="Q34" s="13"/>
      <c r="R34" s="13"/>
      <c r="S34" s="13"/>
      <c r="T34" s="13"/>
      <c r="V34" s="13"/>
      <c r="W34" s="13"/>
      <c r="X34" s="13"/>
    </row>
    <row r="35" spans="2:24" ht="18" thickBot="1" x14ac:dyDescent="0.3">
      <c r="B35" t="s">
        <v>159</v>
      </c>
      <c r="C35" s="11">
        <f>0</f>
        <v>0</v>
      </c>
      <c r="D35" t="s">
        <v>13</v>
      </c>
      <c r="Q35" s="13"/>
      <c r="R35" s="13"/>
      <c r="S35" s="13"/>
      <c r="T35" s="13"/>
      <c r="V35" s="13"/>
      <c r="W35" s="13"/>
      <c r="X35" s="13"/>
    </row>
    <row r="36" spans="2:24" ht="17" x14ac:dyDescent="0.25">
      <c r="B36" t="s">
        <v>8</v>
      </c>
      <c r="C36" s="79">
        <f>C18</f>
        <v>0.18140000000000001</v>
      </c>
      <c r="D36" t="s">
        <v>6</v>
      </c>
      <c r="F36" s="2" t="s">
        <v>116</v>
      </c>
      <c r="J36" s="58" t="s">
        <v>104</v>
      </c>
      <c r="K36" s="59" t="s">
        <v>105</v>
      </c>
      <c r="L36" s="62">
        <f>C47</f>
        <v>36.443738677606113</v>
      </c>
      <c r="Q36" s="13"/>
      <c r="R36" s="13"/>
      <c r="S36" s="13"/>
      <c r="T36" s="13"/>
      <c r="V36" s="13"/>
      <c r="W36" s="13"/>
      <c r="X36" s="13"/>
    </row>
    <row r="37" spans="2:24" ht="17" x14ac:dyDescent="0.25">
      <c r="B37" t="s">
        <v>9</v>
      </c>
      <c r="C37" s="11">
        <f>C16</f>
        <v>676.3</v>
      </c>
      <c r="D37" t="s">
        <v>12</v>
      </c>
      <c r="F37" s="2" t="s">
        <v>116</v>
      </c>
      <c r="J37" s="63" t="s">
        <v>63</v>
      </c>
      <c r="K37" s="64" t="s">
        <v>107</v>
      </c>
      <c r="L37" s="65">
        <f>D114</f>
        <v>6.2726185038453224</v>
      </c>
      <c r="M37" s="24"/>
      <c r="Q37" s="13"/>
      <c r="R37" s="13"/>
      <c r="S37" s="13"/>
      <c r="T37" s="13"/>
      <c r="V37" s="13"/>
      <c r="W37" s="13"/>
      <c r="X37" s="13"/>
    </row>
    <row r="38" spans="2:24" ht="18" thickBot="1" x14ac:dyDescent="0.3">
      <c r="B38" t="s">
        <v>10</v>
      </c>
      <c r="C38" s="11">
        <f>C17</f>
        <v>500000</v>
      </c>
      <c r="D38" t="s">
        <v>11</v>
      </c>
      <c r="F38" s="2" t="s">
        <v>116</v>
      </c>
      <c r="J38" s="60" t="s">
        <v>29</v>
      </c>
      <c r="K38" s="61"/>
      <c r="L38" s="66">
        <f>C10</f>
        <v>7500</v>
      </c>
      <c r="M38" s="24"/>
      <c r="Q38" s="13"/>
      <c r="R38" s="13"/>
      <c r="S38" s="13"/>
      <c r="T38" s="13"/>
      <c r="V38" s="13"/>
      <c r="W38" s="13"/>
      <c r="X38" s="13"/>
    </row>
    <row r="39" spans="2:24" ht="16" thickBot="1" x14ac:dyDescent="0.25">
      <c r="C39" s="11"/>
      <c r="F39" s="2"/>
      <c r="Q39" s="13"/>
      <c r="R39" s="13"/>
      <c r="S39" s="13"/>
      <c r="T39" s="13"/>
      <c r="V39" s="13"/>
      <c r="W39" s="13"/>
      <c r="X39" s="13"/>
    </row>
    <row r="40" spans="2:24" ht="17" x14ac:dyDescent="0.25">
      <c r="B40" t="s">
        <v>114</v>
      </c>
      <c r="C40" s="12">
        <f>PI()*((H8+H9/2)^2-(H8-H9/2)^2)</f>
        <v>0.15398202232304994</v>
      </c>
      <c r="D40" t="s">
        <v>36</v>
      </c>
      <c r="F40" s="2" t="s">
        <v>118</v>
      </c>
      <c r="J40" s="58" t="s">
        <v>2</v>
      </c>
      <c r="K40" s="59"/>
      <c r="L40" s="62">
        <f>D116</f>
        <v>3.96</v>
      </c>
      <c r="Q40" s="13"/>
      <c r="R40" s="13"/>
      <c r="S40" s="13"/>
      <c r="T40" s="13"/>
      <c r="V40" s="13"/>
      <c r="W40" s="13"/>
      <c r="X40" s="13"/>
    </row>
    <row r="41" spans="2:24" ht="17" x14ac:dyDescent="0.25">
      <c r="B41" t="s">
        <v>38</v>
      </c>
      <c r="C41" s="9">
        <f>C38/(1+(M8-1)/2*C36^2)^(M8/(M8-1))</f>
        <v>488889.18472967669</v>
      </c>
      <c r="D41" t="s">
        <v>11</v>
      </c>
      <c r="J41" s="63" t="s">
        <v>85</v>
      </c>
      <c r="K41" s="64"/>
      <c r="L41" s="65">
        <f>D117</f>
        <v>0.48436423837510167</v>
      </c>
      <c r="Q41" s="13"/>
      <c r="R41" s="13"/>
      <c r="S41" s="13"/>
      <c r="T41" s="13"/>
      <c r="V41" s="13"/>
      <c r="W41" s="13"/>
      <c r="X41" s="13"/>
    </row>
    <row r="42" spans="2:24" ht="17" x14ac:dyDescent="0.25">
      <c r="B42" t="s">
        <v>33</v>
      </c>
      <c r="C42" s="9">
        <f>C37/(1+(M8-1)/2*C36^2)</f>
        <v>672.20786564933258</v>
      </c>
      <c r="D42" t="s">
        <v>12</v>
      </c>
      <c r="J42" s="63" t="s">
        <v>86</v>
      </c>
      <c r="K42" s="64"/>
      <c r="L42" s="65">
        <f>D118</f>
        <v>1.8461565434513025</v>
      </c>
      <c r="Q42" s="13"/>
      <c r="R42" s="13"/>
      <c r="S42" s="13"/>
      <c r="T42" s="13"/>
      <c r="V42" s="13"/>
      <c r="W42" s="13"/>
      <c r="X42" s="13"/>
    </row>
    <row r="43" spans="2:24" ht="17" x14ac:dyDescent="0.25">
      <c r="B43" t="s">
        <v>35</v>
      </c>
      <c r="C43" s="12">
        <f>C36*SQRT(M8*M9*C42)</f>
        <v>93.122077817545176</v>
      </c>
      <c r="D43" t="s">
        <v>17</v>
      </c>
      <c r="J43" s="63" t="s">
        <v>87</v>
      </c>
      <c r="K43" s="64"/>
      <c r="L43" s="65">
        <f>D119</f>
        <v>0.40442304331867268</v>
      </c>
      <c r="Q43" s="13"/>
      <c r="R43" s="13"/>
      <c r="S43" s="13"/>
      <c r="T43" s="13"/>
      <c r="V43" s="13"/>
      <c r="W43" s="13"/>
      <c r="X43" s="13"/>
    </row>
    <row r="44" spans="2:24" ht="18" thickBot="1" x14ac:dyDescent="0.3">
      <c r="B44" t="s">
        <v>49</v>
      </c>
      <c r="C44" s="12">
        <f>C41/M9/C42</f>
        <v>2.5415592986650868</v>
      </c>
      <c r="D44" t="s">
        <v>72</v>
      </c>
      <c r="J44" s="60" t="s">
        <v>108</v>
      </c>
      <c r="K44" s="61"/>
      <c r="L44" s="67">
        <f>D120</f>
        <v>87.346328451202865</v>
      </c>
      <c r="Q44" s="13"/>
      <c r="R44" s="13"/>
      <c r="S44" s="13"/>
      <c r="T44" s="13"/>
      <c r="V44" s="13"/>
      <c r="W44" s="13"/>
      <c r="X44" s="13"/>
    </row>
    <row r="45" spans="2:24" ht="18" thickBot="1" x14ac:dyDescent="0.3">
      <c r="B45" t="s">
        <v>94</v>
      </c>
      <c r="C45" s="53">
        <f>$R$8*(C42/$R$9)^(3/2)*($R$9+$R$10)/(C42+$R$10)</f>
        <v>3.2467484340084172E-5</v>
      </c>
      <c r="D45" t="s">
        <v>120</v>
      </c>
      <c r="Q45" s="13"/>
      <c r="R45" s="13"/>
      <c r="S45" s="13"/>
      <c r="T45" s="13"/>
      <c r="V45" s="13"/>
      <c r="W45" s="13"/>
      <c r="X45" s="13"/>
    </row>
    <row r="46" spans="2:24" ht="17" x14ac:dyDescent="0.25">
      <c r="J46" s="41" t="s">
        <v>92</v>
      </c>
      <c r="K46" s="42" t="s">
        <v>103</v>
      </c>
      <c r="L46" s="54">
        <f>D126</f>
        <v>24643954.23876309</v>
      </c>
      <c r="Q46" s="13"/>
      <c r="R46" s="13"/>
      <c r="S46" s="13"/>
      <c r="T46" s="13"/>
      <c r="V46" s="13"/>
      <c r="W46" s="13"/>
      <c r="X46" s="13"/>
    </row>
    <row r="47" spans="2:24" ht="18" thickBot="1" x14ac:dyDescent="0.3">
      <c r="B47" s="17" t="s">
        <v>37</v>
      </c>
      <c r="C47" s="71">
        <f>C44*C43*C40</f>
        <v>36.443738677606113</v>
      </c>
      <c r="D47" s="17" t="s">
        <v>39</v>
      </c>
      <c r="J47" s="43" t="s">
        <v>93</v>
      </c>
      <c r="K47" s="44" t="s">
        <v>103</v>
      </c>
      <c r="L47" s="55">
        <f>D127</f>
        <v>16310039.213111928</v>
      </c>
      <c r="Q47" s="13"/>
      <c r="R47" s="13"/>
      <c r="S47" s="13"/>
      <c r="T47" s="13"/>
      <c r="V47" s="13"/>
      <c r="W47" s="13"/>
      <c r="X47" s="13"/>
    </row>
    <row r="48" spans="2:24" x14ac:dyDescent="0.2">
      <c r="Q48" s="13"/>
      <c r="R48" s="13"/>
      <c r="S48" s="13"/>
      <c r="T48" s="13"/>
      <c r="V48" s="13"/>
      <c r="W48" s="13"/>
      <c r="X48" s="13"/>
    </row>
    <row r="49" spans="2:24" x14ac:dyDescent="0.2">
      <c r="B49" s="8" t="s">
        <v>42</v>
      </c>
      <c r="J49" s="80" t="s">
        <v>162</v>
      </c>
      <c r="L49">
        <f>ABS(C77-C108)</f>
        <v>3.8937870527888663E-7</v>
      </c>
      <c r="Q49" s="13"/>
      <c r="R49" s="13"/>
      <c r="S49" s="13"/>
      <c r="T49" s="13"/>
      <c r="V49" s="13"/>
      <c r="W49" s="13"/>
      <c r="X49" s="13"/>
    </row>
    <row r="50" spans="2:24" x14ac:dyDescent="0.2">
      <c r="B50" s="8"/>
      <c r="G50" t="s">
        <v>165</v>
      </c>
      <c r="H50">
        <f>H8+H9/2</f>
        <v>0.42049999999999998</v>
      </c>
      <c r="Q50" s="13"/>
      <c r="R50" s="13"/>
      <c r="S50" s="13"/>
      <c r="T50" s="13"/>
      <c r="V50" s="13"/>
      <c r="W50" s="13"/>
      <c r="X50" s="13"/>
    </row>
    <row r="51" spans="2:24" ht="17" x14ac:dyDescent="0.25">
      <c r="B51" s="19" t="s">
        <v>41</v>
      </c>
      <c r="C51" s="19">
        <v>73.741851081979348</v>
      </c>
      <c r="D51" s="19" t="s">
        <v>13</v>
      </c>
      <c r="E51" s="3" t="s">
        <v>48</v>
      </c>
      <c r="G51" s="81" t="s">
        <v>166</v>
      </c>
      <c r="H51">
        <f>H8-H9/2</f>
        <v>0.35750000000000004</v>
      </c>
      <c r="J51" s="80" t="s">
        <v>163</v>
      </c>
      <c r="K51">
        <f>($C$17-C62)/($C$17-C55)</f>
        <v>0.11811189854446499</v>
      </c>
      <c r="Q51" s="13"/>
      <c r="R51" s="13"/>
      <c r="S51" s="13"/>
      <c r="T51" s="13"/>
      <c r="V51" s="13"/>
      <c r="W51" s="13"/>
      <c r="X51" s="13"/>
    </row>
    <row r="52" spans="2:24" x14ac:dyDescent="0.2">
      <c r="E52" s="3"/>
      <c r="J52" t="s">
        <v>164</v>
      </c>
      <c r="K52">
        <f>(C72-C101)/(C72-C88)</f>
        <v>0.21402486970181422</v>
      </c>
      <c r="Q52" s="13"/>
      <c r="S52" s="13"/>
      <c r="T52" s="13"/>
      <c r="V52" s="13"/>
      <c r="W52" s="13"/>
      <c r="X52" s="13"/>
    </row>
    <row r="53" spans="2:24" ht="17" x14ac:dyDescent="0.25">
      <c r="B53" t="s">
        <v>119</v>
      </c>
      <c r="C53" s="12">
        <f>PI()*((H8+H9*H10/2)^2-(H8-H9*H10/2)^2)</f>
        <v>0.17846516387241509</v>
      </c>
      <c r="D53" t="s">
        <v>36</v>
      </c>
      <c r="E53" s="3"/>
      <c r="F53" s="2" t="s">
        <v>118</v>
      </c>
      <c r="G53" t="s">
        <v>165</v>
      </c>
      <c r="H53">
        <f>(H8+H9*H10/2)</f>
        <v>0.42550850000000001</v>
      </c>
      <c r="Q53" s="13"/>
      <c r="R53" s="13"/>
      <c r="S53" s="13"/>
      <c r="T53" s="13"/>
      <c r="V53" s="13"/>
      <c r="W53" s="13"/>
      <c r="X53" s="13"/>
    </row>
    <row r="54" spans="2:24" x14ac:dyDescent="0.2">
      <c r="E54" s="3"/>
      <c r="G54" t="s">
        <v>166</v>
      </c>
      <c r="H54">
        <f>H8-H9*H10/2</f>
        <v>0.35249150000000001</v>
      </c>
      <c r="V54" s="13"/>
      <c r="W54" s="13"/>
      <c r="X54" s="13"/>
    </row>
    <row r="55" spans="2:24" ht="17" x14ac:dyDescent="0.25">
      <c r="B55" t="s">
        <v>123</v>
      </c>
      <c r="C55">
        <f>C17/C9+C8*(C17-C17/C9)</f>
        <v>272917.16262604739</v>
      </c>
      <c r="D55" t="s">
        <v>11</v>
      </c>
      <c r="F55" s="2" t="s">
        <v>116</v>
      </c>
      <c r="L55" s="15"/>
      <c r="V55" s="13"/>
      <c r="W55" s="13"/>
      <c r="X55" s="13"/>
    </row>
    <row r="56" spans="2:24" ht="17" x14ac:dyDescent="0.25">
      <c r="B56" t="s">
        <v>124</v>
      </c>
      <c r="C56" s="11">
        <f>C37</f>
        <v>676.3</v>
      </c>
      <c r="D56" t="s">
        <v>12</v>
      </c>
      <c r="F56" s="2" t="s">
        <v>125</v>
      </c>
      <c r="I56" s="10"/>
      <c r="M56" s="10"/>
      <c r="V56" s="13"/>
      <c r="W56" s="13"/>
      <c r="X56" s="13"/>
    </row>
    <row r="57" spans="2:24" ht="17" x14ac:dyDescent="0.25">
      <c r="B57" t="s">
        <v>126</v>
      </c>
      <c r="C57" s="10">
        <f>SQRT(2*M10*C16*(1-(C55/C17)^((M8-1)/M8)))</f>
        <v>462.19234622381231</v>
      </c>
      <c r="D57" t="s">
        <v>17</v>
      </c>
      <c r="F57" s="2" t="s">
        <v>127</v>
      </c>
      <c r="I57" s="10"/>
      <c r="M57" s="10"/>
      <c r="V57" s="13"/>
      <c r="W57" s="13"/>
      <c r="X57" s="13"/>
    </row>
    <row r="58" spans="2:24" ht="17" x14ac:dyDescent="0.25">
      <c r="B58" t="s">
        <v>43</v>
      </c>
      <c r="C58" s="10">
        <f>SQRT(H17*C57^2)</f>
        <v>444.52236449900016</v>
      </c>
      <c r="D58" t="s">
        <v>17</v>
      </c>
      <c r="F58" s="2" t="s">
        <v>129</v>
      </c>
      <c r="I58" s="10"/>
      <c r="M58" s="10"/>
      <c r="V58" s="13"/>
      <c r="W58" s="13"/>
      <c r="X58" s="13"/>
    </row>
    <row r="59" spans="2:24" ht="17" x14ac:dyDescent="0.25">
      <c r="B59" t="s">
        <v>128</v>
      </c>
      <c r="C59" s="9">
        <f>C56-C58^2/2/M10</f>
        <v>581.93508474700002</v>
      </c>
      <c r="D59" t="s">
        <v>12</v>
      </c>
      <c r="E59">
        <f>(C55/C17)^((M8-1)/M8)*C16</f>
        <v>574.28387540216215</v>
      </c>
      <c r="G59">
        <f>C16-H17*(500-E59)</f>
        <v>745.01258474699989</v>
      </c>
      <c r="I59" s="10"/>
      <c r="L59" s="15"/>
      <c r="M59" s="10"/>
      <c r="V59" s="13"/>
      <c r="W59" s="13"/>
      <c r="X59" s="13"/>
    </row>
    <row r="60" spans="2:24" ht="17" x14ac:dyDescent="0.25">
      <c r="B60" t="s">
        <v>5</v>
      </c>
      <c r="C60" s="12">
        <f>C58/SQRT(M8*M9*C59)</f>
        <v>0.93066367883294532</v>
      </c>
      <c r="D60" t="s">
        <v>6</v>
      </c>
      <c r="E60">
        <f>SQRT(2*M10*(C16-E59))</f>
        <v>462.19234622381231</v>
      </c>
      <c r="G60" t="e">
        <f>SQRT(2*M10*(C16-G59))</f>
        <v>#NUM!</v>
      </c>
      <c r="I60" s="10"/>
      <c r="L60" s="15"/>
      <c r="M60" s="10"/>
      <c r="V60" s="13"/>
      <c r="W60" s="13"/>
      <c r="X60" s="13"/>
    </row>
    <row r="61" spans="2:24" ht="18" x14ac:dyDescent="0.25">
      <c r="B61" s="15" t="s">
        <v>47</v>
      </c>
      <c r="C61" s="12">
        <f>C55/M9/C59</f>
        <v>1.6388896517460605</v>
      </c>
      <c r="D61" t="s">
        <v>130</v>
      </c>
      <c r="I61" s="9"/>
      <c r="L61" s="15"/>
      <c r="M61" s="9"/>
      <c r="Q61" s="13"/>
      <c r="R61" s="13"/>
      <c r="S61" s="13"/>
      <c r="T61" s="13"/>
      <c r="U61" s="13"/>
      <c r="V61" s="13"/>
      <c r="W61" s="13"/>
      <c r="X61" s="13"/>
    </row>
    <row r="62" spans="2:24" ht="17" x14ac:dyDescent="0.25">
      <c r="B62" s="15" t="s">
        <v>69</v>
      </c>
      <c r="C62" s="11">
        <f>C55*(1+(M8-1)/2*C60^2)^((M8)/(M8-1))</f>
        <v>473178.81495089846</v>
      </c>
      <c r="D62" t="s">
        <v>11</v>
      </c>
      <c r="I62" s="9"/>
      <c r="L62" s="15"/>
      <c r="M62" s="9"/>
      <c r="Q62" s="13"/>
      <c r="R62" s="13"/>
      <c r="S62" s="13"/>
      <c r="T62" s="13"/>
      <c r="U62" s="13"/>
      <c r="V62" s="13"/>
      <c r="W62" s="13"/>
      <c r="X62" s="13"/>
    </row>
    <row r="63" spans="2:24" x14ac:dyDescent="0.2">
      <c r="I63" s="12"/>
      <c r="L63" s="15"/>
      <c r="M63" s="12"/>
      <c r="Q63" s="13"/>
      <c r="R63" s="13"/>
      <c r="S63" s="13"/>
      <c r="T63" s="13"/>
      <c r="U63" s="13"/>
      <c r="V63" s="13"/>
      <c r="W63" s="13"/>
      <c r="X63" s="13"/>
    </row>
    <row r="64" spans="2:24" ht="17" x14ac:dyDescent="0.25">
      <c r="B64" t="s">
        <v>131</v>
      </c>
      <c r="C64" s="10">
        <f>C58*COS(C51/180*PI())</f>
        <v>124.45095036366688</v>
      </c>
      <c r="D64" t="s">
        <v>17</v>
      </c>
      <c r="I64" s="12"/>
      <c r="L64" s="15"/>
      <c r="M64" s="12"/>
      <c r="Q64" s="13"/>
      <c r="R64" s="13"/>
      <c r="S64" s="13"/>
      <c r="T64" s="13"/>
      <c r="U64" s="13"/>
      <c r="V64" s="13"/>
      <c r="W64" s="13"/>
      <c r="X64" s="13"/>
    </row>
    <row r="65" spans="2:24" ht="17" x14ac:dyDescent="0.25">
      <c r="B65" t="s">
        <v>132</v>
      </c>
      <c r="C65" s="10">
        <f>C58*SIN(C51/180*PI())</f>
        <v>426.7459355323283</v>
      </c>
      <c r="D65" t="s">
        <v>17</v>
      </c>
      <c r="L65" s="15"/>
      <c r="Q65" s="13"/>
      <c r="R65" s="13"/>
      <c r="S65" s="13"/>
      <c r="T65" s="13"/>
      <c r="U65" s="13"/>
      <c r="V65" s="13"/>
      <c r="W65" s="13"/>
      <c r="X65" s="13"/>
    </row>
    <row r="66" spans="2:24" ht="17" x14ac:dyDescent="0.25">
      <c r="B66" t="s">
        <v>133</v>
      </c>
      <c r="C66" s="10">
        <f>C65-C31</f>
        <v>121.22604997072091</v>
      </c>
      <c r="D66" t="s">
        <v>17</v>
      </c>
      <c r="L66" s="15"/>
      <c r="Q66" s="13"/>
      <c r="R66" s="13"/>
      <c r="S66" s="13"/>
      <c r="T66" s="13"/>
      <c r="U66" s="13"/>
      <c r="V66" s="13"/>
      <c r="W66" s="13"/>
      <c r="X66" s="13"/>
    </row>
    <row r="67" spans="2:24" x14ac:dyDescent="0.2">
      <c r="B67" s="15" t="s">
        <v>26</v>
      </c>
      <c r="C67" s="70">
        <f>ATAN2(C64,C66)*180/PI()</f>
        <v>44.247945187690497</v>
      </c>
      <c r="D67" t="s">
        <v>13</v>
      </c>
      <c r="I67" s="12"/>
      <c r="L67" s="15"/>
      <c r="M67" s="12"/>
      <c r="Q67" s="13"/>
      <c r="R67" s="13"/>
      <c r="S67" s="13"/>
      <c r="T67" s="13"/>
      <c r="U67" s="13"/>
      <c r="V67" s="13"/>
      <c r="W67" s="13"/>
      <c r="X67" s="13"/>
    </row>
    <row r="68" spans="2:24" ht="17" x14ac:dyDescent="0.25">
      <c r="B68" s="15" t="s">
        <v>134</v>
      </c>
      <c r="C68" s="10">
        <f>SQRT(C66^2+C64^2)</f>
        <v>173.73483887212603</v>
      </c>
      <c r="D68" t="s">
        <v>17</v>
      </c>
      <c r="I68" s="9"/>
      <c r="L68" s="15"/>
      <c r="M68" s="9"/>
      <c r="Q68" s="13"/>
      <c r="R68" s="13"/>
      <c r="S68" s="13"/>
      <c r="T68" s="13"/>
      <c r="U68" s="13"/>
      <c r="V68" s="13"/>
      <c r="W68" s="13"/>
      <c r="X68" s="13"/>
    </row>
    <row r="69" spans="2:24" ht="17" x14ac:dyDescent="0.25">
      <c r="B69" t="s">
        <v>135</v>
      </c>
      <c r="C69" s="53">
        <f>$R$8*(C59/$R$9)^(3/2)*($R$9+$R$10)/(C59+$R$10)</f>
        <v>2.956194026692314E-5</v>
      </c>
      <c r="D69" t="s">
        <v>120</v>
      </c>
      <c r="I69" s="53"/>
      <c r="L69" s="15"/>
      <c r="M69" s="53"/>
      <c r="Q69" s="13"/>
      <c r="R69" s="13"/>
      <c r="S69" s="13"/>
      <c r="T69" s="13"/>
      <c r="U69" s="13"/>
      <c r="V69" s="13"/>
      <c r="W69" s="13"/>
      <c r="X69" s="13"/>
    </row>
    <row r="70" spans="2:24" x14ac:dyDescent="0.2">
      <c r="B70" s="15"/>
      <c r="C70" s="12"/>
      <c r="Q70" s="13"/>
      <c r="R70" s="13"/>
      <c r="S70" s="13"/>
      <c r="T70" s="13"/>
      <c r="U70" s="13"/>
      <c r="V70" s="13"/>
      <c r="W70" s="13"/>
      <c r="X70" s="13"/>
    </row>
    <row r="71" spans="2:24" ht="17" x14ac:dyDescent="0.25">
      <c r="B71" s="15" t="s">
        <v>138</v>
      </c>
      <c r="C71" s="10">
        <f>C59+C68^2/2/M10</f>
        <v>596.34950415384037</v>
      </c>
      <c r="D71" t="s">
        <v>12</v>
      </c>
      <c r="Q71" s="13"/>
      <c r="R71" s="13"/>
      <c r="S71" s="13"/>
      <c r="T71" s="13"/>
      <c r="U71" s="13"/>
      <c r="V71" s="13"/>
      <c r="W71" s="13"/>
      <c r="X71" s="13"/>
    </row>
    <row r="72" spans="2:24" ht="17" x14ac:dyDescent="0.25">
      <c r="B72" s="15" t="s">
        <v>137</v>
      </c>
      <c r="C72" s="10">
        <f>C55*(C71/C59)^(M8/(M8-1))</f>
        <v>298797.4968636132</v>
      </c>
      <c r="D72" t="s">
        <v>11</v>
      </c>
      <c r="Q72" s="13"/>
      <c r="R72" s="13"/>
      <c r="S72" s="13"/>
      <c r="T72" s="13"/>
      <c r="U72" s="13"/>
      <c r="V72" s="13"/>
      <c r="W72" s="13"/>
      <c r="X72" s="13"/>
    </row>
    <row r="73" spans="2:24" ht="17" x14ac:dyDescent="0.25">
      <c r="B73" s="15" t="s">
        <v>51</v>
      </c>
      <c r="C73" s="12">
        <f>C68/SQRT(M8*M9*C59)</f>
        <v>0.3637358144362734</v>
      </c>
      <c r="D73" t="s">
        <v>6</v>
      </c>
      <c r="Q73" s="13"/>
      <c r="R73" s="13"/>
      <c r="S73" s="13"/>
      <c r="T73" s="13"/>
      <c r="U73" s="13"/>
      <c r="V73" s="13"/>
      <c r="W73" s="13"/>
      <c r="X73" s="13"/>
    </row>
    <row r="74" spans="2:24" x14ac:dyDescent="0.2">
      <c r="B74" s="15"/>
      <c r="C74" s="12"/>
      <c r="Q74" s="13"/>
      <c r="R74" s="13"/>
      <c r="S74" s="13"/>
      <c r="T74" s="13"/>
      <c r="U74" s="13"/>
      <c r="V74" s="13"/>
      <c r="W74" s="13"/>
      <c r="X74" s="13"/>
    </row>
    <row r="75" spans="2:24" x14ac:dyDescent="0.2">
      <c r="B75" s="15" t="s">
        <v>139</v>
      </c>
      <c r="C75" s="12">
        <f>(C17-C62)/(C62-C55)*100</f>
        <v>13.393070883882451</v>
      </c>
      <c r="D75" t="s">
        <v>70</v>
      </c>
      <c r="F75" s="2" t="s">
        <v>136</v>
      </c>
      <c r="Q75" s="13"/>
      <c r="R75" s="13"/>
      <c r="S75" s="13"/>
      <c r="T75" s="13"/>
      <c r="U75" s="13"/>
      <c r="V75" s="13"/>
      <c r="W75" s="13"/>
      <c r="X75" s="13"/>
    </row>
    <row r="76" spans="2:24" x14ac:dyDescent="0.2">
      <c r="B76" s="15"/>
      <c r="C76" s="12"/>
      <c r="Q76" s="13"/>
      <c r="R76" s="13"/>
      <c r="S76" s="13"/>
      <c r="T76" s="13"/>
      <c r="U76" s="13"/>
      <c r="V76" s="13"/>
      <c r="W76" s="13"/>
      <c r="X76" s="13"/>
    </row>
    <row r="77" spans="2:24" x14ac:dyDescent="0.2">
      <c r="B77" s="16" t="s">
        <v>37</v>
      </c>
      <c r="C77" s="71">
        <f>C61*C64*C53</f>
        <v>36.400000159652791</v>
      </c>
      <c r="D77" s="17" t="s">
        <v>39</v>
      </c>
      <c r="E77" s="3" t="s">
        <v>73</v>
      </c>
      <c r="Q77" s="13"/>
      <c r="R77" s="13"/>
      <c r="S77" s="13"/>
      <c r="T77" s="13"/>
      <c r="U77" s="13"/>
      <c r="V77" s="13"/>
      <c r="W77" s="13"/>
      <c r="X77" s="13"/>
    </row>
    <row r="78" spans="2:24" x14ac:dyDescent="0.2">
      <c r="B78" s="15" t="s">
        <v>79</v>
      </c>
      <c r="C78" s="9">
        <f>(C47-C77)/C47*100</f>
        <v>0.12001655027835731</v>
      </c>
      <c r="D78" t="s">
        <v>70</v>
      </c>
      <c r="Q78" s="13"/>
      <c r="R78" s="13"/>
      <c r="S78" s="13"/>
      <c r="T78" s="13"/>
      <c r="U78" s="13"/>
      <c r="V78" s="13"/>
      <c r="W78" s="13"/>
      <c r="X78" s="13"/>
    </row>
    <row r="79" spans="2:24" x14ac:dyDescent="0.2">
      <c r="B79" s="15"/>
      <c r="C79" s="9"/>
      <c r="Q79" s="13"/>
      <c r="R79" s="13"/>
      <c r="S79" s="13"/>
      <c r="T79" s="13"/>
      <c r="U79" s="13"/>
      <c r="V79" s="13"/>
      <c r="W79" s="13"/>
      <c r="X79" s="13"/>
    </row>
    <row r="80" spans="2:24" x14ac:dyDescent="0.2">
      <c r="B80" s="8" t="s">
        <v>50</v>
      </c>
      <c r="Q80" s="13"/>
      <c r="R80" s="13"/>
      <c r="S80" s="13"/>
      <c r="T80" s="13"/>
      <c r="U80" s="13"/>
      <c r="V80" s="13"/>
      <c r="W80" s="13"/>
      <c r="X80" s="13"/>
    </row>
    <row r="82" spans="2:9" x14ac:dyDescent="0.2">
      <c r="B82" s="20" t="s">
        <v>28</v>
      </c>
      <c r="C82" s="57">
        <v>-68.827041994760506</v>
      </c>
      <c r="D82" s="19" t="s">
        <v>13</v>
      </c>
      <c r="E82" s="3" t="s">
        <v>48</v>
      </c>
    </row>
    <row r="83" spans="2:9" x14ac:dyDescent="0.2">
      <c r="B83" s="15"/>
      <c r="E83" s="3"/>
    </row>
    <row r="84" spans="2:9" ht="17" x14ac:dyDescent="0.25">
      <c r="B84" t="s">
        <v>149</v>
      </c>
      <c r="C84" s="12">
        <f>PI()*((H8+H9*H10*H11/2)^2-(H8-H9*H10*H11/2)^2)</f>
        <v>0.23503862081997071</v>
      </c>
      <c r="D84" t="s">
        <v>36</v>
      </c>
      <c r="E84" s="3"/>
      <c r="F84" s="2" t="s">
        <v>118</v>
      </c>
      <c r="H84" t="s">
        <v>165</v>
      </c>
      <c r="I84">
        <f>H8+H9*H10*H11/2</f>
        <v>0.43708169450000001</v>
      </c>
    </row>
    <row r="85" spans="2:9" x14ac:dyDescent="0.2">
      <c r="B85" s="15"/>
      <c r="E85" s="3"/>
      <c r="H85" t="s">
        <v>166</v>
      </c>
      <c r="I85">
        <f>H8-H9*H10*H11/2</f>
        <v>0.34091830550000002</v>
      </c>
    </row>
    <row r="86" spans="2:9" ht="17" x14ac:dyDescent="0.25">
      <c r="B86" s="15" t="s">
        <v>56</v>
      </c>
      <c r="C86">
        <f>C9</f>
        <v>3.96</v>
      </c>
      <c r="D86" t="s">
        <v>6</v>
      </c>
      <c r="E86" s="3"/>
    </row>
    <row r="87" spans="2:9" ht="17" x14ac:dyDescent="0.25">
      <c r="B87" s="15" t="s">
        <v>52</v>
      </c>
      <c r="C87" s="10">
        <f>C71</f>
        <v>596.34950415384037</v>
      </c>
      <c r="D87" t="s">
        <v>12</v>
      </c>
    </row>
    <row r="88" spans="2:9" ht="17" x14ac:dyDescent="0.25">
      <c r="B88" s="15" t="s">
        <v>57</v>
      </c>
      <c r="C88" s="10">
        <f>C17/C86</f>
        <v>126262.62626262626</v>
      </c>
      <c r="D88" t="s">
        <v>11</v>
      </c>
    </row>
    <row r="89" spans="2:9" ht="17" x14ac:dyDescent="0.25">
      <c r="B89" s="15" t="s">
        <v>140</v>
      </c>
      <c r="C89" s="10">
        <f>C71/(C72/C88)^((M8-1)/M8)</f>
        <v>472.56981600027956</v>
      </c>
      <c r="E89" t="s">
        <v>141</v>
      </c>
      <c r="F89" t="s">
        <v>142</v>
      </c>
    </row>
    <row r="90" spans="2:9" ht="17" x14ac:dyDescent="0.25">
      <c r="B90" s="15" t="s">
        <v>143</v>
      </c>
      <c r="C90" s="9">
        <f>SQRT((C87-C89)*2*M10)</f>
        <v>509.11164492040086</v>
      </c>
      <c r="D90" t="s">
        <v>17</v>
      </c>
    </row>
    <row r="91" spans="2:9" ht="17" x14ac:dyDescent="0.25">
      <c r="B91" s="15" t="s">
        <v>53</v>
      </c>
      <c r="C91" s="9">
        <f>SQRT(H18*C90^2)</f>
        <v>474.86772925141378</v>
      </c>
      <c r="D91" t="s">
        <v>17</v>
      </c>
    </row>
    <row r="92" spans="2:9" ht="17" x14ac:dyDescent="0.25">
      <c r="B92" s="15" t="s">
        <v>60</v>
      </c>
      <c r="C92" s="9">
        <f>C91*SIN(C82/180*PI())</f>
        <v>-442.81148591333402</v>
      </c>
      <c r="D92" t="s">
        <v>17</v>
      </c>
    </row>
    <row r="93" spans="2:9" ht="17" x14ac:dyDescent="0.25">
      <c r="B93" s="15" t="s">
        <v>54</v>
      </c>
      <c r="C93" s="9">
        <f>C87-C91^2/2/M10</f>
        <v>488.66117546024248</v>
      </c>
      <c r="D93" t="s">
        <v>12</v>
      </c>
    </row>
    <row r="94" spans="2:9" ht="17" x14ac:dyDescent="0.25">
      <c r="B94" s="15" t="s">
        <v>55</v>
      </c>
      <c r="C94" s="12">
        <f>C91/SQRT(M8*M9*C93)</f>
        <v>1.0849385963277833</v>
      </c>
    </row>
    <row r="95" spans="2:9" ht="17" x14ac:dyDescent="0.25">
      <c r="B95" s="15" t="s">
        <v>58</v>
      </c>
      <c r="C95" s="18">
        <f>C92+C31</f>
        <v>-137.29160035172663</v>
      </c>
      <c r="D95" t="s">
        <v>17</v>
      </c>
      <c r="E95" s="9"/>
    </row>
    <row r="96" spans="2:9" ht="17" x14ac:dyDescent="0.25">
      <c r="B96" s="15" t="s">
        <v>61</v>
      </c>
      <c r="C96" s="9">
        <f>C91*COS(C82/180*PI())</f>
        <v>171.51486299332549</v>
      </c>
      <c r="D96" t="s">
        <v>17</v>
      </c>
    </row>
    <row r="97" spans="2:5" ht="17" x14ac:dyDescent="0.25">
      <c r="B97" s="15" t="s">
        <v>89</v>
      </c>
      <c r="C97" s="9">
        <f>SQRT(C95^2+C96^2)</f>
        <v>219.69599849509649</v>
      </c>
      <c r="D97" t="s">
        <v>17</v>
      </c>
    </row>
    <row r="98" spans="2:5" ht="17" x14ac:dyDescent="0.25">
      <c r="B98" s="15" t="s">
        <v>64</v>
      </c>
      <c r="C98" s="9">
        <f>C93+C97^2/2/M10</f>
        <v>511.71099960291554</v>
      </c>
      <c r="D98" t="s">
        <v>12</v>
      </c>
    </row>
    <row r="99" spans="2:5" ht="17" x14ac:dyDescent="0.25">
      <c r="B99" s="15" t="s">
        <v>65</v>
      </c>
      <c r="C99" s="9">
        <f>C97/SQRT(M8*M9*C93)</f>
        <v>0.50194328555837775</v>
      </c>
      <c r="D99" t="s">
        <v>6</v>
      </c>
    </row>
    <row r="100" spans="2:5" ht="17" x14ac:dyDescent="0.25">
      <c r="B100" s="15" t="s">
        <v>68</v>
      </c>
      <c r="C100" s="9">
        <f>C88*(1+(M8-1)/2*C99^2)^(M8/(M8-1))</f>
        <v>149462.64518321227</v>
      </c>
      <c r="D100" t="s">
        <v>11</v>
      </c>
    </row>
    <row r="101" spans="2:5" ht="17" x14ac:dyDescent="0.25">
      <c r="B101" s="15" t="s">
        <v>90</v>
      </c>
      <c r="C101" s="9">
        <f>C88*(1+(M8-1)/2*C94^2)^(M8/(M8-1))</f>
        <v>261870.74366421759</v>
      </c>
      <c r="D101" t="s">
        <v>11</v>
      </c>
    </row>
    <row r="102" spans="2:5" x14ac:dyDescent="0.2">
      <c r="B102" s="15" t="s">
        <v>139</v>
      </c>
      <c r="C102" s="9">
        <f>(C72-C101)/(C101-C88)*100</f>
        <v>27.23048878411926</v>
      </c>
      <c r="D102" t="s">
        <v>70</v>
      </c>
    </row>
    <row r="103" spans="2:5" ht="17" x14ac:dyDescent="0.25">
      <c r="B103" t="s">
        <v>59</v>
      </c>
      <c r="C103" s="9">
        <f>ATAN2(C96,C95)*180/PI()</f>
        <v>-38.676040968298594</v>
      </c>
      <c r="D103" t="s">
        <v>13</v>
      </c>
    </row>
    <row r="104" spans="2:5" ht="17" x14ac:dyDescent="0.25">
      <c r="B104" t="s">
        <v>95</v>
      </c>
      <c r="C104" s="53">
        <f>$R$8*(C93/$R$9)^(3/2)*($R$9+$R$10)/(C93+$R$10)</f>
        <v>2.6289240654177889E-5</v>
      </c>
      <c r="D104" t="s">
        <v>120</v>
      </c>
    </row>
    <row r="106" spans="2:5" ht="18" x14ac:dyDescent="0.25">
      <c r="B106" s="15" t="s">
        <v>144</v>
      </c>
      <c r="C106" s="12">
        <f>C88/C93/M9</f>
        <v>0.90294311350343481</v>
      </c>
      <c r="D106" t="s">
        <v>130</v>
      </c>
    </row>
    <row r="108" spans="2:5" x14ac:dyDescent="0.2">
      <c r="B108" s="17" t="s">
        <v>37</v>
      </c>
      <c r="C108" s="71">
        <f>C106*C96*C84</f>
        <v>36.399999770274086</v>
      </c>
      <c r="D108" s="17" t="s">
        <v>39</v>
      </c>
      <c r="E108" s="3" t="s">
        <v>73</v>
      </c>
    </row>
    <row r="109" spans="2:5" x14ac:dyDescent="0.2">
      <c r="B109" s="23" t="s">
        <v>79</v>
      </c>
      <c r="C109">
        <f>(C47-C108)/C47*100</f>
        <v>0.12001761871622732</v>
      </c>
      <c r="D109" t="s">
        <v>70</v>
      </c>
    </row>
    <row r="111" spans="2:5" x14ac:dyDescent="0.2">
      <c r="B111" s="8" t="s">
        <v>62</v>
      </c>
    </row>
    <row r="112" spans="2:5" x14ac:dyDescent="0.2">
      <c r="B112" s="8"/>
    </row>
    <row r="113" spans="2:6" x14ac:dyDescent="0.2">
      <c r="B113" t="s">
        <v>66</v>
      </c>
      <c r="D113">
        <f>M10*(C16-C98)</f>
        <v>172324.68341574739</v>
      </c>
    </row>
    <row r="114" spans="2:6" x14ac:dyDescent="0.2">
      <c r="B114" t="s">
        <v>63</v>
      </c>
      <c r="D114">
        <f>D113*C77/1000000</f>
        <v>6.2726185038453224</v>
      </c>
      <c r="E114" t="s">
        <v>67</v>
      </c>
    </row>
    <row r="115" spans="2:6" x14ac:dyDescent="0.2">
      <c r="B115" s="8"/>
    </row>
    <row r="116" spans="2:6" x14ac:dyDescent="0.2">
      <c r="B116" t="s">
        <v>2</v>
      </c>
      <c r="D116">
        <f>C9</f>
        <v>3.96</v>
      </c>
    </row>
    <row r="117" spans="2:6" x14ac:dyDescent="0.2">
      <c r="B117" t="s">
        <v>3</v>
      </c>
      <c r="D117" s="12">
        <f>(C96+C64)/2/C31</f>
        <v>0.48436423837510167</v>
      </c>
    </row>
    <row r="118" spans="2:6" x14ac:dyDescent="0.2">
      <c r="B118" t="s">
        <v>4</v>
      </c>
      <c r="D118" s="12">
        <f>D113/C31^2</f>
        <v>1.8461565434513025</v>
      </c>
    </row>
    <row r="119" spans="2:6" ht="17" x14ac:dyDescent="0.25">
      <c r="B119" t="s">
        <v>1</v>
      </c>
      <c r="D119" s="12">
        <f>(C55-C88)/(C41-C88)</f>
        <v>0.40442304331867268</v>
      </c>
    </row>
    <row r="120" spans="2:6" x14ac:dyDescent="0.2">
      <c r="B120" t="s">
        <v>108</v>
      </c>
      <c r="D120" s="12">
        <f>D114*1000000/C47/M10/C16/(1-(C100/C17)^((M8-1)/M8))*100</f>
        <v>87.346328451202865</v>
      </c>
      <c r="E120" t="s">
        <v>70</v>
      </c>
      <c r="F120" s="2" t="s">
        <v>150</v>
      </c>
    </row>
    <row r="122" spans="2:6" x14ac:dyDescent="0.2">
      <c r="B122" t="s">
        <v>15</v>
      </c>
      <c r="D122">
        <f>C31/SQRT(C16)</f>
        <v>11.748158278594115</v>
      </c>
    </row>
    <row r="123" spans="2:6" x14ac:dyDescent="0.2">
      <c r="B123" t="s">
        <v>14</v>
      </c>
      <c r="D123">
        <f>SQRT(C31^2/2/D113)</f>
        <v>0.52041611969329726</v>
      </c>
    </row>
    <row r="124" spans="2:6" x14ac:dyDescent="0.2">
      <c r="B124" t="s">
        <v>145</v>
      </c>
      <c r="D124" s="10">
        <f>C10/60*2*PI()*(H8+(H9*H10+H9*H10*H11)/4)</f>
        <v>338.73837726247388</v>
      </c>
      <c r="E124" t="s">
        <v>17</v>
      </c>
    </row>
    <row r="126" spans="2:6" ht="17" x14ac:dyDescent="0.25">
      <c r="B126" t="s">
        <v>100</v>
      </c>
      <c r="D126">
        <f>C61*C58/C69</f>
        <v>24643954.23876309</v>
      </c>
      <c r="E126" t="s">
        <v>102</v>
      </c>
    </row>
    <row r="127" spans="2:6" ht="17" x14ac:dyDescent="0.25">
      <c r="B127" t="s">
        <v>101</v>
      </c>
      <c r="D127">
        <f>C106*C91/C104</f>
        <v>16310039.213111928</v>
      </c>
      <c r="E127" t="s">
        <v>102</v>
      </c>
    </row>
    <row r="130" spans="2:23" x14ac:dyDescent="0.2">
      <c r="W130" s="13"/>
    </row>
    <row r="131" spans="2:23" x14ac:dyDescent="0.2">
      <c r="B131" s="7"/>
      <c r="C131" s="7"/>
      <c r="D131" s="7"/>
      <c r="E131" s="7"/>
      <c r="F131" s="76"/>
      <c r="G131" s="7"/>
      <c r="W131" s="13"/>
    </row>
    <row r="132" spans="2:23" x14ac:dyDescent="0.2">
      <c r="W132" s="13"/>
    </row>
    <row r="133" spans="2:23" x14ac:dyDescent="0.2">
      <c r="B133" s="8"/>
      <c r="W133" s="13"/>
    </row>
    <row r="134" spans="2:23" x14ac:dyDescent="0.2">
      <c r="W134" s="13"/>
    </row>
    <row r="135" spans="2:23" x14ac:dyDescent="0.2">
      <c r="B135" s="15"/>
      <c r="F135" s="2"/>
      <c r="W135" s="13"/>
    </row>
    <row r="136" spans="2:23" x14ac:dyDescent="0.2">
      <c r="B136" s="15"/>
      <c r="F136" s="2"/>
      <c r="W136" s="13"/>
    </row>
    <row r="137" spans="2:23" x14ac:dyDescent="0.2">
      <c r="B137" s="15"/>
      <c r="F137" s="2"/>
      <c r="W137" s="13"/>
    </row>
    <row r="138" spans="2:23" x14ac:dyDescent="0.2">
      <c r="C138" s="77"/>
      <c r="F138" s="2"/>
      <c r="W138" s="13"/>
    </row>
    <row r="139" spans="2:23" x14ac:dyDescent="0.2">
      <c r="C139" s="77"/>
      <c r="F139" s="2"/>
      <c r="W139" s="13"/>
    </row>
    <row r="140" spans="2:23" x14ac:dyDescent="0.2">
      <c r="C140" s="77"/>
      <c r="W140" s="13"/>
    </row>
    <row r="141" spans="2:23" x14ac:dyDescent="0.2">
      <c r="C141" s="77"/>
      <c r="W141" s="13"/>
    </row>
    <row r="142" spans="2:23" x14ac:dyDescent="0.2">
      <c r="C142" s="77"/>
      <c r="W142" s="13"/>
    </row>
    <row r="143" spans="2:23" x14ac:dyDescent="0.2">
      <c r="C143" s="77"/>
      <c r="W143" s="13"/>
    </row>
    <row r="144" spans="2:23" x14ac:dyDescent="0.2">
      <c r="C144" s="77"/>
      <c r="W144" s="13"/>
    </row>
    <row r="145" spans="2:23" x14ac:dyDescent="0.2">
      <c r="W145" s="13"/>
    </row>
    <row r="146" spans="2:23" x14ac:dyDescent="0.2">
      <c r="C146" s="78"/>
      <c r="F146" s="2"/>
      <c r="W146" s="13"/>
    </row>
    <row r="147" spans="2:23" x14ac:dyDescent="0.2">
      <c r="W147" s="13"/>
    </row>
    <row r="148" spans="2:23" x14ac:dyDescent="0.2">
      <c r="W148" s="13"/>
    </row>
    <row r="149" spans="2:23" x14ac:dyDescent="0.2">
      <c r="W149" s="13"/>
    </row>
    <row r="150" spans="2:23" x14ac:dyDescent="0.2">
      <c r="W150" s="13"/>
    </row>
    <row r="151" spans="2:23" x14ac:dyDescent="0.2">
      <c r="W151" s="13"/>
    </row>
    <row r="152" spans="2:23" x14ac:dyDescent="0.2">
      <c r="K152" s="2"/>
      <c r="W152" s="13"/>
    </row>
    <row r="153" spans="2:23" x14ac:dyDescent="0.2">
      <c r="W153" s="13"/>
    </row>
    <row r="154" spans="2:23" x14ac:dyDescent="0.2">
      <c r="W154" s="13"/>
    </row>
    <row r="155" spans="2:23" x14ac:dyDescent="0.2">
      <c r="W155" s="13"/>
    </row>
    <row r="156" spans="2:23" x14ac:dyDescent="0.2">
      <c r="B156" s="8"/>
      <c r="W156" s="13"/>
    </row>
    <row r="157" spans="2:23" x14ac:dyDescent="0.2">
      <c r="W157" s="13"/>
    </row>
    <row r="158" spans="2:23" x14ac:dyDescent="0.2">
      <c r="B158" s="15"/>
      <c r="F158" s="2"/>
      <c r="W158" s="13"/>
    </row>
    <row r="159" spans="2:23" x14ac:dyDescent="0.2">
      <c r="B159" s="15"/>
      <c r="F159" s="2"/>
      <c r="W159" s="13"/>
    </row>
    <row r="160" spans="2:23" x14ac:dyDescent="0.2">
      <c r="W160" s="13"/>
    </row>
    <row r="161" spans="2:23" x14ac:dyDescent="0.2">
      <c r="F161" s="2"/>
      <c r="W161" s="13"/>
    </row>
    <row r="162" spans="2:23" x14ac:dyDescent="0.2">
      <c r="F162" s="2"/>
    </row>
    <row r="167" spans="2:23" x14ac:dyDescent="0.2">
      <c r="B167" s="15"/>
    </row>
    <row r="168" spans="2:23" x14ac:dyDescent="0.2">
      <c r="B168" s="15"/>
    </row>
    <row r="170" spans="2:23" x14ac:dyDescent="0.2">
      <c r="B170" s="15"/>
    </row>
    <row r="171" spans="2:23" x14ac:dyDescent="0.2">
      <c r="B171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5FA3-7AD0-E84A-9EC9-9FA35D54FBF9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2024-07-09T12:44:09Z</dcterms:modified>
</cp:coreProperties>
</file>