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ämäTyökirja" defaultThemeVersion="153222"/>
  <mc:AlternateContent xmlns:mc="http://schemas.openxmlformats.org/markup-compatibility/2006">
    <mc:Choice Requires="x15">
      <x15ac:absPath xmlns:x15ac="http://schemas.microsoft.com/office/spreadsheetml/2010/11/ac" url="C:\Users\Kimmo.Sakari\Dropbox\My PC (EA012N)\Desktop\"/>
    </mc:Choice>
  </mc:AlternateContent>
  <bookViews>
    <workbookView xWindow="0" yWindow="0" windowWidth="20475" windowHeight="8775" activeTab="1"/>
  </bookViews>
  <sheets>
    <sheet name="USER INPUTS" sheetId="11" r:id="rId1"/>
    <sheet name="DEFAULT" sheetId="10" r:id="rId2"/>
    <sheet name="LOCAL DATASET INPUTS" sheetId="1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8" i="11" l="1"/>
  <c r="L66" i="11"/>
  <c r="L64" i="11"/>
  <c r="L50" i="11"/>
  <c r="L48" i="11"/>
  <c r="L46" i="11"/>
  <c r="L55" i="11"/>
  <c r="L59" i="11"/>
  <c r="L57" i="11"/>
  <c r="B190" i="10" l="1"/>
  <c r="B193" i="10"/>
  <c r="E132" i="13"/>
  <c r="B51" i="11"/>
  <c r="C102" i="11" l="1"/>
  <c r="C112" i="11"/>
  <c r="C121" i="11"/>
  <c r="D78" i="11" l="1"/>
  <c r="D94" i="11"/>
  <c r="D99" i="11"/>
  <c r="D109" i="11"/>
  <c r="D118" i="11"/>
  <c r="D150" i="11"/>
  <c r="D156" i="11"/>
  <c r="D129" i="11"/>
  <c r="C86" i="11"/>
  <c r="D86" i="11" s="1"/>
  <c r="E99" i="13" l="1"/>
  <c r="E101" i="13"/>
  <c r="F101" i="13" s="1"/>
  <c r="E100" i="13"/>
  <c r="F100" i="13" s="1"/>
  <c r="E78" i="13"/>
  <c r="E105" i="13" l="1"/>
  <c r="F99" i="13"/>
  <c r="G99" i="13" s="1"/>
  <c r="H99" i="13" s="1"/>
  <c r="I99" i="13" s="1"/>
  <c r="F503" i="10"/>
  <c r="G503" i="10"/>
  <c r="H503" i="10"/>
  <c r="I503" i="10"/>
  <c r="J503" i="10"/>
  <c r="K503" i="10"/>
  <c r="L503" i="10"/>
  <c r="M503" i="10"/>
  <c r="N503" i="10"/>
  <c r="O503" i="10"/>
  <c r="P503" i="10"/>
  <c r="Q503" i="10"/>
  <c r="R503" i="10"/>
  <c r="S503" i="10"/>
  <c r="T503" i="10"/>
  <c r="U503" i="10"/>
  <c r="V503" i="10"/>
  <c r="W503" i="10"/>
  <c r="X503" i="10"/>
  <c r="Y503" i="10"/>
  <c r="Z503" i="10"/>
  <c r="AA503" i="10"/>
  <c r="AB503" i="10"/>
  <c r="AC503" i="10"/>
  <c r="AD503" i="10"/>
  <c r="AE503" i="10"/>
  <c r="AF503" i="10"/>
  <c r="AG503" i="10"/>
  <c r="AH503" i="10"/>
  <c r="AI503" i="10"/>
  <c r="AJ503" i="10"/>
  <c r="E503" i="10"/>
  <c r="F105" i="13" l="1"/>
  <c r="E42" i="13"/>
  <c r="E52" i="13" s="1"/>
  <c r="E41" i="10"/>
  <c r="F41" i="13"/>
  <c r="G41" i="13" s="1"/>
  <c r="H41" i="13" s="1"/>
  <c r="I41" i="13" s="1"/>
  <c r="J41" i="13" s="1"/>
  <c r="K41" i="13" s="1"/>
  <c r="L41" i="13" s="1"/>
  <c r="M41" i="13" s="1"/>
  <c r="N41" i="13" s="1"/>
  <c r="O41" i="13" s="1"/>
  <c r="P41" i="13" s="1"/>
  <c r="Q41" i="13" s="1"/>
  <c r="R41" i="13" s="1"/>
  <c r="S41" i="13" s="1"/>
  <c r="T41" i="13" s="1"/>
  <c r="U41" i="13" s="1"/>
  <c r="V41" i="13" s="1"/>
  <c r="W41" i="13" s="1"/>
  <c r="X41" i="13" s="1"/>
  <c r="Y41" i="13" s="1"/>
  <c r="Z41" i="13" s="1"/>
  <c r="AA41" i="13" s="1"/>
  <c r="AB41" i="13" s="1"/>
  <c r="AC41" i="13" s="1"/>
  <c r="AD41" i="13" s="1"/>
  <c r="AE41" i="13" s="1"/>
  <c r="AF41" i="13" s="1"/>
  <c r="AG41" i="13" s="1"/>
  <c r="AH41" i="13" s="1"/>
  <c r="B110" i="10"/>
  <c r="B109" i="10"/>
  <c r="E38" i="13"/>
  <c r="F42" i="13" l="1"/>
  <c r="V48" i="10"/>
  <c r="F52" i="13" l="1"/>
  <c r="G42" i="13"/>
  <c r="Z9" i="13"/>
  <c r="AA9" i="13"/>
  <c r="AB9" i="13"/>
  <c r="AC9" i="13"/>
  <c r="AD9" i="13"/>
  <c r="AE9" i="13"/>
  <c r="AF9" i="13"/>
  <c r="AG9" i="13"/>
  <c r="AH9" i="13"/>
  <c r="Y9" i="13"/>
  <c r="P9" i="13"/>
  <c r="Q9" i="13"/>
  <c r="R9" i="13"/>
  <c r="S9" i="13"/>
  <c r="T9" i="13"/>
  <c r="U9" i="13"/>
  <c r="V9" i="13"/>
  <c r="W9" i="13"/>
  <c r="X9" i="13"/>
  <c r="O9" i="13"/>
  <c r="F9" i="13"/>
  <c r="G9" i="13"/>
  <c r="H9" i="13"/>
  <c r="I9" i="13"/>
  <c r="J9" i="13"/>
  <c r="K9" i="13"/>
  <c r="L9" i="13"/>
  <c r="M9" i="13"/>
  <c r="N9" i="13"/>
  <c r="H42" i="13" l="1"/>
  <c r="G52" i="13"/>
  <c r="P78" i="11"/>
  <c r="I42" i="13" l="1"/>
  <c r="H52" i="13"/>
  <c r="O72" i="11"/>
  <c r="O73" i="11"/>
  <c r="O74" i="11"/>
  <c r="O71" i="11"/>
  <c r="I52" i="13" l="1"/>
  <c r="J42" i="13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E57" i="10"/>
  <c r="J52" i="13" l="1"/>
  <c r="K42" i="13"/>
  <c r="B153" i="11"/>
  <c r="B132" i="11"/>
  <c r="B121" i="11"/>
  <c r="B112" i="11"/>
  <c r="B102" i="11"/>
  <c r="P183" i="11"/>
  <c r="P180" i="11"/>
  <c r="P177" i="11"/>
  <c r="P174" i="11"/>
  <c r="L42" i="13" l="1"/>
  <c r="K52" i="13"/>
  <c r="P148" i="11"/>
  <c r="P144" i="11"/>
  <c r="E84" i="13"/>
  <c r="E85" i="13"/>
  <c r="M42" i="13" l="1"/>
  <c r="L52" i="13"/>
  <c r="F302" i="13"/>
  <c r="G302" i="13" s="1"/>
  <c r="H302" i="13" s="1"/>
  <c r="I302" i="13" s="1"/>
  <c r="J302" i="13" s="1"/>
  <c r="K302" i="13" s="1"/>
  <c r="L302" i="13" s="1"/>
  <c r="M302" i="13" s="1"/>
  <c r="N302" i="13" s="1"/>
  <c r="O302" i="13" s="1"/>
  <c r="P302" i="13" s="1"/>
  <c r="Q302" i="13" s="1"/>
  <c r="R302" i="13" s="1"/>
  <c r="S302" i="13" s="1"/>
  <c r="T302" i="13" s="1"/>
  <c r="U302" i="13" s="1"/>
  <c r="V302" i="13" s="1"/>
  <c r="W302" i="13" s="1"/>
  <c r="X302" i="13" s="1"/>
  <c r="Y302" i="13" s="1"/>
  <c r="Z302" i="13" s="1"/>
  <c r="AA302" i="13" s="1"/>
  <c r="AB302" i="13" s="1"/>
  <c r="AC302" i="13" s="1"/>
  <c r="AD302" i="13" s="1"/>
  <c r="AE302" i="13" s="1"/>
  <c r="AF302" i="13" s="1"/>
  <c r="AG302" i="13" s="1"/>
  <c r="AH302" i="13" s="1"/>
  <c r="C312" i="13"/>
  <c r="C311" i="13"/>
  <c r="C310" i="13"/>
  <c r="C309" i="13"/>
  <c r="F346" i="13"/>
  <c r="G346" i="13" s="1"/>
  <c r="H346" i="13" s="1"/>
  <c r="I346" i="13" s="1"/>
  <c r="J346" i="13" s="1"/>
  <c r="K346" i="13" s="1"/>
  <c r="L346" i="13" s="1"/>
  <c r="M346" i="13" s="1"/>
  <c r="N346" i="13" s="1"/>
  <c r="O346" i="13" s="1"/>
  <c r="P346" i="13" s="1"/>
  <c r="Q346" i="13" s="1"/>
  <c r="R346" i="13" s="1"/>
  <c r="S346" i="13" s="1"/>
  <c r="T346" i="13" s="1"/>
  <c r="U346" i="13" s="1"/>
  <c r="V346" i="13" s="1"/>
  <c r="W346" i="13" s="1"/>
  <c r="X346" i="13" s="1"/>
  <c r="Y346" i="13" s="1"/>
  <c r="Z346" i="13" s="1"/>
  <c r="AA346" i="13" s="1"/>
  <c r="AB346" i="13" s="1"/>
  <c r="AC346" i="13" s="1"/>
  <c r="AD346" i="13" s="1"/>
  <c r="AE346" i="13" s="1"/>
  <c r="AF346" i="13" s="1"/>
  <c r="AG346" i="13" s="1"/>
  <c r="AH346" i="13" s="1"/>
  <c r="N42" i="13" l="1"/>
  <c r="M52" i="13"/>
  <c r="H312" i="13"/>
  <c r="L312" i="13"/>
  <c r="P312" i="13"/>
  <c r="T312" i="13"/>
  <c r="X312" i="13"/>
  <c r="AB312" i="13"/>
  <c r="AF312" i="13"/>
  <c r="I312" i="13"/>
  <c r="M312" i="13"/>
  <c r="J312" i="13"/>
  <c r="Q312" i="13"/>
  <c r="V312" i="13"/>
  <c r="AA312" i="13"/>
  <c r="AG312" i="13"/>
  <c r="F312" i="13"/>
  <c r="S312" i="13"/>
  <c r="AD312" i="13"/>
  <c r="O312" i="13"/>
  <c r="Z312" i="13"/>
  <c r="K312" i="13"/>
  <c r="R312" i="13"/>
  <c r="W312" i="13"/>
  <c r="AC312" i="13"/>
  <c r="AH312" i="13"/>
  <c r="N312" i="13"/>
  <c r="Y312" i="13"/>
  <c r="E312" i="13"/>
  <c r="G312" i="13"/>
  <c r="U312" i="13"/>
  <c r="AE312" i="13"/>
  <c r="G309" i="13"/>
  <c r="K309" i="13"/>
  <c r="O309" i="13"/>
  <c r="S309" i="13"/>
  <c r="W309" i="13"/>
  <c r="AA309" i="13"/>
  <c r="AE309" i="13"/>
  <c r="H309" i="13"/>
  <c r="L309" i="13"/>
  <c r="P309" i="13"/>
  <c r="T309" i="13"/>
  <c r="X309" i="13"/>
  <c r="AB309" i="13"/>
  <c r="AF309" i="13"/>
  <c r="I309" i="13"/>
  <c r="Q309" i="13"/>
  <c r="Y309" i="13"/>
  <c r="AG309" i="13"/>
  <c r="E309" i="13"/>
  <c r="U309" i="13"/>
  <c r="F309" i="13"/>
  <c r="V309" i="13"/>
  <c r="J309" i="13"/>
  <c r="R309" i="13"/>
  <c r="Z309" i="13"/>
  <c r="AH309" i="13"/>
  <c r="M309" i="13"/>
  <c r="AC309" i="13"/>
  <c r="N309" i="13"/>
  <c r="AD309" i="13"/>
  <c r="F310" i="13"/>
  <c r="J310" i="13"/>
  <c r="N310" i="13"/>
  <c r="R310" i="13"/>
  <c r="V310" i="13"/>
  <c r="Z310" i="13"/>
  <c r="AD310" i="13"/>
  <c r="AH310" i="13"/>
  <c r="G310" i="13"/>
  <c r="K310" i="13"/>
  <c r="O310" i="13"/>
  <c r="S310" i="13"/>
  <c r="W310" i="13"/>
  <c r="AA310" i="13"/>
  <c r="AE310" i="13"/>
  <c r="L310" i="13"/>
  <c r="T310" i="13"/>
  <c r="AB310" i="13"/>
  <c r="P310" i="13"/>
  <c r="AF310" i="13"/>
  <c r="I310" i="13"/>
  <c r="Y310" i="13"/>
  <c r="E310" i="13"/>
  <c r="M310" i="13"/>
  <c r="U310" i="13"/>
  <c r="AC310" i="13"/>
  <c r="H310" i="13"/>
  <c r="X310" i="13"/>
  <c r="Q310" i="13"/>
  <c r="AG310" i="13"/>
  <c r="I311" i="13"/>
  <c r="M311" i="13"/>
  <c r="Q311" i="13"/>
  <c r="U311" i="13"/>
  <c r="Y311" i="13"/>
  <c r="AC311" i="13"/>
  <c r="AG311" i="13"/>
  <c r="E311" i="13"/>
  <c r="F311" i="13"/>
  <c r="J311" i="13"/>
  <c r="N311" i="13"/>
  <c r="R311" i="13"/>
  <c r="V311" i="13"/>
  <c r="Z311" i="13"/>
  <c r="AD311" i="13"/>
  <c r="AH311" i="13"/>
  <c r="G311" i="13"/>
  <c r="O311" i="13"/>
  <c r="W311" i="13"/>
  <c r="AE311" i="13"/>
  <c r="S311" i="13"/>
  <c r="L311" i="13"/>
  <c r="AB311" i="13"/>
  <c r="H311" i="13"/>
  <c r="P311" i="13"/>
  <c r="X311" i="13"/>
  <c r="AF311" i="13"/>
  <c r="K311" i="13"/>
  <c r="AA311" i="13"/>
  <c r="T311" i="13"/>
  <c r="F318" i="13"/>
  <c r="G318" i="13" s="1"/>
  <c r="H318" i="13" s="1"/>
  <c r="I318" i="13" s="1"/>
  <c r="J318" i="13" s="1"/>
  <c r="K318" i="13" s="1"/>
  <c r="L318" i="13" s="1"/>
  <c r="M318" i="13" s="1"/>
  <c r="N318" i="13" s="1"/>
  <c r="O318" i="13" s="1"/>
  <c r="P318" i="13" s="1"/>
  <c r="Q318" i="13" s="1"/>
  <c r="R318" i="13" s="1"/>
  <c r="S318" i="13" s="1"/>
  <c r="T318" i="13" s="1"/>
  <c r="U318" i="13" s="1"/>
  <c r="V318" i="13" s="1"/>
  <c r="W318" i="13" s="1"/>
  <c r="X318" i="13" s="1"/>
  <c r="Y318" i="13" s="1"/>
  <c r="Z318" i="13" s="1"/>
  <c r="AA318" i="13" s="1"/>
  <c r="AB318" i="13" s="1"/>
  <c r="AC318" i="13" s="1"/>
  <c r="AD318" i="13" s="1"/>
  <c r="AE318" i="13" s="1"/>
  <c r="AF318" i="13" s="1"/>
  <c r="AG318" i="13" s="1"/>
  <c r="AH318" i="13" s="1"/>
  <c r="F292" i="13"/>
  <c r="G292" i="13" s="1"/>
  <c r="H292" i="13" s="1"/>
  <c r="I292" i="13" s="1"/>
  <c r="J292" i="13" s="1"/>
  <c r="K292" i="13" s="1"/>
  <c r="L292" i="13" s="1"/>
  <c r="M292" i="13" s="1"/>
  <c r="N292" i="13" s="1"/>
  <c r="O292" i="13" s="1"/>
  <c r="P292" i="13" s="1"/>
  <c r="Q292" i="13" s="1"/>
  <c r="R292" i="13" s="1"/>
  <c r="S292" i="13" s="1"/>
  <c r="T292" i="13" s="1"/>
  <c r="U292" i="13" s="1"/>
  <c r="V292" i="13" s="1"/>
  <c r="W292" i="13" s="1"/>
  <c r="X292" i="13" s="1"/>
  <c r="Y292" i="13" s="1"/>
  <c r="Z292" i="13" s="1"/>
  <c r="AA292" i="13" s="1"/>
  <c r="AB292" i="13" s="1"/>
  <c r="AC292" i="13" s="1"/>
  <c r="AD292" i="13" s="1"/>
  <c r="AE292" i="13" s="1"/>
  <c r="AF292" i="13" s="1"/>
  <c r="AG292" i="13" s="1"/>
  <c r="AH292" i="13" s="1"/>
  <c r="F274" i="13"/>
  <c r="G274" i="13" s="1"/>
  <c r="H274" i="13" s="1"/>
  <c r="I274" i="13" s="1"/>
  <c r="J274" i="13" s="1"/>
  <c r="K274" i="13" s="1"/>
  <c r="L274" i="13" s="1"/>
  <c r="M274" i="13" s="1"/>
  <c r="N274" i="13" s="1"/>
  <c r="O274" i="13" s="1"/>
  <c r="P274" i="13" s="1"/>
  <c r="Q274" i="13" s="1"/>
  <c r="R274" i="13" s="1"/>
  <c r="S274" i="13" s="1"/>
  <c r="T274" i="13" s="1"/>
  <c r="U274" i="13" s="1"/>
  <c r="V274" i="13" s="1"/>
  <c r="W274" i="13" s="1"/>
  <c r="X274" i="13" s="1"/>
  <c r="Y274" i="13" s="1"/>
  <c r="Z274" i="13" s="1"/>
  <c r="AA274" i="13" s="1"/>
  <c r="AB274" i="13" s="1"/>
  <c r="AC274" i="13" s="1"/>
  <c r="AD274" i="13" s="1"/>
  <c r="AE274" i="13" s="1"/>
  <c r="AF274" i="13" s="1"/>
  <c r="AG274" i="13" s="1"/>
  <c r="AH274" i="13" s="1"/>
  <c r="N52" i="13" l="1"/>
  <c r="O42" i="13"/>
  <c r="C296" i="13"/>
  <c r="C295" i="13"/>
  <c r="C294" i="13"/>
  <c r="C293" i="13"/>
  <c r="P42" i="13" l="1"/>
  <c r="O52" i="13"/>
  <c r="P266" i="11"/>
  <c r="Q42" i="13" l="1"/>
  <c r="P52" i="13"/>
  <c r="P66" i="11"/>
  <c r="C106" i="11"/>
  <c r="P134" i="11"/>
  <c r="P129" i="11"/>
  <c r="P125" i="11"/>
  <c r="R42" i="13" l="1"/>
  <c r="Q52" i="13"/>
  <c r="P101" i="11"/>
  <c r="Q101" i="11" s="1"/>
  <c r="Q99" i="11"/>
  <c r="R99" i="11" s="1"/>
  <c r="S99" i="11" s="1"/>
  <c r="T99" i="11" s="1"/>
  <c r="U99" i="11" s="1"/>
  <c r="V99" i="11" s="1"/>
  <c r="W99" i="11" s="1"/>
  <c r="X99" i="11" s="1"/>
  <c r="Y99" i="11" s="1"/>
  <c r="Z99" i="11" s="1"/>
  <c r="AA99" i="11" s="1"/>
  <c r="AB99" i="11" s="1"/>
  <c r="AC99" i="11" s="1"/>
  <c r="AD99" i="11" s="1"/>
  <c r="AE99" i="11" s="1"/>
  <c r="AF99" i="11" s="1"/>
  <c r="AG99" i="11" s="1"/>
  <c r="AH99" i="11" s="1"/>
  <c r="AI99" i="11" s="1"/>
  <c r="AJ99" i="11" s="1"/>
  <c r="AK99" i="11" s="1"/>
  <c r="AL99" i="11" s="1"/>
  <c r="AM99" i="11" s="1"/>
  <c r="AN99" i="11" s="1"/>
  <c r="AO99" i="11" s="1"/>
  <c r="AP99" i="11" s="1"/>
  <c r="AQ99" i="11" s="1"/>
  <c r="AR99" i="11" s="1"/>
  <c r="AS99" i="11" s="1"/>
  <c r="S42" i="13" l="1"/>
  <c r="R52" i="13"/>
  <c r="R101" i="11"/>
  <c r="S101" i="11" s="1"/>
  <c r="T101" i="11" s="1"/>
  <c r="U101" i="11" s="1"/>
  <c r="V101" i="11" s="1"/>
  <c r="W101" i="11" s="1"/>
  <c r="X101" i="11" s="1"/>
  <c r="Y101" i="11" s="1"/>
  <c r="Z101" i="11" s="1"/>
  <c r="AA101" i="11" s="1"/>
  <c r="AB101" i="11" s="1"/>
  <c r="AC101" i="11" s="1"/>
  <c r="AD101" i="11" s="1"/>
  <c r="AE101" i="11" s="1"/>
  <c r="AF101" i="11" s="1"/>
  <c r="AG101" i="11" s="1"/>
  <c r="AH101" i="11" s="1"/>
  <c r="AI101" i="11" s="1"/>
  <c r="AJ101" i="11" s="1"/>
  <c r="AK101" i="11" s="1"/>
  <c r="AL101" i="11" s="1"/>
  <c r="AM101" i="11" s="1"/>
  <c r="AN101" i="11" s="1"/>
  <c r="AO101" i="11" s="1"/>
  <c r="AP101" i="11" s="1"/>
  <c r="AQ101" i="11" s="1"/>
  <c r="AR101" i="11" s="1"/>
  <c r="AS101" i="11" s="1"/>
  <c r="Q264" i="11"/>
  <c r="O265" i="11"/>
  <c r="O251" i="11"/>
  <c r="O252" i="11"/>
  <c r="O250" i="11"/>
  <c r="Q272" i="11"/>
  <c r="R272" i="11" s="1"/>
  <c r="S272" i="11" s="1"/>
  <c r="T272" i="11" s="1"/>
  <c r="U272" i="11" s="1"/>
  <c r="V272" i="11" s="1"/>
  <c r="W272" i="11" s="1"/>
  <c r="X272" i="11" s="1"/>
  <c r="Y272" i="11" s="1"/>
  <c r="Z272" i="11" s="1"/>
  <c r="AA272" i="11" s="1"/>
  <c r="AB272" i="11" s="1"/>
  <c r="AC272" i="11" s="1"/>
  <c r="AD272" i="11" s="1"/>
  <c r="AE272" i="11" s="1"/>
  <c r="AF272" i="11" s="1"/>
  <c r="AG272" i="11" s="1"/>
  <c r="AH272" i="11" s="1"/>
  <c r="AI272" i="11" s="1"/>
  <c r="AJ272" i="11" s="1"/>
  <c r="AK272" i="11" s="1"/>
  <c r="AL272" i="11" s="1"/>
  <c r="AM272" i="11" s="1"/>
  <c r="AN272" i="11" s="1"/>
  <c r="AO272" i="11" s="1"/>
  <c r="AP272" i="11" s="1"/>
  <c r="AQ272" i="11" s="1"/>
  <c r="AR272" i="11" s="1"/>
  <c r="AS272" i="11" s="1"/>
  <c r="P249" i="11"/>
  <c r="Q249" i="11" s="1"/>
  <c r="R249" i="11" s="1"/>
  <c r="S249" i="11" s="1"/>
  <c r="T249" i="11" s="1"/>
  <c r="U249" i="11" s="1"/>
  <c r="V249" i="11" s="1"/>
  <c r="W249" i="11" s="1"/>
  <c r="X249" i="11" s="1"/>
  <c r="Y249" i="11" s="1"/>
  <c r="Z249" i="11" s="1"/>
  <c r="AA249" i="11" s="1"/>
  <c r="AB249" i="11" s="1"/>
  <c r="AC249" i="11" s="1"/>
  <c r="AD249" i="11" s="1"/>
  <c r="AE249" i="11" s="1"/>
  <c r="AF249" i="11" s="1"/>
  <c r="AG249" i="11" s="1"/>
  <c r="AH249" i="11" s="1"/>
  <c r="AI249" i="11" s="1"/>
  <c r="AJ249" i="11" s="1"/>
  <c r="AK249" i="11" s="1"/>
  <c r="AL249" i="11" s="1"/>
  <c r="AM249" i="11" s="1"/>
  <c r="AN249" i="11" s="1"/>
  <c r="AO249" i="11" s="1"/>
  <c r="AP249" i="11" s="1"/>
  <c r="AQ249" i="11" s="1"/>
  <c r="AR249" i="11" s="1"/>
  <c r="AS249" i="11" s="1"/>
  <c r="P204" i="11"/>
  <c r="Q204" i="11" s="1"/>
  <c r="R204" i="11" s="1"/>
  <c r="S204" i="11" s="1"/>
  <c r="T204" i="11" s="1"/>
  <c r="U204" i="11" s="1"/>
  <c r="V204" i="11" s="1"/>
  <c r="W204" i="11" s="1"/>
  <c r="X204" i="11" s="1"/>
  <c r="Y204" i="11" s="1"/>
  <c r="Z204" i="11" s="1"/>
  <c r="AA204" i="11" s="1"/>
  <c r="AB204" i="11" s="1"/>
  <c r="AC204" i="11" s="1"/>
  <c r="AD204" i="11" s="1"/>
  <c r="AE204" i="11" s="1"/>
  <c r="AF204" i="11" s="1"/>
  <c r="AG204" i="11" s="1"/>
  <c r="AH204" i="11" s="1"/>
  <c r="AI204" i="11" s="1"/>
  <c r="AJ204" i="11" s="1"/>
  <c r="AK204" i="11" s="1"/>
  <c r="AL204" i="11" s="1"/>
  <c r="AM204" i="11" s="1"/>
  <c r="AN204" i="11" s="1"/>
  <c r="AO204" i="11" s="1"/>
  <c r="AP204" i="11" s="1"/>
  <c r="AQ204" i="11" s="1"/>
  <c r="AR204" i="11" s="1"/>
  <c r="AS204" i="11" s="1"/>
  <c r="T42" i="13" l="1"/>
  <c r="S52" i="13"/>
  <c r="P242" i="11"/>
  <c r="Q242" i="11" s="1"/>
  <c r="R242" i="11" s="1"/>
  <c r="S242" i="11" s="1"/>
  <c r="P230" i="11"/>
  <c r="Q230" i="11" s="1"/>
  <c r="R230" i="11" s="1"/>
  <c r="S230" i="11" s="1"/>
  <c r="P218" i="11"/>
  <c r="Q218" i="11" s="1"/>
  <c r="R218" i="11" s="1"/>
  <c r="S218" i="11" s="1"/>
  <c r="P206" i="11"/>
  <c r="Q206" i="11" s="1"/>
  <c r="R206" i="11" s="1"/>
  <c r="S206" i="11" s="1"/>
  <c r="P210" i="11"/>
  <c r="P233" i="11"/>
  <c r="Q233" i="11" s="1"/>
  <c r="R233" i="11" s="1"/>
  <c r="S233" i="11" s="1"/>
  <c r="P209" i="11"/>
  <c r="Q209" i="11" s="1"/>
  <c r="R209" i="11" s="1"/>
  <c r="S209" i="11" s="1"/>
  <c r="P239" i="11"/>
  <c r="Q239" i="11" s="1"/>
  <c r="R239" i="11" s="1"/>
  <c r="S239" i="11" s="1"/>
  <c r="P227" i="11"/>
  <c r="Q227" i="11" s="1"/>
  <c r="R227" i="11" s="1"/>
  <c r="S227" i="11" s="1"/>
  <c r="P215" i="11"/>
  <c r="Q215" i="11" s="1"/>
  <c r="R215" i="11" s="1"/>
  <c r="S215" i="11" s="1"/>
  <c r="P236" i="11"/>
  <c r="Q236" i="11" s="1"/>
  <c r="R236" i="11" s="1"/>
  <c r="S236" i="11" s="1"/>
  <c r="P224" i="11"/>
  <c r="Q224" i="11" s="1"/>
  <c r="R224" i="11" s="1"/>
  <c r="S224" i="11" s="1"/>
  <c r="P212" i="11"/>
  <c r="Q212" i="11" s="1"/>
  <c r="R212" i="11" s="1"/>
  <c r="S212" i="11" s="1"/>
  <c r="P221" i="11"/>
  <c r="Q221" i="11" s="1"/>
  <c r="R221" i="11" s="1"/>
  <c r="S221" i="11" s="1"/>
  <c r="R264" i="11"/>
  <c r="S264" i="11" s="1"/>
  <c r="T264" i="11" s="1"/>
  <c r="U264" i="11" s="1"/>
  <c r="V264" i="11" s="1"/>
  <c r="W264" i="11" s="1"/>
  <c r="X264" i="11" s="1"/>
  <c r="Y264" i="11" s="1"/>
  <c r="Z264" i="11" s="1"/>
  <c r="AA264" i="11" s="1"/>
  <c r="AB264" i="11" s="1"/>
  <c r="AC264" i="11" s="1"/>
  <c r="AD264" i="11" s="1"/>
  <c r="AE264" i="11" s="1"/>
  <c r="AF264" i="11" s="1"/>
  <c r="AG264" i="11" s="1"/>
  <c r="AH264" i="11" s="1"/>
  <c r="AI264" i="11" s="1"/>
  <c r="AJ264" i="11" s="1"/>
  <c r="AK264" i="11" s="1"/>
  <c r="AL264" i="11" s="1"/>
  <c r="AM264" i="11" s="1"/>
  <c r="AN264" i="11" s="1"/>
  <c r="AO264" i="11" s="1"/>
  <c r="AP264" i="11" s="1"/>
  <c r="AQ264" i="11" s="1"/>
  <c r="AR264" i="11" s="1"/>
  <c r="AS264" i="11" s="1"/>
  <c r="P188" i="11"/>
  <c r="Q188" i="11" s="1"/>
  <c r="R188" i="11" s="1"/>
  <c r="S188" i="11" s="1"/>
  <c r="T188" i="11" s="1"/>
  <c r="U188" i="11" s="1"/>
  <c r="V188" i="11" s="1"/>
  <c r="W188" i="11" s="1"/>
  <c r="X188" i="11" s="1"/>
  <c r="Y188" i="11" s="1"/>
  <c r="Z188" i="11" s="1"/>
  <c r="AA188" i="11" s="1"/>
  <c r="AB188" i="11" s="1"/>
  <c r="AC188" i="11" s="1"/>
  <c r="AD188" i="11" s="1"/>
  <c r="AE188" i="11" s="1"/>
  <c r="AF188" i="11" s="1"/>
  <c r="AG188" i="11" s="1"/>
  <c r="AH188" i="11" s="1"/>
  <c r="AI188" i="11" s="1"/>
  <c r="AJ188" i="11" s="1"/>
  <c r="AK188" i="11" s="1"/>
  <c r="AL188" i="11" s="1"/>
  <c r="AM188" i="11" s="1"/>
  <c r="AN188" i="11" s="1"/>
  <c r="AO188" i="11" s="1"/>
  <c r="AP188" i="11" s="1"/>
  <c r="AQ188" i="11" s="1"/>
  <c r="AR188" i="11" s="1"/>
  <c r="AS188" i="11" s="1"/>
  <c r="O196" i="11"/>
  <c r="O194" i="11"/>
  <c r="O195" i="11"/>
  <c r="O193" i="11"/>
  <c r="O190" i="11"/>
  <c r="O191" i="11"/>
  <c r="O189" i="11"/>
  <c r="Q172" i="11"/>
  <c r="O182" i="11"/>
  <c r="O176" i="11"/>
  <c r="O185" i="11"/>
  <c r="O179" i="11"/>
  <c r="O173" i="11"/>
  <c r="T52" i="13" l="1"/>
  <c r="U42" i="13"/>
  <c r="Q180" i="11"/>
  <c r="Q177" i="11"/>
  <c r="Q183" i="11"/>
  <c r="Q174" i="11"/>
  <c r="R172" i="11"/>
  <c r="Q210" i="11"/>
  <c r="R210" i="11" s="1"/>
  <c r="S210" i="11" s="1"/>
  <c r="Q142" i="11"/>
  <c r="Q159" i="11"/>
  <c r="R159" i="11" s="1"/>
  <c r="S159" i="11" s="1"/>
  <c r="T159" i="11" s="1"/>
  <c r="U159" i="11" s="1"/>
  <c r="V159" i="11" s="1"/>
  <c r="W159" i="11" s="1"/>
  <c r="X159" i="11" s="1"/>
  <c r="Y159" i="11" s="1"/>
  <c r="Z159" i="11" s="1"/>
  <c r="AA159" i="11" s="1"/>
  <c r="AB159" i="11" s="1"/>
  <c r="AC159" i="11" s="1"/>
  <c r="AD159" i="11" s="1"/>
  <c r="AE159" i="11" s="1"/>
  <c r="AF159" i="11" s="1"/>
  <c r="AG159" i="11" s="1"/>
  <c r="AH159" i="11" s="1"/>
  <c r="AI159" i="11" s="1"/>
  <c r="AJ159" i="11" s="1"/>
  <c r="AK159" i="11" s="1"/>
  <c r="AL159" i="11" s="1"/>
  <c r="AM159" i="11" s="1"/>
  <c r="AN159" i="11" s="1"/>
  <c r="AO159" i="11" s="1"/>
  <c r="AP159" i="11" s="1"/>
  <c r="AQ159" i="11" s="1"/>
  <c r="AR159" i="11" s="1"/>
  <c r="AS159" i="11" s="1"/>
  <c r="Q123" i="11"/>
  <c r="Q108" i="11"/>
  <c r="R108" i="11" s="1"/>
  <c r="S108" i="11" s="1"/>
  <c r="T108" i="11" s="1"/>
  <c r="U108" i="11" s="1"/>
  <c r="V108" i="11" s="1"/>
  <c r="W108" i="11" s="1"/>
  <c r="X108" i="11" s="1"/>
  <c r="Y108" i="11" s="1"/>
  <c r="Z108" i="11" s="1"/>
  <c r="AA108" i="11" s="1"/>
  <c r="AB108" i="11" s="1"/>
  <c r="AC108" i="11" s="1"/>
  <c r="AD108" i="11" s="1"/>
  <c r="AE108" i="11" s="1"/>
  <c r="AF108" i="11" s="1"/>
  <c r="AG108" i="11" s="1"/>
  <c r="AH108" i="11" s="1"/>
  <c r="AI108" i="11" s="1"/>
  <c r="AJ108" i="11" s="1"/>
  <c r="AK108" i="11" s="1"/>
  <c r="AL108" i="11" s="1"/>
  <c r="AM108" i="11" s="1"/>
  <c r="AN108" i="11" s="1"/>
  <c r="AO108" i="11" s="1"/>
  <c r="AP108" i="11" s="1"/>
  <c r="AQ108" i="11" s="1"/>
  <c r="AR108" i="11" s="1"/>
  <c r="AS108" i="11" s="1"/>
  <c r="P90" i="11"/>
  <c r="P91" i="11" s="1"/>
  <c r="V42" i="13" l="1"/>
  <c r="U52" i="13"/>
  <c r="R174" i="11"/>
  <c r="R142" i="11"/>
  <c r="S142" i="11" s="1"/>
  <c r="T142" i="11" s="1"/>
  <c r="U142" i="11" s="1"/>
  <c r="V142" i="11" s="1"/>
  <c r="W142" i="11" s="1"/>
  <c r="X142" i="11" s="1"/>
  <c r="Y142" i="11" s="1"/>
  <c r="Z142" i="11" s="1"/>
  <c r="AA142" i="11" s="1"/>
  <c r="AB142" i="11" s="1"/>
  <c r="AC142" i="11" s="1"/>
  <c r="AD142" i="11" s="1"/>
  <c r="AE142" i="11" s="1"/>
  <c r="AF142" i="11" s="1"/>
  <c r="AG142" i="11" s="1"/>
  <c r="AH142" i="11" s="1"/>
  <c r="AI142" i="11" s="1"/>
  <c r="AJ142" i="11" s="1"/>
  <c r="AK142" i="11" s="1"/>
  <c r="AL142" i="11" s="1"/>
  <c r="AM142" i="11" s="1"/>
  <c r="AN142" i="11" s="1"/>
  <c r="AO142" i="11" s="1"/>
  <c r="AP142" i="11" s="1"/>
  <c r="AQ142" i="11" s="1"/>
  <c r="AR142" i="11" s="1"/>
  <c r="AS142" i="11" s="1"/>
  <c r="Q148" i="11"/>
  <c r="R148" i="11" s="1"/>
  <c r="S148" i="11" s="1"/>
  <c r="Q144" i="11"/>
  <c r="R144" i="11" s="1"/>
  <c r="S144" i="11" s="1"/>
  <c r="R183" i="11"/>
  <c r="R123" i="11"/>
  <c r="S123" i="11" s="1"/>
  <c r="T123" i="11" s="1"/>
  <c r="U123" i="11" s="1"/>
  <c r="V123" i="11" s="1"/>
  <c r="W123" i="11" s="1"/>
  <c r="X123" i="11" s="1"/>
  <c r="Y123" i="11" s="1"/>
  <c r="Z123" i="11" s="1"/>
  <c r="AA123" i="11" s="1"/>
  <c r="AB123" i="11" s="1"/>
  <c r="AC123" i="11" s="1"/>
  <c r="AD123" i="11" s="1"/>
  <c r="AE123" i="11" s="1"/>
  <c r="AF123" i="11" s="1"/>
  <c r="AG123" i="11" s="1"/>
  <c r="AH123" i="11" s="1"/>
  <c r="AI123" i="11" s="1"/>
  <c r="AJ123" i="11" s="1"/>
  <c r="AK123" i="11" s="1"/>
  <c r="AL123" i="11" s="1"/>
  <c r="AM123" i="11" s="1"/>
  <c r="AN123" i="11" s="1"/>
  <c r="AO123" i="11" s="1"/>
  <c r="AP123" i="11" s="1"/>
  <c r="AQ123" i="11" s="1"/>
  <c r="AR123" i="11" s="1"/>
  <c r="AS123" i="11" s="1"/>
  <c r="Q134" i="11"/>
  <c r="Q125" i="11"/>
  <c r="Q129" i="11"/>
  <c r="R177" i="11"/>
  <c r="S172" i="11"/>
  <c r="T172" i="11" s="1"/>
  <c r="U172" i="11" s="1"/>
  <c r="V172" i="11" s="1"/>
  <c r="W172" i="11" s="1"/>
  <c r="X172" i="11" s="1"/>
  <c r="Y172" i="11" s="1"/>
  <c r="Z172" i="11" s="1"/>
  <c r="AA172" i="11" s="1"/>
  <c r="AB172" i="11" s="1"/>
  <c r="AC172" i="11" s="1"/>
  <c r="AD172" i="11" s="1"/>
  <c r="AE172" i="11" s="1"/>
  <c r="AF172" i="11" s="1"/>
  <c r="AG172" i="11" s="1"/>
  <c r="AH172" i="11" s="1"/>
  <c r="AI172" i="11" s="1"/>
  <c r="AJ172" i="11" s="1"/>
  <c r="AK172" i="11" s="1"/>
  <c r="AL172" i="11" s="1"/>
  <c r="AM172" i="11" s="1"/>
  <c r="AN172" i="11" s="1"/>
  <c r="AO172" i="11" s="1"/>
  <c r="AP172" i="11" s="1"/>
  <c r="AQ172" i="11" s="1"/>
  <c r="AR172" i="11" s="1"/>
  <c r="AS172" i="11" s="1"/>
  <c r="R180" i="11"/>
  <c r="Q64" i="11"/>
  <c r="Q78" i="11" s="1"/>
  <c r="P51" i="11"/>
  <c r="Q52" i="11"/>
  <c r="R52" i="11" s="1"/>
  <c r="S52" i="11" s="1"/>
  <c r="T52" i="11" s="1"/>
  <c r="U52" i="11" s="1"/>
  <c r="V52" i="11" s="1"/>
  <c r="W52" i="11" s="1"/>
  <c r="X52" i="11" s="1"/>
  <c r="Y52" i="11" s="1"/>
  <c r="Z52" i="11" s="1"/>
  <c r="AA52" i="11" s="1"/>
  <c r="AB52" i="11" s="1"/>
  <c r="AC52" i="11" s="1"/>
  <c r="AD52" i="11" s="1"/>
  <c r="AE52" i="11" s="1"/>
  <c r="AF52" i="11" s="1"/>
  <c r="AG52" i="11" s="1"/>
  <c r="AH52" i="11" s="1"/>
  <c r="AI52" i="11" s="1"/>
  <c r="AJ52" i="11" s="1"/>
  <c r="AK52" i="11" s="1"/>
  <c r="AL52" i="11" s="1"/>
  <c r="AM52" i="11" s="1"/>
  <c r="AN52" i="11" s="1"/>
  <c r="AO52" i="11" s="1"/>
  <c r="AP52" i="11" s="1"/>
  <c r="AQ52" i="11" s="1"/>
  <c r="AR52" i="11" s="1"/>
  <c r="AS52" i="11" s="1"/>
  <c r="O55" i="11"/>
  <c r="O56" i="11"/>
  <c r="O61" i="11"/>
  <c r="O87" i="11" s="1"/>
  <c r="R129" i="11" l="1"/>
  <c r="S129" i="11" s="1"/>
  <c r="R134" i="11"/>
  <c r="S134" i="11" s="1"/>
  <c r="W42" i="13"/>
  <c r="V52" i="13"/>
  <c r="O276" i="11"/>
  <c r="O82" i="11"/>
  <c r="S183" i="11"/>
  <c r="S174" i="11"/>
  <c r="O275" i="11"/>
  <c r="O81" i="11"/>
  <c r="S180" i="11"/>
  <c r="R125" i="11"/>
  <c r="S125" i="11" s="1"/>
  <c r="S177" i="11"/>
  <c r="O118" i="11"/>
  <c r="O168" i="11" s="1"/>
  <c r="O106" i="11"/>
  <c r="R64" i="11"/>
  <c r="R78" i="11" s="1"/>
  <c r="Q66" i="11"/>
  <c r="R66" i="11" s="1"/>
  <c r="Q90" i="11"/>
  <c r="Q91" i="11" s="1"/>
  <c r="P241" i="11"/>
  <c r="P243" i="11" s="1"/>
  <c r="Q243" i="11" s="1"/>
  <c r="R243" i="11" s="1"/>
  <c r="S243" i="11" s="1"/>
  <c r="P217" i="11"/>
  <c r="C99" i="13"/>
  <c r="D99" i="13"/>
  <c r="C100" i="13"/>
  <c r="D100" i="13"/>
  <c r="C101" i="13"/>
  <c r="D101" i="13"/>
  <c r="C85" i="13"/>
  <c r="D85" i="13"/>
  <c r="C89" i="13"/>
  <c r="D89" i="13"/>
  <c r="C92" i="13"/>
  <c r="D92" i="13"/>
  <c r="C96" i="13"/>
  <c r="D96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84" i="13"/>
  <c r="A100" i="13"/>
  <c r="A101" i="13"/>
  <c r="A99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84" i="13"/>
  <c r="A109" i="13"/>
  <c r="A110" i="13"/>
  <c r="A311" i="13" s="1"/>
  <c r="A111" i="13"/>
  <c r="A312" i="13" s="1"/>
  <c r="A108" i="13"/>
  <c r="A309" i="13" s="1"/>
  <c r="A12" i="11"/>
  <c r="A11" i="11"/>
  <c r="A10" i="11"/>
  <c r="A9" i="11"/>
  <c r="C52" i="13"/>
  <c r="D52" i="13"/>
  <c r="B48" i="13"/>
  <c r="B47" i="13"/>
  <c r="X42" i="13" l="1"/>
  <c r="W52" i="13"/>
  <c r="O94" i="11"/>
  <c r="O112" i="11"/>
  <c r="O162" i="11" s="1"/>
  <c r="O113" i="11"/>
  <c r="O163" i="11" s="1"/>
  <c r="O95" i="11"/>
  <c r="A310" i="13"/>
  <c r="A294" i="13"/>
  <c r="O256" i="11"/>
  <c r="A295" i="13"/>
  <c r="O255" i="11"/>
  <c r="O254" i="11"/>
  <c r="A293" i="13"/>
  <c r="O257" i="11"/>
  <c r="A296" i="13"/>
  <c r="S64" i="11"/>
  <c r="S78" i="11" s="1"/>
  <c r="R90" i="11"/>
  <c r="R91" i="11" s="1"/>
  <c r="P219" i="11"/>
  <c r="Q219" i="11" s="1"/>
  <c r="R219" i="11" s="1"/>
  <c r="S219" i="11" s="1"/>
  <c r="P223" i="11"/>
  <c r="P225" i="11" s="1"/>
  <c r="Q225" i="11" s="1"/>
  <c r="R225" i="11" s="1"/>
  <c r="S225" i="11" s="1"/>
  <c r="B203" i="10"/>
  <c r="B100" i="13" s="1"/>
  <c r="B202" i="10"/>
  <c r="B204" i="10"/>
  <c r="D108" i="10"/>
  <c r="D48" i="13" s="1"/>
  <c r="C108" i="10"/>
  <c r="C48" i="13" s="1"/>
  <c r="D107" i="10"/>
  <c r="D47" i="13" s="1"/>
  <c r="C107" i="10"/>
  <c r="C47" i="13" s="1"/>
  <c r="B50" i="13"/>
  <c r="B112" i="10"/>
  <c r="J205" i="10" l="1"/>
  <c r="N205" i="10"/>
  <c r="R205" i="10"/>
  <c r="V205" i="10"/>
  <c r="Z205" i="10"/>
  <c r="AD205" i="10"/>
  <c r="AH205" i="10"/>
  <c r="E205" i="10"/>
  <c r="M205" i="10"/>
  <c r="Y205" i="10"/>
  <c r="F205" i="10"/>
  <c r="G205" i="10"/>
  <c r="K205" i="10"/>
  <c r="O205" i="10"/>
  <c r="S205" i="10"/>
  <c r="W205" i="10"/>
  <c r="AA205" i="10"/>
  <c r="AE205" i="10"/>
  <c r="AI205" i="10"/>
  <c r="Q205" i="10"/>
  <c r="AC205" i="10"/>
  <c r="H205" i="10"/>
  <c r="L205" i="10"/>
  <c r="P205" i="10"/>
  <c r="T205" i="10"/>
  <c r="X205" i="10"/>
  <c r="AB205" i="10"/>
  <c r="AF205" i="10"/>
  <c r="AJ205" i="10"/>
  <c r="I205" i="10"/>
  <c r="U205" i="10"/>
  <c r="AG205" i="10"/>
  <c r="B52" i="13"/>
  <c r="I113" i="10"/>
  <c r="Y113" i="10"/>
  <c r="X113" i="10"/>
  <c r="R113" i="10"/>
  <c r="AH113" i="10"/>
  <c r="AJ113" i="10"/>
  <c r="S113" i="10"/>
  <c r="AI113" i="10"/>
  <c r="M113" i="10"/>
  <c r="AC113" i="10"/>
  <c r="F113" i="10"/>
  <c r="V113" i="10"/>
  <c r="L113" i="10"/>
  <c r="G113" i="10"/>
  <c r="W113" i="10"/>
  <c r="H113" i="10"/>
  <c r="U113" i="10"/>
  <c r="N113" i="10"/>
  <c r="AB113" i="10"/>
  <c r="AE113" i="10"/>
  <c r="Q113" i="10"/>
  <c r="AG113" i="10"/>
  <c r="J113" i="10"/>
  <c r="Z113" i="10"/>
  <c r="T113" i="10"/>
  <c r="K113" i="10"/>
  <c r="AA113" i="10"/>
  <c r="P113" i="10"/>
  <c r="E113" i="10"/>
  <c r="AD113" i="10"/>
  <c r="O113" i="10"/>
  <c r="AF113" i="10"/>
  <c r="Y42" i="13"/>
  <c r="X52" i="13"/>
  <c r="D110" i="10"/>
  <c r="D50" i="13" s="1"/>
  <c r="B49" i="13"/>
  <c r="C109" i="10"/>
  <c r="C49" i="13" s="1"/>
  <c r="B101" i="13"/>
  <c r="C110" i="10"/>
  <c r="C50" i="13" s="1"/>
  <c r="D109" i="10"/>
  <c r="D49" i="13" s="1"/>
  <c r="T64" i="11"/>
  <c r="T78" i="11" s="1"/>
  <c r="S90" i="11"/>
  <c r="S91" i="11" s="1"/>
  <c r="S66" i="11"/>
  <c r="T66" i="11" s="1"/>
  <c r="G100" i="13"/>
  <c r="Q223" i="11"/>
  <c r="G101" i="13"/>
  <c r="Q241" i="11"/>
  <c r="Q217" i="11"/>
  <c r="B99" i="13"/>
  <c r="G105" i="13" l="1"/>
  <c r="Z42" i="13"/>
  <c r="Y52" i="13"/>
  <c r="U64" i="11"/>
  <c r="U78" i="11" s="1"/>
  <c r="T90" i="11"/>
  <c r="T91" i="11" s="1"/>
  <c r="R217" i="11"/>
  <c r="H101" i="13"/>
  <c r="R241" i="11"/>
  <c r="H100" i="13"/>
  <c r="R223" i="11"/>
  <c r="A59" i="11"/>
  <c r="O59" i="11" s="1"/>
  <c r="O85" i="11" s="1"/>
  <c r="A60" i="11"/>
  <c r="O60" i="11" s="1"/>
  <c r="O86" i="11" s="1"/>
  <c r="A58" i="11"/>
  <c r="O58" i="11" s="1"/>
  <c r="O84" i="11" s="1"/>
  <c r="A145" i="11"/>
  <c r="O241" i="11" s="1"/>
  <c r="A144" i="11"/>
  <c r="O238" i="11" s="1"/>
  <c r="A134" i="11"/>
  <c r="O208" i="11" s="1"/>
  <c r="A135" i="11"/>
  <c r="O211" i="11" s="1"/>
  <c r="A146" i="11"/>
  <c r="O244" i="11" s="1"/>
  <c r="A136" i="11"/>
  <c r="O214" i="11" s="1"/>
  <c r="A137" i="11"/>
  <c r="O217" i="11" s="1"/>
  <c r="A147" i="11"/>
  <c r="O246" i="11" s="1"/>
  <c r="A138" i="11"/>
  <c r="O220" i="11" s="1"/>
  <c r="A139" i="11"/>
  <c r="O223" i="11" s="1"/>
  <c r="A140" i="11"/>
  <c r="O226" i="11" s="1"/>
  <c r="A141" i="11"/>
  <c r="O229" i="11" s="1"/>
  <c r="A142" i="11"/>
  <c r="O232" i="11" s="1"/>
  <c r="A143" i="11"/>
  <c r="O235" i="11" s="1"/>
  <c r="A133" i="11"/>
  <c r="O205" i="11" s="1"/>
  <c r="C126" i="11"/>
  <c r="E50" i="13"/>
  <c r="P179" i="11" s="1"/>
  <c r="P181" i="11" s="1"/>
  <c r="E48" i="13"/>
  <c r="E47" i="13"/>
  <c r="A125" i="11"/>
  <c r="A123" i="11"/>
  <c r="A126" i="11"/>
  <c r="A124" i="11"/>
  <c r="A122" i="11"/>
  <c r="C115" i="11"/>
  <c r="B82" i="11"/>
  <c r="B83" i="11"/>
  <c r="B84" i="11"/>
  <c r="B85" i="11"/>
  <c r="F68" i="13"/>
  <c r="G68" i="13" s="1"/>
  <c r="H68" i="13" s="1"/>
  <c r="I68" i="13" s="1"/>
  <c r="J68" i="13" s="1"/>
  <c r="K68" i="13" s="1"/>
  <c r="L68" i="13" s="1"/>
  <c r="M68" i="13" s="1"/>
  <c r="N68" i="13" s="1"/>
  <c r="O68" i="13" s="1"/>
  <c r="P68" i="13" s="1"/>
  <c r="Q68" i="13" s="1"/>
  <c r="R68" i="13" s="1"/>
  <c r="S68" i="13" s="1"/>
  <c r="T68" i="13" s="1"/>
  <c r="U68" i="13" s="1"/>
  <c r="V68" i="13" s="1"/>
  <c r="W68" i="13" s="1"/>
  <c r="X68" i="13" s="1"/>
  <c r="Y68" i="13" s="1"/>
  <c r="Z68" i="13" s="1"/>
  <c r="AA68" i="13" s="1"/>
  <c r="AB68" i="13" s="1"/>
  <c r="AC68" i="13" s="1"/>
  <c r="AD68" i="13" s="1"/>
  <c r="AE68" i="13" s="1"/>
  <c r="AF68" i="13" s="1"/>
  <c r="AG68" i="13" s="1"/>
  <c r="AH68" i="13" s="1"/>
  <c r="F58" i="13"/>
  <c r="G58" i="13" s="1"/>
  <c r="H58" i="13" s="1"/>
  <c r="I58" i="13" s="1"/>
  <c r="J58" i="13" s="1"/>
  <c r="K58" i="13" s="1"/>
  <c r="L58" i="13" s="1"/>
  <c r="M58" i="13" s="1"/>
  <c r="N58" i="13" s="1"/>
  <c r="O58" i="13" s="1"/>
  <c r="P58" i="13" s="1"/>
  <c r="Q58" i="13" s="1"/>
  <c r="R58" i="13" s="1"/>
  <c r="S58" i="13" s="1"/>
  <c r="T58" i="13" s="1"/>
  <c r="U58" i="13" s="1"/>
  <c r="V58" i="13" s="1"/>
  <c r="W58" i="13" s="1"/>
  <c r="X58" i="13" s="1"/>
  <c r="Y58" i="13" s="1"/>
  <c r="Z58" i="13" s="1"/>
  <c r="AA58" i="13" s="1"/>
  <c r="AB58" i="13" s="1"/>
  <c r="AC58" i="13" s="1"/>
  <c r="AD58" i="13" s="1"/>
  <c r="AE58" i="13" s="1"/>
  <c r="AF58" i="13" s="1"/>
  <c r="AG58" i="13" s="1"/>
  <c r="AH58" i="13" s="1"/>
  <c r="C62" i="13"/>
  <c r="C61" i="13"/>
  <c r="C60" i="13"/>
  <c r="C59" i="13"/>
  <c r="F8" i="13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Q8" i="13" s="1"/>
  <c r="R8" i="13" s="1"/>
  <c r="S8" i="13" s="1"/>
  <c r="T8" i="13" s="1"/>
  <c r="U8" i="13" s="1"/>
  <c r="V8" i="13" s="1"/>
  <c r="W8" i="13" s="1"/>
  <c r="X8" i="13" s="1"/>
  <c r="Y8" i="13" s="1"/>
  <c r="Z8" i="13" s="1"/>
  <c r="AA8" i="13" s="1"/>
  <c r="AB8" i="13" s="1"/>
  <c r="AC8" i="13" s="1"/>
  <c r="AD8" i="13" s="1"/>
  <c r="AE8" i="13" s="1"/>
  <c r="AF8" i="13" s="1"/>
  <c r="AG8" i="13" s="1"/>
  <c r="AH8" i="13" s="1"/>
  <c r="E10" i="13"/>
  <c r="D8" i="13"/>
  <c r="P65" i="11" l="1"/>
  <c r="E283" i="13"/>
  <c r="E348" i="13"/>
  <c r="F348" i="13" s="1"/>
  <c r="G348" i="13" s="1"/>
  <c r="H348" i="13" s="1"/>
  <c r="I348" i="13" s="1"/>
  <c r="J348" i="13" s="1"/>
  <c r="K348" i="13" s="1"/>
  <c r="L348" i="13" s="1"/>
  <c r="M348" i="13" s="1"/>
  <c r="N348" i="13" s="1"/>
  <c r="O348" i="13" s="1"/>
  <c r="P348" i="13" s="1"/>
  <c r="Q348" i="13" s="1"/>
  <c r="R348" i="13" s="1"/>
  <c r="S348" i="13" s="1"/>
  <c r="T348" i="13" s="1"/>
  <c r="U348" i="13" s="1"/>
  <c r="V348" i="13" s="1"/>
  <c r="W348" i="13" s="1"/>
  <c r="X348" i="13" s="1"/>
  <c r="Y348" i="13" s="1"/>
  <c r="Z348" i="13" s="1"/>
  <c r="AA348" i="13" s="1"/>
  <c r="AB348" i="13" s="1"/>
  <c r="AC348" i="13" s="1"/>
  <c r="AD348" i="13" s="1"/>
  <c r="AE348" i="13" s="1"/>
  <c r="AF348" i="13" s="1"/>
  <c r="AG348" i="13" s="1"/>
  <c r="AH348" i="13" s="1"/>
  <c r="F10" i="13"/>
  <c r="H105" i="13"/>
  <c r="AA42" i="13"/>
  <c r="Z52" i="13"/>
  <c r="P173" i="11"/>
  <c r="P175" i="11" s="1"/>
  <c r="E49" i="13"/>
  <c r="P185" i="11" s="1"/>
  <c r="O115" i="11"/>
  <c r="O278" i="11"/>
  <c r="O105" i="11"/>
  <c r="O280" i="11"/>
  <c r="O152" i="11"/>
  <c r="O279" i="11"/>
  <c r="V64" i="11"/>
  <c r="V78" i="11" s="1"/>
  <c r="U90" i="11"/>
  <c r="U91" i="11" s="1"/>
  <c r="U66" i="11"/>
  <c r="V66" i="11" s="1"/>
  <c r="S217" i="11"/>
  <c r="I100" i="13"/>
  <c r="S223" i="11"/>
  <c r="I101" i="13"/>
  <c r="S241" i="11"/>
  <c r="T242" i="11" s="1"/>
  <c r="O102" i="11"/>
  <c r="P182" i="11"/>
  <c r="P184" i="11" s="1"/>
  <c r="Q184" i="11" s="1"/>
  <c r="R184" i="11" s="1"/>
  <c r="S184" i="11" s="1"/>
  <c r="P176" i="11"/>
  <c r="P178" i="11" s="1"/>
  <c r="Q178" i="11" s="1"/>
  <c r="R178" i="11" s="1"/>
  <c r="S178" i="11" s="1"/>
  <c r="B86" i="11"/>
  <c r="E321" i="13" l="1"/>
  <c r="F321" i="13" s="1"/>
  <c r="G321" i="13" s="1"/>
  <c r="H321" i="13" s="1"/>
  <c r="I321" i="13" s="1"/>
  <c r="J321" i="13" s="1"/>
  <c r="K321" i="13" s="1"/>
  <c r="L321" i="13" s="1"/>
  <c r="M321" i="13" s="1"/>
  <c r="N321" i="13" s="1"/>
  <c r="O321" i="13" s="1"/>
  <c r="P321" i="13" s="1"/>
  <c r="Q321" i="13" s="1"/>
  <c r="R321" i="13" s="1"/>
  <c r="S321" i="13" s="1"/>
  <c r="T321" i="13" s="1"/>
  <c r="U321" i="13" s="1"/>
  <c r="V321" i="13" s="1"/>
  <c r="W321" i="13" s="1"/>
  <c r="X321" i="13" s="1"/>
  <c r="Y321" i="13" s="1"/>
  <c r="Z321" i="13" s="1"/>
  <c r="AA321" i="13" s="1"/>
  <c r="AB321" i="13" s="1"/>
  <c r="AC321" i="13" s="1"/>
  <c r="AD321" i="13" s="1"/>
  <c r="AE321" i="13" s="1"/>
  <c r="AF321" i="13" s="1"/>
  <c r="AG321" i="13" s="1"/>
  <c r="AH321" i="13" s="1"/>
  <c r="E322" i="13"/>
  <c r="F322" i="13" s="1"/>
  <c r="G322" i="13" s="1"/>
  <c r="H322" i="13" s="1"/>
  <c r="I322" i="13" s="1"/>
  <c r="J322" i="13" s="1"/>
  <c r="K322" i="13" s="1"/>
  <c r="L322" i="13" s="1"/>
  <c r="M322" i="13" s="1"/>
  <c r="N322" i="13" s="1"/>
  <c r="O322" i="13" s="1"/>
  <c r="P322" i="13" s="1"/>
  <c r="Q322" i="13" s="1"/>
  <c r="R322" i="13" s="1"/>
  <c r="S322" i="13" s="1"/>
  <c r="T322" i="13" s="1"/>
  <c r="U322" i="13" s="1"/>
  <c r="V322" i="13" s="1"/>
  <c r="W322" i="13" s="1"/>
  <c r="X322" i="13" s="1"/>
  <c r="Y322" i="13" s="1"/>
  <c r="Z322" i="13" s="1"/>
  <c r="AA322" i="13" s="1"/>
  <c r="AB322" i="13" s="1"/>
  <c r="AC322" i="13" s="1"/>
  <c r="AD322" i="13" s="1"/>
  <c r="AE322" i="13" s="1"/>
  <c r="AF322" i="13" s="1"/>
  <c r="AG322" i="13" s="1"/>
  <c r="AH322" i="13" s="1"/>
  <c r="F283" i="13"/>
  <c r="G283" i="13" s="1"/>
  <c r="H283" i="13" s="1"/>
  <c r="I283" i="13" s="1"/>
  <c r="J283" i="13" s="1"/>
  <c r="K283" i="13" s="1"/>
  <c r="L283" i="13" s="1"/>
  <c r="M283" i="13" s="1"/>
  <c r="N283" i="13" s="1"/>
  <c r="O283" i="13" s="1"/>
  <c r="P283" i="13" s="1"/>
  <c r="Q283" i="13" s="1"/>
  <c r="R283" i="13" s="1"/>
  <c r="S283" i="13" s="1"/>
  <c r="T283" i="13" s="1"/>
  <c r="U283" i="13" s="1"/>
  <c r="V283" i="13" s="1"/>
  <c r="W283" i="13" s="1"/>
  <c r="X283" i="13" s="1"/>
  <c r="Y283" i="13" s="1"/>
  <c r="Z283" i="13" s="1"/>
  <c r="AA283" i="13" s="1"/>
  <c r="AB283" i="13" s="1"/>
  <c r="AC283" i="13" s="1"/>
  <c r="AD283" i="13" s="1"/>
  <c r="AE283" i="13" s="1"/>
  <c r="AF283" i="13" s="1"/>
  <c r="AG283" i="13" s="1"/>
  <c r="AH283" i="13" s="1"/>
  <c r="I105" i="13"/>
  <c r="AB42" i="13"/>
  <c r="AA52" i="13"/>
  <c r="U242" i="11"/>
  <c r="V242" i="11" s="1"/>
  <c r="W242" i="11" s="1"/>
  <c r="X242" i="11" s="1"/>
  <c r="Y242" i="11" s="1"/>
  <c r="Z242" i="11" s="1"/>
  <c r="AA242" i="11" s="1"/>
  <c r="AB242" i="11" s="1"/>
  <c r="AC242" i="11" s="1"/>
  <c r="T243" i="11"/>
  <c r="O116" i="11"/>
  <c r="O166" i="11" s="1"/>
  <c r="O117" i="11"/>
  <c r="O167" i="11" s="1"/>
  <c r="W64" i="11"/>
  <c r="W78" i="11" s="1"/>
  <c r="V90" i="11"/>
  <c r="V91" i="11" s="1"/>
  <c r="J101" i="13"/>
  <c r="T241" i="11"/>
  <c r="J100" i="13"/>
  <c r="T223" i="11"/>
  <c r="J99" i="13"/>
  <c r="T217" i="11"/>
  <c r="O165" i="11"/>
  <c r="O143" i="11"/>
  <c r="P186" i="11"/>
  <c r="A54" i="11"/>
  <c r="O54" i="11" s="1"/>
  <c r="O80" i="11" s="1"/>
  <c r="A57" i="11"/>
  <c r="O57" i="11" s="1"/>
  <c r="O83" i="11" s="1"/>
  <c r="A53" i="11"/>
  <c r="O53" i="11" s="1"/>
  <c r="O79" i="11" s="1"/>
  <c r="AC42" i="13" l="1"/>
  <c r="AB52" i="13"/>
  <c r="P67" i="11"/>
  <c r="P72" i="11" s="1"/>
  <c r="U243" i="11"/>
  <c r="V243" i="11" s="1"/>
  <c r="W243" i="11" s="1"/>
  <c r="X243" i="11" s="1"/>
  <c r="Y243" i="11" s="1"/>
  <c r="Z243" i="11" s="1"/>
  <c r="AA243" i="11" s="1"/>
  <c r="AB243" i="11" s="1"/>
  <c r="AC243" i="11" s="1"/>
  <c r="O147" i="11"/>
  <c r="O92" i="11"/>
  <c r="O273" i="11"/>
  <c r="O114" i="11"/>
  <c r="O277" i="11"/>
  <c r="O110" i="11"/>
  <c r="O274" i="11"/>
  <c r="X64" i="11"/>
  <c r="X78" i="11" s="1"/>
  <c r="W90" i="11"/>
  <c r="W91" i="11" s="1"/>
  <c r="W66" i="11"/>
  <c r="K100" i="13"/>
  <c r="U223" i="11"/>
  <c r="K99" i="13"/>
  <c r="U217" i="11"/>
  <c r="K101" i="13"/>
  <c r="U241" i="11"/>
  <c r="O93" i="11"/>
  <c r="G10" i="13"/>
  <c r="Q65" i="11"/>
  <c r="X169" i="10"/>
  <c r="V159" i="10"/>
  <c r="AC52" i="13" l="1"/>
  <c r="AD42" i="13"/>
  <c r="P68" i="11"/>
  <c r="P73" i="11"/>
  <c r="P71" i="11"/>
  <c r="Q67" i="11"/>
  <c r="Q71" i="11" s="1"/>
  <c r="P74" i="11"/>
  <c r="X66" i="11"/>
  <c r="O109" i="11"/>
  <c r="O124" i="11" s="1"/>
  <c r="O96" i="11"/>
  <c r="Y64" i="11"/>
  <c r="Y78" i="11" s="1"/>
  <c r="X90" i="11"/>
  <c r="X91" i="11" s="1"/>
  <c r="L101" i="13"/>
  <c r="V241" i="11"/>
  <c r="L99" i="13"/>
  <c r="V217" i="11"/>
  <c r="L100" i="13"/>
  <c r="V223" i="11"/>
  <c r="O161" i="11"/>
  <c r="O137" i="11"/>
  <c r="O164" i="11"/>
  <c r="O133" i="11"/>
  <c r="H10" i="13"/>
  <c r="R65" i="11"/>
  <c r="C138" i="13"/>
  <c r="C139" i="13"/>
  <c r="C140" i="13"/>
  <c r="AD52" i="13" l="1"/>
  <c r="AE42" i="13"/>
  <c r="O160" i="11"/>
  <c r="Q74" i="11"/>
  <c r="Q68" i="11"/>
  <c r="Q73" i="11"/>
  <c r="Q72" i="11"/>
  <c r="R67" i="11"/>
  <c r="R71" i="11" s="1"/>
  <c r="Z64" i="11"/>
  <c r="Z78" i="11" s="1"/>
  <c r="Y90" i="11"/>
  <c r="Y91" i="11" s="1"/>
  <c r="Y66" i="11"/>
  <c r="M100" i="13"/>
  <c r="W223" i="11"/>
  <c r="M99" i="13"/>
  <c r="W217" i="11"/>
  <c r="M101" i="13"/>
  <c r="W241" i="11"/>
  <c r="I10" i="13"/>
  <c r="S65" i="11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153" i="13"/>
  <c r="A210" i="13"/>
  <c r="H70" i="11" s="1"/>
  <c r="A209" i="13"/>
  <c r="H69" i="11" s="1"/>
  <c r="A208" i="13"/>
  <c r="H68" i="11" s="1"/>
  <c r="A207" i="13"/>
  <c r="H67" i="11" s="1"/>
  <c r="A206" i="13"/>
  <c r="H66" i="11" s="1"/>
  <c r="A205" i="13"/>
  <c r="H65" i="11" s="1"/>
  <c r="A204" i="13"/>
  <c r="H64" i="11" s="1"/>
  <c r="A203" i="13"/>
  <c r="H63" i="11" s="1"/>
  <c r="A201" i="13"/>
  <c r="H61" i="11" s="1"/>
  <c r="A202" i="13"/>
  <c r="H62" i="11" s="1"/>
  <c r="A200" i="13"/>
  <c r="H60" i="11" s="1"/>
  <c r="A199" i="13"/>
  <c r="H59" i="11" s="1"/>
  <c r="A198" i="13"/>
  <c r="H58" i="11" s="1"/>
  <c r="A197" i="13"/>
  <c r="H57" i="11" s="1"/>
  <c r="A196" i="13"/>
  <c r="H56" i="11" s="1"/>
  <c r="A195" i="13"/>
  <c r="H55" i="11" s="1"/>
  <c r="A194" i="13"/>
  <c r="H54" i="11" s="1"/>
  <c r="A193" i="13"/>
  <c r="H53" i="11" s="1"/>
  <c r="A192" i="13"/>
  <c r="H52" i="11" s="1"/>
  <c r="A191" i="13"/>
  <c r="H51" i="11" s="1"/>
  <c r="A190" i="13"/>
  <c r="H50" i="11" s="1"/>
  <c r="A189" i="13"/>
  <c r="H49" i="11" s="1"/>
  <c r="A188" i="13"/>
  <c r="H48" i="11" s="1"/>
  <c r="A187" i="13"/>
  <c r="H47" i="11" s="1"/>
  <c r="A186" i="13"/>
  <c r="H46" i="11" s="1"/>
  <c r="A185" i="13"/>
  <c r="H45" i="11" s="1"/>
  <c r="A184" i="13"/>
  <c r="H44" i="11" s="1"/>
  <c r="A183" i="13"/>
  <c r="H43" i="11" s="1"/>
  <c r="A182" i="13"/>
  <c r="H42" i="11" s="1"/>
  <c r="A181" i="13"/>
  <c r="H41" i="11" s="1"/>
  <c r="A180" i="13"/>
  <c r="H40" i="11" s="1"/>
  <c r="A179" i="13"/>
  <c r="H39" i="11" s="1"/>
  <c r="A178" i="13"/>
  <c r="H38" i="11" s="1"/>
  <c r="A177" i="13"/>
  <c r="H37" i="11" s="1"/>
  <c r="A176" i="13"/>
  <c r="H36" i="11" s="1"/>
  <c r="A175" i="13"/>
  <c r="H35" i="11" s="1"/>
  <c r="A174" i="13"/>
  <c r="H34" i="11" s="1"/>
  <c r="A173" i="13"/>
  <c r="H33" i="11" s="1"/>
  <c r="A172" i="13"/>
  <c r="H32" i="11" s="1"/>
  <c r="A171" i="13"/>
  <c r="H31" i="11" s="1"/>
  <c r="A170" i="13"/>
  <c r="H30" i="11" s="1"/>
  <c r="A169" i="13"/>
  <c r="H29" i="11" s="1"/>
  <c r="A168" i="13"/>
  <c r="H28" i="11" s="1"/>
  <c r="A167" i="13"/>
  <c r="H27" i="11" s="1"/>
  <c r="A166" i="13"/>
  <c r="H26" i="11" s="1"/>
  <c r="A165" i="13"/>
  <c r="H25" i="11" s="1"/>
  <c r="A164" i="13"/>
  <c r="H24" i="11" s="1"/>
  <c r="A163" i="13"/>
  <c r="H23" i="11" s="1"/>
  <c r="A162" i="13"/>
  <c r="H22" i="11" s="1"/>
  <c r="A161" i="13"/>
  <c r="H21" i="11" s="1"/>
  <c r="A160" i="13"/>
  <c r="H20" i="11" s="1"/>
  <c r="A159" i="13"/>
  <c r="H19" i="11" s="1"/>
  <c r="A158" i="13"/>
  <c r="H18" i="11" s="1"/>
  <c r="A157" i="13"/>
  <c r="H17" i="11" s="1"/>
  <c r="A156" i="13"/>
  <c r="H16" i="11" s="1"/>
  <c r="A155" i="13"/>
  <c r="H15" i="11" s="1"/>
  <c r="A154" i="13"/>
  <c r="H14" i="11" s="1"/>
  <c r="A153" i="13"/>
  <c r="H13" i="11" s="1"/>
  <c r="F152" i="13"/>
  <c r="G152" i="13" s="1"/>
  <c r="H152" i="13" s="1"/>
  <c r="I152" i="13" s="1"/>
  <c r="J152" i="13" s="1"/>
  <c r="K152" i="13" s="1"/>
  <c r="L152" i="13" s="1"/>
  <c r="M152" i="13" s="1"/>
  <c r="N152" i="13" s="1"/>
  <c r="O152" i="13" s="1"/>
  <c r="P152" i="13" s="1"/>
  <c r="Q152" i="13" s="1"/>
  <c r="R152" i="13" s="1"/>
  <c r="S152" i="13" s="1"/>
  <c r="T152" i="13" s="1"/>
  <c r="U152" i="13" s="1"/>
  <c r="V152" i="13" s="1"/>
  <c r="W152" i="13" s="1"/>
  <c r="X152" i="13" s="1"/>
  <c r="Y152" i="13" s="1"/>
  <c r="Z152" i="13" s="1"/>
  <c r="AA152" i="13" s="1"/>
  <c r="AB152" i="13" s="1"/>
  <c r="AC152" i="13" s="1"/>
  <c r="AD152" i="13" s="1"/>
  <c r="AE152" i="13" s="1"/>
  <c r="AF152" i="13" s="1"/>
  <c r="AG152" i="13" s="1"/>
  <c r="AH152" i="13" s="1"/>
  <c r="N368" i="10"/>
  <c r="N367" i="10"/>
  <c r="N366" i="10"/>
  <c r="N365" i="10"/>
  <c r="N364" i="10"/>
  <c r="N363" i="10"/>
  <c r="N362" i="10"/>
  <c r="N361" i="10"/>
  <c r="N360" i="10"/>
  <c r="N359" i="10"/>
  <c r="N358" i="10"/>
  <c r="N357" i="10"/>
  <c r="N356" i="10"/>
  <c r="AB355" i="10"/>
  <c r="N355" i="10"/>
  <c r="AB354" i="10"/>
  <c r="N354" i="10"/>
  <c r="AB353" i="10"/>
  <c r="N353" i="10"/>
  <c r="AB352" i="10"/>
  <c r="N352" i="10"/>
  <c r="AG351" i="10"/>
  <c r="AB351" i="10"/>
  <c r="T351" i="10"/>
  <c r="N351" i="10"/>
  <c r="AG350" i="10"/>
  <c r="AB350" i="10"/>
  <c r="T350" i="10"/>
  <c r="N350" i="10"/>
  <c r="AG349" i="10"/>
  <c r="AD349" i="10"/>
  <c r="AB349" i="10"/>
  <c r="T349" i="10"/>
  <c r="N349" i="10"/>
  <c r="AG348" i="10"/>
  <c r="AD348" i="10"/>
  <c r="AB348" i="10"/>
  <c r="T348" i="10"/>
  <c r="N348" i="10"/>
  <c r="AG347" i="10"/>
  <c r="AD347" i="10"/>
  <c r="AB347" i="10"/>
  <c r="T347" i="10"/>
  <c r="N347" i="10"/>
  <c r="AG346" i="10"/>
  <c r="AD346" i="10"/>
  <c r="AB346" i="10"/>
  <c r="T346" i="10"/>
  <c r="N346" i="10"/>
  <c r="AG345" i="10"/>
  <c r="AD345" i="10"/>
  <c r="AB345" i="10"/>
  <c r="T345" i="10"/>
  <c r="N345" i="10"/>
  <c r="AI344" i="10"/>
  <c r="AG344" i="10"/>
  <c r="AD344" i="10"/>
  <c r="AB344" i="10"/>
  <c r="T344" i="10"/>
  <c r="N344" i="10"/>
  <c r="J344" i="10"/>
  <c r="E344" i="10"/>
  <c r="AI343" i="10"/>
  <c r="AG343" i="10"/>
  <c r="AD343" i="10"/>
  <c r="AC343" i="10"/>
  <c r="AB343" i="10"/>
  <c r="T343" i="10"/>
  <c r="N343" i="10"/>
  <c r="J343" i="10"/>
  <c r="F343" i="10"/>
  <c r="E343" i="10"/>
  <c r="AI342" i="10"/>
  <c r="AH342" i="10"/>
  <c r="AG342" i="10"/>
  <c r="AD342" i="10"/>
  <c r="AC342" i="10"/>
  <c r="AB342" i="10"/>
  <c r="Z342" i="10"/>
  <c r="T342" i="10"/>
  <c r="Q342" i="10"/>
  <c r="N342" i="10"/>
  <c r="J342" i="10"/>
  <c r="F342" i="10"/>
  <c r="E342" i="10"/>
  <c r="AI341" i="10"/>
  <c r="AH341" i="10"/>
  <c r="AG341" i="10"/>
  <c r="AE341" i="10"/>
  <c r="AD341" i="10"/>
  <c r="AC341" i="10"/>
  <c r="AB341" i="10"/>
  <c r="AA341" i="10"/>
  <c r="Z341" i="10"/>
  <c r="U341" i="10"/>
  <c r="T341" i="10"/>
  <c r="Q341" i="10"/>
  <c r="N341" i="10"/>
  <c r="J341" i="10"/>
  <c r="F341" i="10"/>
  <c r="E341" i="10"/>
  <c r="AI340" i="10"/>
  <c r="AH340" i="10"/>
  <c r="AG340" i="10"/>
  <c r="AE340" i="10"/>
  <c r="AD340" i="10"/>
  <c r="AC340" i="10"/>
  <c r="AB340" i="10"/>
  <c r="AA340" i="10"/>
  <c r="Z340" i="10"/>
  <c r="U340" i="10"/>
  <c r="T340" i="10"/>
  <c r="Q340" i="10"/>
  <c r="N340" i="10"/>
  <c r="M340" i="10"/>
  <c r="J340" i="10"/>
  <c r="H340" i="10"/>
  <c r="F340" i="10"/>
  <c r="E340" i="10"/>
  <c r="AI339" i="10"/>
  <c r="AH339" i="10"/>
  <c r="AG339" i="10"/>
  <c r="AE339" i="10"/>
  <c r="AD339" i="10"/>
  <c r="AC339" i="10"/>
  <c r="AB339" i="10"/>
  <c r="AA339" i="10"/>
  <c r="Z339" i="10"/>
  <c r="U339" i="10"/>
  <c r="T339" i="10"/>
  <c r="Q339" i="10"/>
  <c r="N339" i="10"/>
  <c r="M339" i="10"/>
  <c r="J339" i="10"/>
  <c r="H339" i="10"/>
  <c r="F339" i="10"/>
  <c r="E339" i="10"/>
  <c r="C403" i="10"/>
  <c r="D403" i="10" s="1"/>
  <c r="Z66" i="11" l="1"/>
  <c r="AF42" i="13"/>
  <c r="AE52" i="13"/>
  <c r="R74" i="11"/>
  <c r="R68" i="11"/>
  <c r="R73" i="11"/>
  <c r="R72" i="11"/>
  <c r="S67" i="11"/>
  <c r="S71" i="11" s="1"/>
  <c r="AA64" i="11"/>
  <c r="AA78" i="11" s="1"/>
  <c r="Z90" i="11"/>
  <c r="Z91" i="11" s="1"/>
  <c r="N100" i="13"/>
  <c r="X223" i="11"/>
  <c r="N99" i="13"/>
  <c r="X217" i="11"/>
  <c r="N101" i="13"/>
  <c r="X241" i="11"/>
  <c r="J10" i="13"/>
  <c r="T65" i="11"/>
  <c r="AI334" i="10"/>
  <c r="AH334" i="10"/>
  <c r="AG334" i="10"/>
  <c r="AD334" i="10"/>
  <c r="AC334" i="10"/>
  <c r="AB334" i="10"/>
  <c r="AA334" i="10"/>
  <c r="Z334" i="10"/>
  <c r="T334" i="10"/>
  <c r="Q334" i="10"/>
  <c r="P334" i="10"/>
  <c r="O334" i="10"/>
  <c r="N334" i="10"/>
  <c r="M334" i="10"/>
  <c r="K334" i="10"/>
  <c r="J334" i="10"/>
  <c r="G334" i="10"/>
  <c r="F334" i="10"/>
  <c r="E334" i="10"/>
  <c r="AI260" i="10"/>
  <c r="AH260" i="10"/>
  <c r="AG260" i="10"/>
  <c r="AD260" i="10"/>
  <c r="AC260" i="10"/>
  <c r="AB260" i="10"/>
  <c r="AA260" i="10"/>
  <c r="Z260" i="10"/>
  <c r="T260" i="10"/>
  <c r="Q260" i="10"/>
  <c r="P260" i="10"/>
  <c r="O260" i="10"/>
  <c r="N260" i="10"/>
  <c r="M260" i="10"/>
  <c r="K260" i="10"/>
  <c r="J260" i="10"/>
  <c r="G260" i="10"/>
  <c r="F260" i="10"/>
  <c r="E260" i="10"/>
  <c r="H334" i="10"/>
  <c r="L334" i="10"/>
  <c r="U334" i="10"/>
  <c r="V334" i="10"/>
  <c r="X334" i="10"/>
  <c r="AE334" i="10"/>
  <c r="AG42" i="13" l="1"/>
  <c r="AF52" i="13"/>
  <c r="S72" i="11"/>
  <c r="S74" i="11"/>
  <c r="S68" i="11"/>
  <c r="S73" i="11"/>
  <c r="T67" i="11"/>
  <c r="T71" i="11" s="1"/>
  <c r="F132" i="13"/>
  <c r="G132" i="13" s="1"/>
  <c r="H132" i="13" s="1"/>
  <c r="I132" i="13" s="1"/>
  <c r="J132" i="13" s="1"/>
  <c r="K132" i="13" s="1"/>
  <c r="L132" i="13" s="1"/>
  <c r="M132" i="13" s="1"/>
  <c r="N132" i="13" s="1"/>
  <c r="O132" i="13" s="1"/>
  <c r="P132" i="13" s="1"/>
  <c r="Q132" i="13" s="1"/>
  <c r="R132" i="13" s="1"/>
  <c r="S132" i="13" s="1"/>
  <c r="T132" i="13" s="1"/>
  <c r="U132" i="13" s="1"/>
  <c r="V132" i="13" s="1"/>
  <c r="W132" i="13" s="1"/>
  <c r="X132" i="13" s="1"/>
  <c r="Y132" i="13" s="1"/>
  <c r="Z132" i="13" s="1"/>
  <c r="AA132" i="13" s="1"/>
  <c r="AB132" i="13" s="1"/>
  <c r="AC132" i="13" s="1"/>
  <c r="AD132" i="13" s="1"/>
  <c r="AE132" i="13" s="1"/>
  <c r="AF132" i="13" s="1"/>
  <c r="AG132" i="13" s="1"/>
  <c r="AH132" i="13" s="1"/>
  <c r="E133" i="13"/>
  <c r="E209" i="13" s="1"/>
  <c r="F209" i="13" s="1"/>
  <c r="G209" i="13" s="1"/>
  <c r="H209" i="13" s="1"/>
  <c r="I209" i="13" s="1"/>
  <c r="J209" i="13" s="1"/>
  <c r="K209" i="13" s="1"/>
  <c r="L209" i="13" s="1"/>
  <c r="M209" i="13" s="1"/>
  <c r="N209" i="13" s="1"/>
  <c r="O209" i="13" s="1"/>
  <c r="P209" i="13" s="1"/>
  <c r="Q209" i="13" s="1"/>
  <c r="R209" i="13" s="1"/>
  <c r="S209" i="13" s="1"/>
  <c r="T209" i="13" s="1"/>
  <c r="U209" i="13" s="1"/>
  <c r="V209" i="13" s="1"/>
  <c r="W209" i="13" s="1"/>
  <c r="X209" i="13" s="1"/>
  <c r="Y209" i="13" s="1"/>
  <c r="Z209" i="13" s="1"/>
  <c r="AA209" i="13" s="1"/>
  <c r="AB209" i="13" s="1"/>
  <c r="AC209" i="13" s="1"/>
  <c r="AD209" i="13" s="1"/>
  <c r="AE209" i="13" s="1"/>
  <c r="AF209" i="13" s="1"/>
  <c r="AG209" i="13" s="1"/>
  <c r="AH209" i="13" s="1"/>
  <c r="AB64" i="11"/>
  <c r="AB78" i="11" s="1"/>
  <c r="AA90" i="11"/>
  <c r="AA91" i="11" s="1"/>
  <c r="AA66" i="11"/>
  <c r="AB66" i="11" s="1"/>
  <c r="O101" i="13"/>
  <c r="Y241" i="11"/>
  <c r="O99" i="13"/>
  <c r="Y217" i="11"/>
  <c r="O100" i="13"/>
  <c r="Y223" i="11"/>
  <c r="K10" i="13"/>
  <c r="U65" i="11"/>
  <c r="E140" i="13"/>
  <c r="E139" i="13"/>
  <c r="E138" i="13"/>
  <c r="C141" i="13"/>
  <c r="E141" i="13" s="1"/>
  <c r="C142" i="13"/>
  <c r="E142" i="13" s="1"/>
  <c r="C143" i="13"/>
  <c r="E143" i="13" s="1"/>
  <c r="C137" i="13"/>
  <c r="E137" i="13" s="1"/>
  <c r="F136" i="13"/>
  <c r="G136" i="13" s="1"/>
  <c r="H136" i="13" s="1"/>
  <c r="I136" i="13" s="1"/>
  <c r="J136" i="13" s="1"/>
  <c r="K136" i="13" s="1"/>
  <c r="L136" i="13" s="1"/>
  <c r="M136" i="13" s="1"/>
  <c r="N136" i="13" s="1"/>
  <c r="O136" i="13" s="1"/>
  <c r="P136" i="13" s="1"/>
  <c r="Q136" i="13" s="1"/>
  <c r="R136" i="13" s="1"/>
  <c r="S136" i="13" s="1"/>
  <c r="T136" i="13" s="1"/>
  <c r="U136" i="13" s="1"/>
  <c r="V136" i="13" s="1"/>
  <c r="W136" i="13" s="1"/>
  <c r="X136" i="13" s="1"/>
  <c r="Y136" i="13" s="1"/>
  <c r="Z136" i="13" s="1"/>
  <c r="AA136" i="13" s="1"/>
  <c r="AB136" i="13" s="1"/>
  <c r="AC136" i="13" s="1"/>
  <c r="AD136" i="13" s="1"/>
  <c r="AE136" i="13" s="1"/>
  <c r="AF136" i="13" s="1"/>
  <c r="AG136" i="13" s="1"/>
  <c r="AH136" i="13" s="1"/>
  <c r="A143" i="13"/>
  <c r="H10" i="11" s="1"/>
  <c r="A142" i="13"/>
  <c r="H9" i="11" s="1"/>
  <c r="A141" i="13"/>
  <c r="H8" i="11" s="1"/>
  <c r="A140" i="13"/>
  <c r="H7" i="11" s="1"/>
  <c r="A139" i="13"/>
  <c r="H6" i="11" s="1"/>
  <c r="A138" i="13"/>
  <c r="H5" i="11" s="1"/>
  <c r="A137" i="13"/>
  <c r="H4" i="11" s="1"/>
  <c r="AH42" i="13" l="1"/>
  <c r="AH52" i="13" s="1"/>
  <c r="AG52" i="13"/>
  <c r="T68" i="11"/>
  <c r="T74" i="11"/>
  <c r="E161" i="13"/>
  <c r="F161" i="13" s="1"/>
  <c r="G161" i="13" s="1"/>
  <c r="H161" i="13" s="1"/>
  <c r="I161" i="13" s="1"/>
  <c r="J161" i="13" s="1"/>
  <c r="K161" i="13" s="1"/>
  <c r="L161" i="13" s="1"/>
  <c r="M161" i="13" s="1"/>
  <c r="N161" i="13" s="1"/>
  <c r="O161" i="13" s="1"/>
  <c r="P161" i="13" s="1"/>
  <c r="Q161" i="13" s="1"/>
  <c r="R161" i="13" s="1"/>
  <c r="S161" i="13" s="1"/>
  <c r="T161" i="13" s="1"/>
  <c r="U161" i="13" s="1"/>
  <c r="V161" i="13" s="1"/>
  <c r="W161" i="13" s="1"/>
  <c r="X161" i="13" s="1"/>
  <c r="Y161" i="13" s="1"/>
  <c r="Z161" i="13" s="1"/>
  <c r="AA161" i="13" s="1"/>
  <c r="AB161" i="13" s="1"/>
  <c r="AC161" i="13" s="1"/>
  <c r="AD161" i="13" s="1"/>
  <c r="AE161" i="13" s="1"/>
  <c r="AF161" i="13" s="1"/>
  <c r="AG161" i="13" s="1"/>
  <c r="AH161" i="13" s="1"/>
  <c r="E203" i="13"/>
  <c r="F203" i="13" s="1"/>
  <c r="G203" i="13" s="1"/>
  <c r="H203" i="13" s="1"/>
  <c r="I203" i="13" s="1"/>
  <c r="J203" i="13" s="1"/>
  <c r="K203" i="13" s="1"/>
  <c r="L203" i="13" s="1"/>
  <c r="M203" i="13" s="1"/>
  <c r="N203" i="13" s="1"/>
  <c r="O203" i="13" s="1"/>
  <c r="P203" i="13" s="1"/>
  <c r="Q203" i="13" s="1"/>
  <c r="R203" i="13" s="1"/>
  <c r="S203" i="13" s="1"/>
  <c r="T203" i="13" s="1"/>
  <c r="U203" i="13" s="1"/>
  <c r="V203" i="13" s="1"/>
  <c r="W203" i="13" s="1"/>
  <c r="X203" i="13" s="1"/>
  <c r="Y203" i="13" s="1"/>
  <c r="Z203" i="13" s="1"/>
  <c r="AA203" i="13" s="1"/>
  <c r="AB203" i="13" s="1"/>
  <c r="AC203" i="13" s="1"/>
  <c r="AD203" i="13" s="1"/>
  <c r="AE203" i="13" s="1"/>
  <c r="AF203" i="13" s="1"/>
  <c r="AG203" i="13" s="1"/>
  <c r="AH203" i="13" s="1"/>
  <c r="T73" i="11"/>
  <c r="T72" i="11"/>
  <c r="U67" i="11"/>
  <c r="U72" i="11" s="1"/>
  <c r="E187" i="13"/>
  <c r="F187" i="13" s="1"/>
  <c r="G187" i="13" s="1"/>
  <c r="H187" i="13" s="1"/>
  <c r="I187" i="13" s="1"/>
  <c r="J187" i="13" s="1"/>
  <c r="K187" i="13" s="1"/>
  <c r="L187" i="13" s="1"/>
  <c r="M187" i="13" s="1"/>
  <c r="N187" i="13" s="1"/>
  <c r="O187" i="13" s="1"/>
  <c r="P187" i="13" s="1"/>
  <c r="Q187" i="13" s="1"/>
  <c r="R187" i="13" s="1"/>
  <c r="S187" i="13" s="1"/>
  <c r="T187" i="13" s="1"/>
  <c r="U187" i="13" s="1"/>
  <c r="V187" i="13" s="1"/>
  <c r="W187" i="13" s="1"/>
  <c r="X187" i="13" s="1"/>
  <c r="Y187" i="13" s="1"/>
  <c r="Z187" i="13" s="1"/>
  <c r="AA187" i="13" s="1"/>
  <c r="AB187" i="13" s="1"/>
  <c r="AC187" i="13" s="1"/>
  <c r="AD187" i="13" s="1"/>
  <c r="AE187" i="13" s="1"/>
  <c r="AF187" i="13" s="1"/>
  <c r="AG187" i="13" s="1"/>
  <c r="AH187" i="13" s="1"/>
  <c r="E154" i="13"/>
  <c r="F154" i="13" s="1"/>
  <c r="G154" i="13" s="1"/>
  <c r="H154" i="13" s="1"/>
  <c r="I154" i="13" s="1"/>
  <c r="J154" i="13" s="1"/>
  <c r="K154" i="13" s="1"/>
  <c r="L154" i="13" s="1"/>
  <c r="M154" i="13" s="1"/>
  <c r="N154" i="13" s="1"/>
  <c r="O154" i="13" s="1"/>
  <c r="P154" i="13" s="1"/>
  <c r="Q154" i="13" s="1"/>
  <c r="R154" i="13" s="1"/>
  <c r="S154" i="13" s="1"/>
  <c r="T154" i="13" s="1"/>
  <c r="U154" i="13" s="1"/>
  <c r="V154" i="13" s="1"/>
  <c r="W154" i="13" s="1"/>
  <c r="X154" i="13" s="1"/>
  <c r="Y154" i="13" s="1"/>
  <c r="Z154" i="13" s="1"/>
  <c r="AA154" i="13" s="1"/>
  <c r="AB154" i="13" s="1"/>
  <c r="AC154" i="13" s="1"/>
  <c r="AD154" i="13" s="1"/>
  <c r="AE154" i="13" s="1"/>
  <c r="AF154" i="13" s="1"/>
  <c r="AG154" i="13" s="1"/>
  <c r="AH154" i="13" s="1"/>
  <c r="E179" i="13"/>
  <c r="F179" i="13" s="1"/>
  <c r="G179" i="13" s="1"/>
  <c r="H179" i="13" s="1"/>
  <c r="I179" i="13" s="1"/>
  <c r="J179" i="13" s="1"/>
  <c r="K179" i="13" s="1"/>
  <c r="L179" i="13" s="1"/>
  <c r="M179" i="13" s="1"/>
  <c r="N179" i="13" s="1"/>
  <c r="O179" i="13" s="1"/>
  <c r="P179" i="13" s="1"/>
  <c r="Q179" i="13" s="1"/>
  <c r="R179" i="13" s="1"/>
  <c r="S179" i="13" s="1"/>
  <c r="T179" i="13" s="1"/>
  <c r="U179" i="13" s="1"/>
  <c r="V179" i="13" s="1"/>
  <c r="W179" i="13" s="1"/>
  <c r="X179" i="13" s="1"/>
  <c r="Y179" i="13" s="1"/>
  <c r="Z179" i="13" s="1"/>
  <c r="AA179" i="13" s="1"/>
  <c r="AB179" i="13" s="1"/>
  <c r="AC179" i="13" s="1"/>
  <c r="AD179" i="13" s="1"/>
  <c r="AE179" i="13" s="1"/>
  <c r="AF179" i="13" s="1"/>
  <c r="AG179" i="13" s="1"/>
  <c r="AH179" i="13" s="1"/>
  <c r="E184" i="13"/>
  <c r="F184" i="13" s="1"/>
  <c r="G184" i="13" s="1"/>
  <c r="H184" i="13" s="1"/>
  <c r="I184" i="13" s="1"/>
  <c r="J184" i="13" s="1"/>
  <c r="K184" i="13" s="1"/>
  <c r="L184" i="13" s="1"/>
  <c r="M184" i="13" s="1"/>
  <c r="N184" i="13" s="1"/>
  <c r="O184" i="13" s="1"/>
  <c r="P184" i="13" s="1"/>
  <c r="Q184" i="13" s="1"/>
  <c r="R184" i="13" s="1"/>
  <c r="S184" i="13" s="1"/>
  <c r="T184" i="13" s="1"/>
  <c r="U184" i="13" s="1"/>
  <c r="V184" i="13" s="1"/>
  <c r="W184" i="13" s="1"/>
  <c r="X184" i="13" s="1"/>
  <c r="Y184" i="13" s="1"/>
  <c r="Z184" i="13" s="1"/>
  <c r="AA184" i="13" s="1"/>
  <c r="AB184" i="13" s="1"/>
  <c r="AC184" i="13" s="1"/>
  <c r="AD184" i="13" s="1"/>
  <c r="AE184" i="13" s="1"/>
  <c r="AF184" i="13" s="1"/>
  <c r="AG184" i="13" s="1"/>
  <c r="AH184" i="13" s="1"/>
  <c r="E169" i="13"/>
  <c r="F169" i="13" s="1"/>
  <c r="G169" i="13" s="1"/>
  <c r="H169" i="13" s="1"/>
  <c r="I169" i="13" s="1"/>
  <c r="J169" i="13" s="1"/>
  <c r="K169" i="13" s="1"/>
  <c r="L169" i="13" s="1"/>
  <c r="M169" i="13" s="1"/>
  <c r="N169" i="13" s="1"/>
  <c r="O169" i="13" s="1"/>
  <c r="P169" i="13" s="1"/>
  <c r="Q169" i="13" s="1"/>
  <c r="R169" i="13" s="1"/>
  <c r="S169" i="13" s="1"/>
  <c r="T169" i="13" s="1"/>
  <c r="U169" i="13" s="1"/>
  <c r="V169" i="13" s="1"/>
  <c r="W169" i="13" s="1"/>
  <c r="X169" i="13" s="1"/>
  <c r="Y169" i="13" s="1"/>
  <c r="Z169" i="13" s="1"/>
  <c r="AA169" i="13" s="1"/>
  <c r="AB169" i="13" s="1"/>
  <c r="AC169" i="13" s="1"/>
  <c r="AD169" i="13" s="1"/>
  <c r="AE169" i="13" s="1"/>
  <c r="AF169" i="13" s="1"/>
  <c r="AG169" i="13" s="1"/>
  <c r="AH169" i="13" s="1"/>
  <c r="E175" i="13"/>
  <c r="F175" i="13" s="1"/>
  <c r="G175" i="13" s="1"/>
  <c r="H175" i="13" s="1"/>
  <c r="I175" i="13" s="1"/>
  <c r="J175" i="13" s="1"/>
  <c r="K175" i="13" s="1"/>
  <c r="L175" i="13" s="1"/>
  <c r="M175" i="13" s="1"/>
  <c r="N175" i="13" s="1"/>
  <c r="O175" i="13" s="1"/>
  <c r="P175" i="13" s="1"/>
  <c r="Q175" i="13" s="1"/>
  <c r="R175" i="13" s="1"/>
  <c r="S175" i="13" s="1"/>
  <c r="T175" i="13" s="1"/>
  <c r="U175" i="13" s="1"/>
  <c r="V175" i="13" s="1"/>
  <c r="W175" i="13" s="1"/>
  <c r="X175" i="13" s="1"/>
  <c r="Y175" i="13" s="1"/>
  <c r="Z175" i="13" s="1"/>
  <c r="AA175" i="13" s="1"/>
  <c r="AB175" i="13" s="1"/>
  <c r="AC175" i="13" s="1"/>
  <c r="AD175" i="13" s="1"/>
  <c r="AE175" i="13" s="1"/>
  <c r="AF175" i="13" s="1"/>
  <c r="AG175" i="13" s="1"/>
  <c r="AH175" i="13" s="1"/>
  <c r="E210" i="13"/>
  <c r="F210" i="13" s="1"/>
  <c r="G210" i="13" s="1"/>
  <c r="H210" i="13" s="1"/>
  <c r="I210" i="13" s="1"/>
  <c r="J210" i="13" s="1"/>
  <c r="K210" i="13" s="1"/>
  <c r="L210" i="13" s="1"/>
  <c r="M210" i="13" s="1"/>
  <c r="N210" i="13" s="1"/>
  <c r="O210" i="13" s="1"/>
  <c r="P210" i="13" s="1"/>
  <c r="Q210" i="13" s="1"/>
  <c r="R210" i="13" s="1"/>
  <c r="S210" i="13" s="1"/>
  <c r="T210" i="13" s="1"/>
  <c r="U210" i="13" s="1"/>
  <c r="V210" i="13" s="1"/>
  <c r="W210" i="13" s="1"/>
  <c r="X210" i="13" s="1"/>
  <c r="Y210" i="13" s="1"/>
  <c r="Z210" i="13" s="1"/>
  <c r="AA210" i="13" s="1"/>
  <c r="AB210" i="13" s="1"/>
  <c r="AC210" i="13" s="1"/>
  <c r="AD210" i="13" s="1"/>
  <c r="AE210" i="13" s="1"/>
  <c r="AF210" i="13" s="1"/>
  <c r="AG210" i="13" s="1"/>
  <c r="AH210" i="13" s="1"/>
  <c r="E193" i="13"/>
  <c r="F193" i="13" s="1"/>
  <c r="G193" i="13" s="1"/>
  <c r="H193" i="13" s="1"/>
  <c r="I193" i="13" s="1"/>
  <c r="J193" i="13" s="1"/>
  <c r="K193" i="13" s="1"/>
  <c r="L193" i="13" s="1"/>
  <c r="M193" i="13" s="1"/>
  <c r="N193" i="13" s="1"/>
  <c r="O193" i="13" s="1"/>
  <c r="P193" i="13" s="1"/>
  <c r="Q193" i="13" s="1"/>
  <c r="R193" i="13" s="1"/>
  <c r="S193" i="13" s="1"/>
  <c r="T193" i="13" s="1"/>
  <c r="U193" i="13" s="1"/>
  <c r="V193" i="13" s="1"/>
  <c r="W193" i="13" s="1"/>
  <c r="X193" i="13" s="1"/>
  <c r="Y193" i="13" s="1"/>
  <c r="Z193" i="13" s="1"/>
  <c r="AA193" i="13" s="1"/>
  <c r="AB193" i="13" s="1"/>
  <c r="AC193" i="13" s="1"/>
  <c r="AD193" i="13" s="1"/>
  <c r="AE193" i="13" s="1"/>
  <c r="AF193" i="13" s="1"/>
  <c r="AG193" i="13" s="1"/>
  <c r="AH193" i="13" s="1"/>
  <c r="E189" i="13"/>
  <c r="F189" i="13" s="1"/>
  <c r="G189" i="13" s="1"/>
  <c r="H189" i="13" s="1"/>
  <c r="I189" i="13" s="1"/>
  <c r="J189" i="13" s="1"/>
  <c r="K189" i="13" s="1"/>
  <c r="L189" i="13" s="1"/>
  <c r="M189" i="13" s="1"/>
  <c r="N189" i="13" s="1"/>
  <c r="O189" i="13" s="1"/>
  <c r="P189" i="13" s="1"/>
  <c r="Q189" i="13" s="1"/>
  <c r="R189" i="13" s="1"/>
  <c r="S189" i="13" s="1"/>
  <c r="T189" i="13" s="1"/>
  <c r="U189" i="13" s="1"/>
  <c r="V189" i="13" s="1"/>
  <c r="W189" i="13" s="1"/>
  <c r="X189" i="13" s="1"/>
  <c r="Y189" i="13" s="1"/>
  <c r="Z189" i="13" s="1"/>
  <c r="AA189" i="13" s="1"/>
  <c r="AB189" i="13" s="1"/>
  <c r="AC189" i="13" s="1"/>
  <c r="AD189" i="13" s="1"/>
  <c r="AE189" i="13" s="1"/>
  <c r="AF189" i="13" s="1"/>
  <c r="AG189" i="13" s="1"/>
  <c r="AH189" i="13" s="1"/>
  <c r="E199" i="13"/>
  <c r="F199" i="13" s="1"/>
  <c r="G199" i="13" s="1"/>
  <c r="H199" i="13" s="1"/>
  <c r="I199" i="13" s="1"/>
  <c r="J199" i="13" s="1"/>
  <c r="K199" i="13" s="1"/>
  <c r="L199" i="13" s="1"/>
  <c r="M199" i="13" s="1"/>
  <c r="N199" i="13" s="1"/>
  <c r="O199" i="13" s="1"/>
  <c r="P199" i="13" s="1"/>
  <c r="Q199" i="13" s="1"/>
  <c r="R199" i="13" s="1"/>
  <c r="S199" i="13" s="1"/>
  <c r="T199" i="13" s="1"/>
  <c r="U199" i="13" s="1"/>
  <c r="V199" i="13" s="1"/>
  <c r="W199" i="13" s="1"/>
  <c r="X199" i="13" s="1"/>
  <c r="Y199" i="13" s="1"/>
  <c r="Z199" i="13" s="1"/>
  <c r="AA199" i="13" s="1"/>
  <c r="AB199" i="13" s="1"/>
  <c r="AC199" i="13" s="1"/>
  <c r="AD199" i="13" s="1"/>
  <c r="AE199" i="13" s="1"/>
  <c r="AF199" i="13" s="1"/>
  <c r="AG199" i="13" s="1"/>
  <c r="AH199" i="13" s="1"/>
  <c r="E206" i="13"/>
  <c r="F206" i="13" s="1"/>
  <c r="G206" i="13" s="1"/>
  <c r="H206" i="13" s="1"/>
  <c r="I206" i="13" s="1"/>
  <c r="J206" i="13" s="1"/>
  <c r="K206" i="13" s="1"/>
  <c r="L206" i="13" s="1"/>
  <c r="M206" i="13" s="1"/>
  <c r="N206" i="13" s="1"/>
  <c r="O206" i="13" s="1"/>
  <c r="P206" i="13" s="1"/>
  <c r="Q206" i="13" s="1"/>
  <c r="R206" i="13" s="1"/>
  <c r="S206" i="13" s="1"/>
  <c r="T206" i="13" s="1"/>
  <c r="U206" i="13" s="1"/>
  <c r="V206" i="13" s="1"/>
  <c r="W206" i="13" s="1"/>
  <c r="X206" i="13" s="1"/>
  <c r="Y206" i="13" s="1"/>
  <c r="Z206" i="13" s="1"/>
  <c r="AA206" i="13" s="1"/>
  <c r="AB206" i="13" s="1"/>
  <c r="AC206" i="13" s="1"/>
  <c r="AD206" i="13" s="1"/>
  <c r="AE206" i="13" s="1"/>
  <c r="AF206" i="13" s="1"/>
  <c r="AG206" i="13" s="1"/>
  <c r="AH206" i="13" s="1"/>
  <c r="E205" i="13"/>
  <c r="F205" i="13" s="1"/>
  <c r="G205" i="13" s="1"/>
  <c r="H205" i="13" s="1"/>
  <c r="I205" i="13" s="1"/>
  <c r="J205" i="13" s="1"/>
  <c r="K205" i="13" s="1"/>
  <c r="L205" i="13" s="1"/>
  <c r="M205" i="13" s="1"/>
  <c r="N205" i="13" s="1"/>
  <c r="O205" i="13" s="1"/>
  <c r="P205" i="13" s="1"/>
  <c r="Q205" i="13" s="1"/>
  <c r="R205" i="13" s="1"/>
  <c r="S205" i="13" s="1"/>
  <c r="T205" i="13" s="1"/>
  <c r="U205" i="13" s="1"/>
  <c r="V205" i="13" s="1"/>
  <c r="W205" i="13" s="1"/>
  <c r="X205" i="13" s="1"/>
  <c r="Y205" i="13" s="1"/>
  <c r="Z205" i="13" s="1"/>
  <c r="AA205" i="13" s="1"/>
  <c r="AB205" i="13" s="1"/>
  <c r="AC205" i="13" s="1"/>
  <c r="AD205" i="13" s="1"/>
  <c r="AE205" i="13" s="1"/>
  <c r="AF205" i="13" s="1"/>
  <c r="AG205" i="13" s="1"/>
  <c r="AH205" i="13" s="1"/>
  <c r="E198" i="13"/>
  <c r="F198" i="13" s="1"/>
  <c r="G198" i="13" s="1"/>
  <c r="H198" i="13" s="1"/>
  <c r="I198" i="13" s="1"/>
  <c r="J198" i="13" s="1"/>
  <c r="K198" i="13" s="1"/>
  <c r="L198" i="13" s="1"/>
  <c r="M198" i="13" s="1"/>
  <c r="N198" i="13" s="1"/>
  <c r="O198" i="13" s="1"/>
  <c r="P198" i="13" s="1"/>
  <c r="Q198" i="13" s="1"/>
  <c r="R198" i="13" s="1"/>
  <c r="S198" i="13" s="1"/>
  <c r="T198" i="13" s="1"/>
  <c r="U198" i="13" s="1"/>
  <c r="V198" i="13" s="1"/>
  <c r="W198" i="13" s="1"/>
  <c r="X198" i="13" s="1"/>
  <c r="Y198" i="13" s="1"/>
  <c r="Z198" i="13" s="1"/>
  <c r="AA198" i="13" s="1"/>
  <c r="AB198" i="13" s="1"/>
  <c r="AC198" i="13" s="1"/>
  <c r="AD198" i="13" s="1"/>
  <c r="AE198" i="13" s="1"/>
  <c r="AF198" i="13" s="1"/>
  <c r="AG198" i="13" s="1"/>
  <c r="AH198" i="13" s="1"/>
  <c r="E174" i="13"/>
  <c r="F174" i="13" s="1"/>
  <c r="G174" i="13" s="1"/>
  <c r="H174" i="13" s="1"/>
  <c r="I174" i="13" s="1"/>
  <c r="J174" i="13" s="1"/>
  <c r="K174" i="13" s="1"/>
  <c r="L174" i="13" s="1"/>
  <c r="M174" i="13" s="1"/>
  <c r="N174" i="13" s="1"/>
  <c r="O174" i="13" s="1"/>
  <c r="P174" i="13" s="1"/>
  <c r="Q174" i="13" s="1"/>
  <c r="R174" i="13" s="1"/>
  <c r="S174" i="13" s="1"/>
  <c r="T174" i="13" s="1"/>
  <c r="U174" i="13" s="1"/>
  <c r="V174" i="13" s="1"/>
  <c r="W174" i="13" s="1"/>
  <c r="X174" i="13" s="1"/>
  <c r="Y174" i="13" s="1"/>
  <c r="Z174" i="13" s="1"/>
  <c r="AA174" i="13" s="1"/>
  <c r="AB174" i="13" s="1"/>
  <c r="AC174" i="13" s="1"/>
  <c r="AD174" i="13" s="1"/>
  <c r="AE174" i="13" s="1"/>
  <c r="AF174" i="13" s="1"/>
  <c r="AG174" i="13" s="1"/>
  <c r="AH174" i="13" s="1"/>
  <c r="E208" i="13"/>
  <c r="F208" i="13" s="1"/>
  <c r="G208" i="13" s="1"/>
  <c r="H208" i="13" s="1"/>
  <c r="I208" i="13" s="1"/>
  <c r="J208" i="13" s="1"/>
  <c r="K208" i="13" s="1"/>
  <c r="L208" i="13" s="1"/>
  <c r="M208" i="13" s="1"/>
  <c r="N208" i="13" s="1"/>
  <c r="O208" i="13" s="1"/>
  <c r="P208" i="13" s="1"/>
  <c r="Q208" i="13" s="1"/>
  <c r="R208" i="13" s="1"/>
  <c r="S208" i="13" s="1"/>
  <c r="T208" i="13" s="1"/>
  <c r="U208" i="13" s="1"/>
  <c r="V208" i="13" s="1"/>
  <c r="W208" i="13" s="1"/>
  <c r="X208" i="13" s="1"/>
  <c r="Y208" i="13" s="1"/>
  <c r="Z208" i="13" s="1"/>
  <c r="AA208" i="13" s="1"/>
  <c r="AB208" i="13" s="1"/>
  <c r="AC208" i="13" s="1"/>
  <c r="AD208" i="13" s="1"/>
  <c r="AE208" i="13" s="1"/>
  <c r="AF208" i="13" s="1"/>
  <c r="AG208" i="13" s="1"/>
  <c r="AH208" i="13" s="1"/>
  <c r="E197" i="13"/>
  <c r="F197" i="13" s="1"/>
  <c r="G197" i="13" s="1"/>
  <c r="H197" i="13" s="1"/>
  <c r="I197" i="13" s="1"/>
  <c r="J197" i="13" s="1"/>
  <c r="K197" i="13" s="1"/>
  <c r="L197" i="13" s="1"/>
  <c r="M197" i="13" s="1"/>
  <c r="N197" i="13" s="1"/>
  <c r="O197" i="13" s="1"/>
  <c r="P197" i="13" s="1"/>
  <c r="Q197" i="13" s="1"/>
  <c r="R197" i="13" s="1"/>
  <c r="S197" i="13" s="1"/>
  <c r="T197" i="13" s="1"/>
  <c r="U197" i="13" s="1"/>
  <c r="V197" i="13" s="1"/>
  <c r="W197" i="13" s="1"/>
  <c r="X197" i="13" s="1"/>
  <c r="Y197" i="13" s="1"/>
  <c r="Z197" i="13" s="1"/>
  <c r="AA197" i="13" s="1"/>
  <c r="AB197" i="13" s="1"/>
  <c r="AC197" i="13" s="1"/>
  <c r="AD197" i="13" s="1"/>
  <c r="AE197" i="13" s="1"/>
  <c r="AF197" i="13" s="1"/>
  <c r="AG197" i="13" s="1"/>
  <c r="AH197" i="13" s="1"/>
  <c r="F133" i="13"/>
  <c r="G133" i="13" s="1"/>
  <c r="E191" i="13"/>
  <c r="F191" i="13" s="1"/>
  <c r="G191" i="13" s="1"/>
  <c r="H191" i="13" s="1"/>
  <c r="I191" i="13" s="1"/>
  <c r="J191" i="13" s="1"/>
  <c r="K191" i="13" s="1"/>
  <c r="L191" i="13" s="1"/>
  <c r="M191" i="13" s="1"/>
  <c r="N191" i="13" s="1"/>
  <c r="O191" i="13" s="1"/>
  <c r="P191" i="13" s="1"/>
  <c r="Q191" i="13" s="1"/>
  <c r="R191" i="13" s="1"/>
  <c r="S191" i="13" s="1"/>
  <c r="T191" i="13" s="1"/>
  <c r="U191" i="13" s="1"/>
  <c r="V191" i="13" s="1"/>
  <c r="W191" i="13" s="1"/>
  <c r="X191" i="13" s="1"/>
  <c r="Y191" i="13" s="1"/>
  <c r="Z191" i="13" s="1"/>
  <c r="AA191" i="13" s="1"/>
  <c r="AB191" i="13" s="1"/>
  <c r="AC191" i="13" s="1"/>
  <c r="AD191" i="13" s="1"/>
  <c r="AE191" i="13" s="1"/>
  <c r="AF191" i="13" s="1"/>
  <c r="AG191" i="13" s="1"/>
  <c r="AH191" i="13" s="1"/>
  <c r="E157" i="13"/>
  <c r="F157" i="13" s="1"/>
  <c r="G157" i="13" s="1"/>
  <c r="H157" i="13" s="1"/>
  <c r="I157" i="13" s="1"/>
  <c r="J157" i="13" s="1"/>
  <c r="K157" i="13" s="1"/>
  <c r="L157" i="13" s="1"/>
  <c r="M157" i="13" s="1"/>
  <c r="N157" i="13" s="1"/>
  <c r="O157" i="13" s="1"/>
  <c r="P157" i="13" s="1"/>
  <c r="Q157" i="13" s="1"/>
  <c r="R157" i="13" s="1"/>
  <c r="S157" i="13" s="1"/>
  <c r="T157" i="13" s="1"/>
  <c r="U157" i="13" s="1"/>
  <c r="V157" i="13" s="1"/>
  <c r="W157" i="13" s="1"/>
  <c r="X157" i="13" s="1"/>
  <c r="Y157" i="13" s="1"/>
  <c r="Z157" i="13" s="1"/>
  <c r="AA157" i="13" s="1"/>
  <c r="AB157" i="13" s="1"/>
  <c r="AC157" i="13" s="1"/>
  <c r="AD157" i="13" s="1"/>
  <c r="AE157" i="13" s="1"/>
  <c r="AF157" i="13" s="1"/>
  <c r="AG157" i="13" s="1"/>
  <c r="AH157" i="13" s="1"/>
  <c r="E166" i="13"/>
  <c r="F166" i="13" s="1"/>
  <c r="G166" i="13" s="1"/>
  <c r="H166" i="13" s="1"/>
  <c r="I166" i="13" s="1"/>
  <c r="J166" i="13" s="1"/>
  <c r="K166" i="13" s="1"/>
  <c r="L166" i="13" s="1"/>
  <c r="M166" i="13" s="1"/>
  <c r="N166" i="13" s="1"/>
  <c r="O166" i="13" s="1"/>
  <c r="P166" i="13" s="1"/>
  <c r="Q166" i="13" s="1"/>
  <c r="R166" i="13" s="1"/>
  <c r="S166" i="13" s="1"/>
  <c r="T166" i="13" s="1"/>
  <c r="U166" i="13" s="1"/>
  <c r="V166" i="13" s="1"/>
  <c r="W166" i="13" s="1"/>
  <c r="X166" i="13" s="1"/>
  <c r="Y166" i="13" s="1"/>
  <c r="Z166" i="13" s="1"/>
  <c r="AA166" i="13" s="1"/>
  <c r="AB166" i="13" s="1"/>
  <c r="AC166" i="13" s="1"/>
  <c r="AD166" i="13" s="1"/>
  <c r="AE166" i="13" s="1"/>
  <c r="AF166" i="13" s="1"/>
  <c r="AG166" i="13" s="1"/>
  <c r="AH166" i="13" s="1"/>
  <c r="E167" i="13"/>
  <c r="F167" i="13" s="1"/>
  <c r="G167" i="13" s="1"/>
  <c r="H167" i="13" s="1"/>
  <c r="I167" i="13" s="1"/>
  <c r="J167" i="13" s="1"/>
  <c r="K167" i="13" s="1"/>
  <c r="L167" i="13" s="1"/>
  <c r="M167" i="13" s="1"/>
  <c r="N167" i="13" s="1"/>
  <c r="O167" i="13" s="1"/>
  <c r="P167" i="13" s="1"/>
  <c r="Q167" i="13" s="1"/>
  <c r="R167" i="13" s="1"/>
  <c r="S167" i="13" s="1"/>
  <c r="T167" i="13" s="1"/>
  <c r="U167" i="13" s="1"/>
  <c r="V167" i="13" s="1"/>
  <c r="W167" i="13" s="1"/>
  <c r="X167" i="13" s="1"/>
  <c r="Y167" i="13" s="1"/>
  <c r="Z167" i="13" s="1"/>
  <c r="AA167" i="13" s="1"/>
  <c r="AB167" i="13" s="1"/>
  <c r="AC167" i="13" s="1"/>
  <c r="AD167" i="13" s="1"/>
  <c r="AE167" i="13" s="1"/>
  <c r="AF167" i="13" s="1"/>
  <c r="AG167" i="13" s="1"/>
  <c r="AH167" i="13" s="1"/>
  <c r="E204" i="13"/>
  <c r="F204" i="13" s="1"/>
  <c r="G204" i="13" s="1"/>
  <c r="H204" i="13" s="1"/>
  <c r="I204" i="13" s="1"/>
  <c r="J204" i="13" s="1"/>
  <c r="K204" i="13" s="1"/>
  <c r="L204" i="13" s="1"/>
  <c r="M204" i="13" s="1"/>
  <c r="N204" i="13" s="1"/>
  <c r="O204" i="13" s="1"/>
  <c r="P204" i="13" s="1"/>
  <c r="Q204" i="13" s="1"/>
  <c r="R204" i="13" s="1"/>
  <c r="S204" i="13" s="1"/>
  <c r="T204" i="13" s="1"/>
  <c r="U204" i="13" s="1"/>
  <c r="V204" i="13" s="1"/>
  <c r="W204" i="13" s="1"/>
  <c r="X204" i="13" s="1"/>
  <c r="Y204" i="13" s="1"/>
  <c r="Z204" i="13" s="1"/>
  <c r="AA204" i="13" s="1"/>
  <c r="AB204" i="13" s="1"/>
  <c r="AC204" i="13" s="1"/>
  <c r="AD204" i="13" s="1"/>
  <c r="AE204" i="13" s="1"/>
  <c r="AF204" i="13" s="1"/>
  <c r="AG204" i="13" s="1"/>
  <c r="AH204" i="13" s="1"/>
  <c r="E153" i="13"/>
  <c r="F153" i="13" s="1"/>
  <c r="G153" i="13" s="1"/>
  <c r="H153" i="13" s="1"/>
  <c r="I153" i="13" s="1"/>
  <c r="J153" i="13" s="1"/>
  <c r="K153" i="13" s="1"/>
  <c r="L153" i="13" s="1"/>
  <c r="M153" i="13" s="1"/>
  <c r="N153" i="13" s="1"/>
  <c r="O153" i="13" s="1"/>
  <c r="P153" i="13" s="1"/>
  <c r="Q153" i="13" s="1"/>
  <c r="R153" i="13" s="1"/>
  <c r="S153" i="13" s="1"/>
  <c r="T153" i="13" s="1"/>
  <c r="U153" i="13" s="1"/>
  <c r="V153" i="13" s="1"/>
  <c r="W153" i="13" s="1"/>
  <c r="X153" i="13" s="1"/>
  <c r="Y153" i="13" s="1"/>
  <c r="Z153" i="13" s="1"/>
  <c r="AA153" i="13" s="1"/>
  <c r="AB153" i="13" s="1"/>
  <c r="AC153" i="13" s="1"/>
  <c r="AD153" i="13" s="1"/>
  <c r="AE153" i="13" s="1"/>
  <c r="AF153" i="13" s="1"/>
  <c r="AG153" i="13" s="1"/>
  <c r="AH153" i="13" s="1"/>
  <c r="E200" i="13"/>
  <c r="F200" i="13" s="1"/>
  <c r="G200" i="13" s="1"/>
  <c r="H200" i="13" s="1"/>
  <c r="I200" i="13" s="1"/>
  <c r="J200" i="13" s="1"/>
  <c r="K200" i="13" s="1"/>
  <c r="L200" i="13" s="1"/>
  <c r="M200" i="13" s="1"/>
  <c r="N200" i="13" s="1"/>
  <c r="O200" i="13" s="1"/>
  <c r="P200" i="13" s="1"/>
  <c r="Q200" i="13" s="1"/>
  <c r="R200" i="13" s="1"/>
  <c r="S200" i="13" s="1"/>
  <c r="T200" i="13" s="1"/>
  <c r="U200" i="13" s="1"/>
  <c r="V200" i="13" s="1"/>
  <c r="W200" i="13" s="1"/>
  <c r="X200" i="13" s="1"/>
  <c r="Y200" i="13" s="1"/>
  <c r="Z200" i="13" s="1"/>
  <c r="AA200" i="13" s="1"/>
  <c r="AB200" i="13" s="1"/>
  <c r="AC200" i="13" s="1"/>
  <c r="AD200" i="13" s="1"/>
  <c r="AE200" i="13" s="1"/>
  <c r="AF200" i="13" s="1"/>
  <c r="AG200" i="13" s="1"/>
  <c r="AH200" i="13" s="1"/>
  <c r="E159" i="13"/>
  <c r="F159" i="13" s="1"/>
  <c r="G159" i="13" s="1"/>
  <c r="H159" i="13" s="1"/>
  <c r="I159" i="13" s="1"/>
  <c r="J159" i="13" s="1"/>
  <c r="K159" i="13" s="1"/>
  <c r="L159" i="13" s="1"/>
  <c r="M159" i="13" s="1"/>
  <c r="N159" i="13" s="1"/>
  <c r="O159" i="13" s="1"/>
  <c r="P159" i="13" s="1"/>
  <c r="Q159" i="13" s="1"/>
  <c r="R159" i="13" s="1"/>
  <c r="S159" i="13" s="1"/>
  <c r="T159" i="13" s="1"/>
  <c r="U159" i="13" s="1"/>
  <c r="V159" i="13" s="1"/>
  <c r="W159" i="13" s="1"/>
  <c r="X159" i="13" s="1"/>
  <c r="Y159" i="13" s="1"/>
  <c r="Z159" i="13" s="1"/>
  <c r="AA159" i="13" s="1"/>
  <c r="AB159" i="13" s="1"/>
  <c r="AC159" i="13" s="1"/>
  <c r="AD159" i="13" s="1"/>
  <c r="AE159" i="13" s="1"/>
  <c r="AF159" i="13" s="1"/>
  <c r="AG159" i="13" s="1"/>
  <c r="AH159" i="13" s="1"/>
  <c r="E180" i="13"/>
  <c r="F180" i="13" s="1"/>
  <c r="G180" i="13" s="1"/>
  <c r="H180" i="13" s="1"/>
  <c r="I180" i="13" s="1"/>
  <c r="J180" i="13" s="1"/>
  <c r="K180" i="13" s="1"/>
  <c r="L180" i="13" s="1"/>
  <c r="M180" i="13" s="1"/>
  <c r="N180" i="13" s="1"/>
  <c r="O180" i="13" s="1"/>
  <c r="P180" i="13" s="1"/>
  <c r="Q180" i="13" s="1"/>
  <c r="R180" i="13" s="1"/>
  <c r="S180" i="13" s="1"/>
  <c r="T180" i="13" s="1"/>
  <c r="U180" i="13" s="1"/>
  <c r="V180" i="13" s="1"/>
  <c r="W180" i="13" s="1"/>
  <c r="X180" i="13" s="1"/>
  <c r="Y180" i="13" s="1"/>
  <c r="Z180" i="13" s="1"/>
  <c r="AA180" i="13" s="1"/>
  <c r="AB180" i="13" s="1"/>
  <c r="AC180" i="13" s="1"/>
  <c r="AD180" i="13" s="1"/>
  <c r="AE180" i="13" s="1"/>
  <c r="AF180" i="13" s="1"/>
  <c r="AG180" i="13" s="1"/>
  <c r="AH180" i="13" s="1"/>
  <c r="E182" i="13"/>
  <c r="F182" i="13" s="1"/>
  <c r="G182" i="13" s="1"/>
  <c r="H182" i="13" s="1"/>
  <c r="I182" i="13" s="1"/>
  <c r="J182" i="13" s="1"/>
  <c r="K182" i="13" s="1"/>
  <c r="L182" i="13" s="1"/>
  <c r="M182" i="13" s="1"/>
  <c r="N182" i="13" s="1"/>
  <c r="O182" i="13" s="1"/>
  <c r="P182" i="13" s="1"/>
  <c r="Q182" i="13" s="1"/>
  <c r="R182" i="13" s="1"/>
  <c r="S182" i="13" s="1"/>
  <c r="T182" i="13" s="1"/>
  <c r="U182" i="13" s="1"/>
  <c r="V182" i="13" s="1"/>
  <c r="W182" i="13" s="1"/>
  <c r="X182" i="13" s="1"/>
  <c r="Y182" i="13" s="1"/>
  <c r="Z182" i="13" s="1"/>
  <c r="AA182" i="13" s="1"/>
  <c r="AB182" i="13" s="1"/>
  <c r="AC182" i="13" s="1"/>
  <c r="AD182" i="13" s="1"/>
  <c r="AE182" i="13" s="1"/>
  <c r="AF182" i="13" s="1"/>
  <c r="AG182" i="13" s="1"/>
  <c r="AH182" i="13" s="1"/>
  <c r="E176" i="13"/>
  <c r="F176" i="13" s="1"/>
  <c r="G176" i="13" s="1"/>
  <c r="H176" i="13" s="1"/>
  <c r="I176" i="13" s="1"/>
  <c r="J176" i="13" s="1"/>
  <c r="K176" i="13" s="1"/>
  <c r="L176" i="13" s="1"/>
  <c r="M176" i="13" s="1"/>
  <c r="N176" i="13" s="1"/>
  <c r="O176" i="13" s="1"/>
  <c r="P176" i="13" s="1"/>
  <c r="Q176" i="13" s="1"/>
  <c r="R176" i="13" s="1"/>
  <c r="S176" i="13" s="1"/>
  <c r="T176" i="13" s="1"/>
  <c r="U176" i="13" s="1"/>
  <c r="V176" i="13" s="1"/>
  <c r="W176" i="13" s="1"/>
  <c r="X176" i="13" s="1"/>
  <c r="Y176" i="13" s="1"/>
  <c r="Z176" i="13" s="1"/>
  <c r="AA176" i="13" s="1"/>
  <c r="AB176" i="13" s="1"/>
  <c r="AC176" i="13" s="1"/>
  <c r="AD176" i="13" s="1"/>
  <c r="AE176" i="13" s="1"/>
  <c r="AF176" i="13" s="1"/>
  <c r="AG176" i="13" s="1"/>
  <c r="AH176" i="13" s="1"/>
  <c r="E162" i="13"/>
  <c r="F162" i="13" s="1"/>
  <c r="G162" i="13" s="1"/>
  <c r="H162" i="13" s="1"/>
  <c r="I162" i="13" s="1"/>
  <c r="J162" i="13" s="1"/>
  <c r="K162" i="13" s="1"/>
  <c r="L162" i="13" s="1"/>
  <c r="M162" i="13" s="1"/>
  <c r="N162" i="13" s="1"/>
  <c r="O162" i="13" s="1"/>
  <c r="P162" i="13" s="1"/>
  <c r="Q162" i="13" s="1"/>
  <c r="R162" i="13" s="1"/>
  <c r="S162" i="13" s="1"/>
  <c r="T162" i="13" s="1"/>
  <c r="U162" i="13" s="1"/>
  <c r="V162" i="13" s="1"/>
  <c r="W162" i="13" s="1"/>
  <c r="X162" i="13" s="1"/>
  <c r="Y162" i="13" s="1"/>
  <c r="Z162" i="13" s="1"/>
  <c r="AA162" i="13" s="1"/>
  <c r="AB162" i="13" s="1"/>
  <c r="AC162" i="13" s="1"/>
  <c r="AD162" i="13" s="1"/>
  <c r="AE162" i="13" s="1"/>
  <c r="AF162" i="13" s="1"/>
  <c r="AG162" i="13" s="1"/>
  <c r="AH162" i="13" s="1"/>
  <c r="E188" i="13"/>
  <c r="F188" i="13" s="1"/>
  <c r="G188" i="13" s="1"/>
  <c r="H188" i="13" s="1"/>
  <c r="I188" i="13" s="1"/>
  <c r="J188" i="13" s="1"/>
  <c r="K188" i="13" s="1"/>
  <c r="L188" i="13" s="1"/>
  <c r="M188" i="13" s="1"/>
  <c r="N188" i="13" s="1"/>
  <c r="O188" i="13" s="1"/>
  <c r="P188" i="13" s="1"/>
  <c r="Q188" i="13" s="1"/>
  <c r="R188" i="13" s="1"/>
  <c r="S188" i="13" s="1"/>
  <c r="T188" i="13" s="1"/>
  <c r="U188" i="13" s="1"/>
  <c r="V188" i="13" s="1"/>
  <c r="W188" i="13" s="1"/>
  <c r="X188" i="13" s="1"/>
  <c r="Y188" i="13" s="1"/>
  <c r="Z188" i="13" s="1"/>
  <c r="AA188" i="13" s="1"/>
  <c r="AB188" i="13" s="1"/>
  <c r="AC188" i="13" s="1"/>
  <c r="AD188" i="13" s="1"/>
  <c r="AE188" i="13" s="1"/>
  <c r="AF188" i="13" s="1"/>
  <c r="AG188" i="13" s="1"/>
  <c r="AH188" i="13" s="1"/>
  <c r="E156" i="13"/>
  <c r="F156" i="13" s="1"/>
  <c r="G156" i="13" s="1"/>
  <c r="H156" i="13" s="1"/>
  <c r="I156" i="13" s="1"/>
  <c r="J156" i="13" s="1"/>
  <c r="K156" i="13" s="1"/>
  <c r="L156" i="13" s="1"/>
  <c r="M156" i="13" s="1"/>
  <c r="N156" i="13" s="1"/>
  <c r="O156" i="13" s="1"/>
  <c r="P156" i="13" s="1"/>
  <c r="Q156" i="13" s="1"/>
  <c r="R156" i="13" s="1"/>
  <c r="S156" i="13" s="1"/>
  <c r="T156" i="13" s="1"/>
  <c r="U156" i="13" s="1"/>
  <c r="V156" i="13" s="1"/>
  <c r="W156" i="13" s="1"/>
  <c r="X156" i="13" s="1"/>
  <c r="Y156" i="13" s="1"/>
  <c r="Z156" i="13" s="1"/>
  <c r="AA156" i="13" s="1"/>
  <c r="AB156" i="13" s="1"/>
  <c r="AC156" i="13" s="1"/>
  <c r="AD156" i="13" s="1"/>
  <c r="AE156" i="13" s="1"/>
  <c r="AF156" i="13" s="1"/>
  <c r="AG156" i="13" s="1"/>
  <c r="AH156" i="13" s="1"/>
  <c r="E190" i="13"/>
  <c r="F190" i="13" s="1"/>
  <c r="G190" i="13" s="1"/>
  <c r="H190" i="13" s="1"/>
  <c r="I190" i="13" s="1"/>
  <c r="J190" i="13" s="1"/>
  <c r="K190" i="13" s="1"/>
  <c r="L190" i="13" s="1"/>
  <c r="M190" i="13" s="1"/>
  <c r="N190" i="13" s="1"/>
  <c r="O190" i="13" s="1"/>
  <c r="P190" i="13" s="1"/>
  <c r="Q190" i="13" s="1"/>
  <c r="R190" i="13" s="1"/>
  <c r="S190" i="13" s="1"/>
  <c r="T190" i="13" s="1"/>
  <c r="U190" i="13" s="1"/>
  <c r="V190" i="13" s="1"/>
  <c r="W190" i="13" s="1"/>
  <c r="X190" i="13" s="1"/>
  <c r="Y190" i="13" s="1"/>
  <c r="Z190" i="13" s="1"/>
  <c r="AA190" i="13" s="1"/>
  <c r="AB190" i="13" s="1"/>
  <c r="AC190" i="13" s="1"/>
  <c r="AD190" i="13" s="1"/>
  <c r="AE190" i="13" s="1"/>
  <c r="AF190" i="13" s="1"/>
  <c r="AG190" i="13" s="1"/>
  <c r="AH190" i="13" s="1"/>
  <c r="E177" i="13"/>
  <c r="F177" i="13" s="1"/>
  <c r="G177" i="13" s="1"/>
  <c r="H177" i="13" s="1"/>
  <c r="I177" i="13" s="1"/>
  <c r="J177" i="13" s="1"/>
  <c r="K177" i="13" s="1"/>
  <c r="L177" i="13" s="1"/>
  <c r="M177" i="13" s="1"/>
  <c r="N177" i="13" s="1"/>
  <c r="O177" i="13" s="1"/>
  <c r="P177" i="13" s="1"/>
  <c r="Q177" i="13" s="1"/>
  <c r="R177" i="13" s="1"/>
  <c r="S177" i="13" s="1"/>
  <c r="T177" i="13" s="1"/>
  <c r="U177" i="13" s="1"/>
  <c r="V177" i="13" s="1"/>
  <c r="W177" i="13" s="1"/>
  <c r="X177" i="13" s="1"/>
  <c r="Y177" i="13" s="1"/>
  <c r="Z177" i="13" s="1"/>
  <c r="AA177" i="13" s="1"/>
  <c r="AB177" i="13" s="1"/>
  <c r="AC177" i="13" s="1"/>
  <c r="AD177" i="13" s="1"/>
  <c r="AE177" i="13" s="1"/>
  <c r="AF177" i="13" s="1"/>
  <c r="AG177" i="13" s="1"/>
  <c r="AH177" i="13" s="1"/>
  <c r="E168" i="13"/>
  <c r="F168" i="13" s="1"/>
  <c r="G168" i="13" s="1"/>
  <c r="H168" i="13" s="1"/>
  <c r="I168" i="13" s="1"/>
  <c r="J168" i="13" s="1"/>
  <c r="K168" i="13" s="1"/>
  <c r="L168" i="13" s="1"/>
  <c r="M168" i="13" s="1"/>
  <c r="N168" i="13" s="1"/>
  <c r="O168" i="13" s="1"/>
  <c r="P168" i="13" s="1"/>
  <c r="Q168" i="13" s="1"/>
  <c r="R168" i="13" s="1"/>
  <c r="S168" i="13" s="1"/>
  <c r="T168" i="13" s="1"/>
  <c r="U168" i="13" s="1"/>
  <c r="V168" i="13" s="1"/>
  <c r="W168" i="13" s="1"/>
  <c r="X168" i="13" s="1"/>
  <c r="Y168" i="13" s="1"/>
  <c r="Z168" i="13" s="1"/>
  <c r="AA168" i="13" s="1"/>
  <c r="AB168" i="13" s="1"/>
  <c r="AC168" i="13" s="1"/>
  <c r="AD168" i="13" s="1"/>
  <c r="AE168" i="13" s="1"/>
  <c r="AF168" i="13" s="1"/>
  <c r="AG168" i="13" s="1"/>
  <c r="AH168" i="13" s="1"/>
  <c r="E170" i="13"/>
  <c r="F170" i="13" s="1"/>
  <c r="G170" i="13" s="1"/>
  <c r="H170" i="13" s="1"/>
  <c r="I170" i="13" s="1"/>
  <c r="J170" i="13" s="1"/>
  <c r="K170" i="13" s="1"/>
  <c r="L170" i="13" s="1"/>
  <c r="M170" i="13" s="1"/>
  <c r="N170" i="13" s="1"/>
  <c r="O170" i="13" s="1"/>
  <c r="P170" i="13" s="1"/>
  <c r="Q170" i="13" s="1"/>
  <c r="R170" i="13" s="1"/>
  <c r="S170" i="13" s="1"/>
  <c r="T170" i="13" s="1"/>
  <c r="U170" i="13" s="1"/>
  <c r="V170" i="13" s="1"/>
  <c r="W170" i="13" s="1"/>
  <c r="X170" i="13" s="1"/>
  <c r="Y170" i="13" s="1"/>
  <c r="Z170" i="13" s="1"/>
  <c r="AA170" i="13" s="1"/>
  <c r="AB170" i="13" s="1"/>
  <c r="AC170" i="13" s="1"/>
  <c r="AD170" i="13" s="1"/>
  <c r="AE170" i="13" s="1"/>
  <c r="AF170" i="13" s="1"/>
  <c r="AG170" i="13" s="1"/>
  <c r="AH170" i="13" s="1"/>
  <c r="E196" i="13"/>
  <c r="F196" i="13" s="1"/>
  <c r="G196" i="13" s="1"/>
  <c r="H196" i="13" s="1"/>
  <c r="I196" i="13" s="1"/>
  <c r="J196" i="13" s="1"/>
  <c r="K196" i="13" s="1"/>
  <c r="L196" i="13" s="1"/>
  <c r="M196" i="13" s="1"/>
  <c r="N196" i="13" s="1"/>
  <c r="O196" i="13" s="1"/>
  <c r="P196" i="13" s="1"/>
  <c r="Q196" i="13" s="1"/>
  <c r="R196" i="13" s="1"/>
  <c r="S196" i="13" s="1"/>
  <c r="T196" i="13" s="1"/>
  <c r="U196" i="13" s="1"/>
  <c r="V196" i="13" s="1"/>
  <c r="W196" i="13" s="1"/>
  <c r="X196" i="13" s="1"/>
  <c r="Y196" i="13" s="1"/>
  <c r="Z196" i="13" s="1"/>
  <c r="AA196" i="13" s="1"/>
  <c r="AB196" i="13" s="1"/>
  <c r="AC196" i="13" s="1"/>
  <c r="AD196" i="13" s="1"/>
  <c r="AE196" i="13" s="1"/>
  <c r="AF196" i="13" s="1"/>
  <c r="AG196" i="13" s="1"/>
  <c r="AH196" i="13" s="1"/>
  <c r="E171" i="13"/>
  <c r="F171" i="13" s="1"/>
  <c r="G171" i="13" s="1"/>
  <c r="H171" i="13" s="1"/>
  <c r="I171" i="13" s="1"/>
  <c r="J171" i="13" s="1"/>
  <c r="K171" i="13" s="1"/>
  <c r="L171" i="13" s="1"/>
  <c r="M171" i="13" s="1"/>
  <c r="N171" i="13" s="1"/>
  <c r="O171" i="13" s="1"/>
  <c r="P171" i="13" s="1"/>
  <c r="Q171" i="13" s="1"/>
  <c r="R171" i="13" s="1"/>
  <c r="S171" i="13" s="1"/>
  <c r="T171" i="13" s="1"/>
  <c r="U171" i="13" s="1"/>
  <c r="V171" i="13" s="1"/>
  <c r="W171" i="13" s="1"/>
  <c r="X171" i="13" s="1"/>
  <c r="Y171" i="13" s="1"/>
  <c r="Z171" i="13" s="1"/>
  <c r="AA171" i="13" s="1"/>
  <c r="AB171" i="13" s="1"/>
  <c r="AC171" i="13" s="1"/>
  <c r="AD171" i="13" s="1"/>
  <c r="AE171" i="13" s="1"/>
  <c r="AF171" i="13" s="1"/>
  <c r="AG171" i="13" s="1"/>
  <c r="AH171" i="13" s="1"/>
  <c r="E185" i="13"/>
  <c r="F185" i="13" s="1"/>
  <c r="G185" i="13" s="1"/>
  <c r="H185" i="13" s="1"/>
  <c r="I185" i="13" s="1"/>
  <c r="J185" i="13" s="1"/>
  <c r="K185" i="13" s="1"/>
  <c r="L185" i="13" s="1"/>
  <c r="M185" i="13" s="1"/>
  <c r="N185" i="13" s="1"/>
  <c r="O185" i="13" s="1"/>
  <c r="P185" i="13" s="1"/>
  <c r="Q185" i="13" s="1"/>
  <c r="R185" i="13" s="1"/>
  <c r="S185" i="13" s="1"/>
  <c r="T185" i="13" s="1"/>
  <c r="U185" i="13" s="1"/>
  <c r="V185" i="13" s="1"/>
  <c r="W185" i="13" s="1"/>
  <c r="X185" i="13" s="1"/>
  <c r="Y185" i="13" s="1"/>
  <c r="Z185" i="13" s="1"/>
  <c r="AA185" i="13" s="1"/>
  <c r="AB185" i="13" s="1"/>
  <c r="AC185" i="13" s="1"/>
  <c r="AD185" i="13" s="1"/>
  <c r="AE185" i="13" s="1"/>
  <c r="AF185" i="13" s="1"/>
  <c r="AG185" i="13" s="1"/>
  <c r="AH185" i="13" s="1"/>
  <c r="E160" i="13"/>
  <c r="F160" i="13" s="1"/>
  <c r="G160" i="13" s="1"/>
  <c r="H160" i="13" s="1"/>
  <c r="I160" i="13" s="1"/>
  <c r="J160" i="13" s="1"/>
  <c r="K160" i="13" s="1"/>
  <c r="L160" i="13" s="1"/>
  <c r="M160" i="13" s="1"/>
  <c r="N160" i="13" s="1"/>
  <c r="O160" i="13" s="1"/>
  <c r="P160" i="13" s="1"/>
  <c r="Q160" i="13" s="1"/>
  <c r="R160" i="13" s="1"/>
  <c r="S160" i="13" s="1"/>
  <c r="T160" i="13" s="1"/>
  <c r="U160" i="13" s="1"/>
  <c r="V160" i="13" s="1"/>
  <c r="W160" i="13" s="1"/>
  <c r="X160" i="13" s="1"/>
  <c r="Y160" i="13" s="1"/>
  <c r="Z160" i="13" s="1"/>
  <c r="AA160" i="13" s="1"/>
  <c r="AB160" i="13" s="1"/>
  <c r="AC160" i="13" s="1"/>
  <c r="AD160" i="13" s="1"/>
  <c r="AE160" i="13" s="1"/>
  <c r="AF160" i="13" s="1"/>
  <c r="AG160" i="13" s="1"/>
  <c r="AH160" i="13" s="1"/>
  <c r="E194" i="13"/>
  <c r="F194" i="13" s="1"/>
  <c r="G194" i="13" s="1"/>
  <c r="H194" i="13" s="1"/>
  <c r="I194" i="13" s="1"/>
  <c r="J194" i="13" s="1"/>
  <c r="K194" i="13" s="1"/>
  <c r="L194" i="13" s="1"/>
  <c r="M194" i="13" s="1"/>
  <c r="N194" i="13" s="1"/>
  <c r="O194" i="13" s="1"/>
  <c r="P194" i="13" s="1"/>
  <c r="Q194" i="13" s="1"/>
  <c r="R194" i="13" s="1"/>
  <c r="S194" i="13" s="1"/>
  <c r="T194" i="13" s="1"/>
  <c r="U194" i="13" s="1"/>
  <c r="V194" i="13" s="1"/>
  <c r="W194" i="13" s="1"/>
  <c r="X194" i="13" s="1"/>
  <c r="Y194" i="13" s="1"/>
  <c r="Z194" i="13" s="1"/>
  <c r="AA194" i="13" s="1"/>
  <c r="AB194" i="13" s="1"/>
  <c r="AC194" i="13" s="1"/>
  <c r="AD194" i="13" s="1"/>
  <c r="AE194" i="13" s="1"/>
  <c r="AF194" i="13" s="1"/>
  <c r="AG194" i="13" s="1"/>
  <c r="AH194" i="13" s="1"/>
  <c r="E165" i="13"/>
  <c r="F165" i="13" s="1"/>
  <c r="G165" i="13" s="1"/>
  <c r="H165" i="13" s="1"/>
  <c r="I165" i="13" s="1"/>
  <c r="J165" i="13" s="1"/>
  <c r="K165" i="13" s="1"/>
  <c r="L165" i="13" s="1"/>
  <c r="M165" i="13" s="1"/>
  <c r="N165" i="13" s="1"/>
  <c r="O165" i="13" s="1"/>
  <c r="P165" i="13" s="1"/>
  <c r="Q165" i="13" s="1"/>
  <c r="R165" i="13" s="1"/>
  <c r="S165" i="13" s="1"/>
  <c r="T165" i="13" s="1"/>
  <c r="U165" i="13" s="1"/>
  <c r="V165" i="13" s="1"/>
  <c r="W165" i="13" s="1"/>
  <c r="X165" i="13" s="1"/>
  <c r="Y165" i="13" s="1"/>
  <c r="Z165" i="13" s="1"/>
  <c r="AA165" i="13" s="1"/>
  <c r="AB165" i="13" s="1"/>
  <c r="AC165" i="13" s="1"/>
  <c r="AD165" i="13" s="1"/>
  <c r="AE165" i="13" s="1"/>
  <c r="AF165" i="13" s="1"/>
  <c r="AG165" i="13" s="1"/>
  <c r="AH165" i="13" s="1"/>
  <c r="E195" i="13"/>
  <c r="F195" i="13" s="1"/>
  <c r="G195" i="13" s="1"/>
  <c r="H195" i="13" s="1"/>
  <c r="I195" i="13" s="1"/>
  <c r="J195" i="13" s="1"/>
  <c r="K195" i="13" s="1"/>
  <c r="L195" i="13" s="1"/>
  <c r="M195" i="13" s="1"/>
  <c r="N195" i="13" s="1"/>
  <c r="O195" i="13" s="1"/>
  <c r="P195" i="13" s="1"/>
  <c r="Q195" i="13" s="1"/>
  <c r="R195" i="13" s="1"/>
  <c r="S195" i="13" s="1"/>
  <c r="T195" i="13" s="1"/>
  <c r="U195" i="13" s="1"/>
  <c r="V195" i="13" s="1"/>
  <c r="W195" i="13" s="1"/>
  <c r="X195" i="13" s="1"/>
  <c r="Y195" i="13" s="1"/>
  <c r="Z195" i="13" s="1"/>
  <c r="AA195" i="13" s="1"/>
  <c r="AB195" i="13" s="1"/>
  <c r="AC195" i="13" s="1"/>
  <c r="AD195" i="13" s="1"/>
  <c r="AE195" i="13" s="1"/>
  <c r="AF195" i="13" s="1"/>
  <c r="AG195" i="13" s="1"/>
  <c r="AH195" i="13" s="1"/>
  <c r="E158" i="13"/>
  <c r="F158" i="13" s="1"/>
  <c r="G158" i="13" s="1"/>
  <c r="H158" i="13" s="1"/>
  <c r="I158" i="13" s="1"/>
  <c r="J158" i="13" s="1"/>
  <c r="K158" i="13" s="1"/>
  <c r="L158" i="13" s="1"/>
  <c r="M158" i="13" s="1"/>
  <c r="N158" i="13" s="1"/>
  <c r="O158" i="13" s="1"/>
  <c r="P158" i="13" s="1"/>
  <c r="Q158" i="13" s="1"/>
  <c r="R158" i="13" s="1"/>
  <c r="S158" i="13" s="1"/>
  <c r="T158" i="13" s="1"/>
  <c r="U158" i="13" s="1"/>
  <c r="V158" i="13" s="1"/>
  <c r="W158" i="13" s="1"/>
  <c r="X158" i="13" s="1"/>
  <c r="Y158" i="13" s="1"/>
  <c r="Z158" i="13" s="1"/>
  <c r="AA158" i="13" s="1"/>
  <c r="AB158" i="13" s="1"/>
  <c r="AC158" i="13" s="1"/>
  <c r="AD158" i="13" s="1"/>
  <c r="AE158" i="13" s="1"/>
  <c r="AF158" i="13" s="1"/>
  <c r="AG158" i="13" s="1"/>
  <c r="AH158" i="13" s="1"/>
  <c r="E207" i="13"/>
  <c r="F207" i="13" s="1"/>
  <c r="G207" i="13" s="1"/>
  <c r="H207" i="13" s="1"/>
  <c r="I207" i="13" s="1"/>
  <c r="J207" i="13" s="1"/>
  <c r="K207" i="13" s="1"/>
  <c r="L207" i="13" s="1"/>
  <c r="M207" i="13" s="1"/>
  <c r="N207" i="13" s="1"/>
  <c r="O207" i="13" s="1"/>
  <c r="P207" i="13" s="1"/>
  <c r="Q207" i="13" s="1"/>
  <c r="R207" i="13" s="1"/>
  <c r="S207" i="13" s="1"/>
  <c r="T207" i="13" s="1"/>
  <c r="U207" i="13" s="1"/>
  <c r="V207" i="13" s="1"/>
  <c r="W207" i="13" s="1"/>
  <c r="X207" i="13" s="1"/>
  <c r="Y207" i="13" s="1"/>
  <c r="Z207" i="13" s="1"/>
  <c r="AA207" i="13" s="1"/>
  <c r="AB207" i="13" s="1"/>
  <c r="AC207" i="13" s="1"/>
  <c r="AD207" i="13" s="1"/>
  <c r="AE207" i="13" s="1"/>
  <c r="AF207" i="13" s="1"/>
  <c r="AG207" i="13" s="1"/>
  <c r="AH207" i="13" s="1"/>
  <c r="E202" i="13"/>
  <c r="F202" i="13" s="1"/>
  <c r="G202" i="13" s="1"/>
  <c r="H202" i="13" s="1"/>
  <c r="I202" i="13" s="1"/>
  <c r="J202" i="13" s="1"/>
  <c r="K202" i="13" s="1"/>
  <c r="L202" i="13" s="1"/>
  <c r="M202" i="13" s="1"/>
  <c r="N202" i="13" s="1"/>
  <c r="O202" i="13" s="1"/>
  <c r="P202" i="13" s="1"/>
  <c r="Q202" i="13" s="1"/>
  <c r="R202" i="13" s="1"/>
  <c r="S202" i="13" s="1"/>
  <c r="T202" i="13" s="1"/>
  <c r="U202" i="13" s="1"/>
  <c r="V202" i="13" s="1"/>
  <c r="W202" i="13" s="1"/>
  <c r="X202" i="13" s="1"/>
  <c r="Y202" i="13" s="1"/>
  <c r="Z202" i="13" s="1"/>
  <c r="AA202" i="13" s="1"/>
  <c r="AB202" i="13" s="1"/>
  <c r="AC202" i="13" s="1"/>
  <c r="AD202" i="13" s="1"/>
  <c r="AE202" i="13" s="1"/>
  <c r="AF202" i="13" s="1"/>
  <c r="AG202" i="13" s="1"/>
  <c r="AH202" i="13" s="1"/>
  <c r="E173" i="13"/>
  <c r="F173" i="13" s="1"/>
  <c r="G173" i="13" s="1"/>
  <c r="H173" i="13" s="1"/>
  <c r="I173" i="13" s="1"/>
  <c r="J173" i="13" s="1"/>
  <c r="K173" i="13" s="1"/>
  <c r="L173" i="13" s="1"/>
  <c r="M173" i="13" s="1"/>
  <c r="N173" i="13" s="1"/>
  <c r="O173" i="13" s="1"/>
  <c r="P173" i="13" s="1"/>
  <c r="Q173" i="13" s="1"/>
  <c r="R173" i="13" s="1"/>
  <c r="S173" i="13" s="1"/>
  <c r="T173" i="13" s="1"/>
  <c r="U173" i="13" s="1"/>
  <c r="V173" i="13" s="1"/>
  <c r="W173" i="13" s="1"/>
  <c r="X173" i="13" s="1"/>
  <c r="Y173" i="13" s="1"/>
  <c r="Z173" i="13" s="1"/>
  <c r="AA173" i="13" s="1"/>
  <c r="AB173" i="13" s="1"/>
  <c r="AC173" i="13" s="1"/>
  <c r="AD173" i="13" s="1"/>
  <c r="AE173" i="13" s="1"/>
  <c r="AF173" i="13" s="1"/>
  <c r="AG173" i="13" s="1"/>
  <c r="AH173" i="13" s="1"/>
  <c r="E164" i="13"/>
  <c r="F164" i="13" s="1"/>
  <c r="G164" i="13" s="1"/>
  <c r="H164" i="13" s="1"/>
  <c r="I164" i="13" s="1"/>
  <c r="J164" i="13" s="1"/>
  <c r="K164" i="13" s="1"/>
  <c r="L164" i="13" s="1"/>
  <c r="M164" i="13" s="1"/>
  <c r="N164" i="13" s="1"/>
  <c r="O164" i="13" s="1"/>
  <c r="P164" i="13" s="1"/>
  <c r="Q164" i="13" s="1"/>
  <c r="R164" i="13" s="1"/>
  <c r="S164" i="13" s="1"/>
  <c r="T164" i="13" s="1"/>
  <c r="U164" i="13" s="1"/>
  <c r="V164" i="13" s="1"/>
  <c r="W164" i="13" s="1"/>
  <c r="X164" i="13" s="1"/>
  <c r="Y164" i="13" s="1"/>
  <c r="Z164" i="13" s="1"/>
  <c r="AA164" i="13" s="1"/>
  <c r="AB164" i="13" s="1"/>
  <c r="AC164" i="13" s="1"/>
  <c r="AD164" i="13" s="1"/>
  <c r="AE164" i="13" s="1"/>
  <c r="AF164" i="13" s="1"/>
  <c r="AG164" i="13" s="1"/>
  <c r="AH164" i="13" s="1"/>
  <c r="E155" i="13"/>
  <c r="F155" i="13" s="1"/>
  <c r="G155" i="13" s="1"/>
  <c r="H155" i="13" s="1"/>
  <c r="I155" i="13" s="1"/>
  <c r="J155" i="13" s="1"/>
  <c r="K155" i="13" s="1"/>
  <c r="L155" i="13" s="1"/>
  <c r="M155" i="13" s="1"/>
  <c r="N155" i="13" s="1"/>
  <c r="O155" i="13" s="1"/>
  <c r="P155" i="13" s="1"/>
  <c r="Q155" i="13" s="1"/>
  <c r="R155" i="13" s="1"/>
  <c r="S155" i="13" s="1"/>
  <c r="T155" i="13" s="1"/>
  <c r="U155" i="13" s="1"/>
  <c r="V155" i="13" s="1"/>
  <c r="W155" i="13" s="1"/>
  <c r="X155" i="13" s="1"/>
  <c r="Y155" i="13" s="1"/>
  <c r="Z155" i="13" s="1"/>
  <c r="AA155" i="13" s="1"/>
  <c r="AB155" i="13" s="1"/>
  <c r="AC155" i="13" s="1"/>
  <c r="AD155" i="13" s="1"/>
  <c r="AE155" i="13" s="1"/>
  <c r="AF155" i="13" s="1"/>
  <c r="AG155" i="13" s="1"/>
  <c r="AH155" i="13" s="1"/>
  <c r="E201" i="13"/>
  <c r="F201" i="13" s="1"/>
  <c r="G201" i="13" s="1"/>
  <c r="H201" i="13" s="1"/>
  <c r="I201" i="13" s="1"/>
  <c r="J201" i="13" s="1"/>
  <c r="K201" i="13" s="1"/>
  <c r="L201" i="13" s="1"/>
  <c r="M201" i="13" s="1"/>
  <c r="N201" i="13" s="1"/>
  <c r="O201" i="13" s="1"/>
  <c r="P201" i="13" s="1"/>
  <c r="Q201" i="13" s="1"/>
  <c r="R201" i="13" s="1"/>
  <c r="S201" i="13" s="1"/>
  <c r="T201" i="13" s="1"/>
  <c r="U201" i="13" s="1"/>
  <c r="V201" i="13" s="1"/>
  <c r="W201" i="13" s="1"/>
  <c r="X201" i="13" s="1"/>
  <c r="Y201" i="13" s="1"/>
  <c r="Z201" i="13" s="1"/>
  <c r="AA201" i="13" s="1"/>
  <c r="AB201" i="13" s="1"/>
  <c r="AC201" i="13" s="1"/>
  <c r="AD201" i="13" s="1"/>
  <c r="AE201" i="13" s="1"/>
  <c r="AF201" i="13" s="1"/>
  <c r="AG201" i="13" s="1"/>
  <c r="AH201" i="13" s="1"/>
  <c r="E192" i="13"/>
  <c r="F192" i="13" s="1"/>
  <c r="G192" i="13" s="1"/>
  <c r="H192" i="13" s="1"/>
  <c r="I192" i="13" s="1"/>
  <c r="J192" i="13" s="1"/>
  <c r="K192" i="13" s="1"/>
  <c r="L192" i="13" s="1"/>
  <c r="M192" i="13" s="1"/>
  <c r="N192" i="13" s="1"/>
  <c r="O192" i="13" s="1"/>
  <c r="P192" i="13" s="1"/>
  <c r="Q192" i="13" s="1"/>
  <c r="R192" i="13" s="1"/>
  <c r="S192" i="13" s="1"/>
  <c r="T192" i="13" s="1"/>
  <c r="U192" i="13" s="1"/>
  <c r="V192" i="13" s="1"/>
  <c r="W192" i="13" s="1"/>
  <c r="X192" i="13" s="1"/>
  <c r="Y192" i="13" s="1"/>
  <c r="Z192" i="13" s="1"/>
  <c r="AA192" i="13" s="1"/>
  <c r="AB192" i="13" s="1"/>
  <c r="AC192" i="13" s="1"/>
  <c r="AD192" i="13" s="1"/>
  <c r="AE192" i="13" s="1"/>
  <c r="AF192" i="13" s="1"/>
  <c r="AG192" i="13" s="1"/>
  <c r="AH192" i="13" s="1"/>
  <c r="E183" i="13"/>
  <c r="F183" i="13" s="1"/>
  <c r="G183" i="13" s="1"/>
  <c r="H183" i="13" s="1"/>
  <c r="I183" i="13" s="1"/>
  <c r="J183" i="13" s="1"/>
  <c r="K183" i="13" s="1"/>
  <c r="L183" i="13" s="1"/>
  <c r="M183" i="13" s="1"/>
  <c r="N183" i="13" s="1"/>
  <c r="O183" i="13" s="1"/>
  <c r="P183" i="13" s="1"/>
  <c r="Q183" i="13" s="1"/>
  <c r="R183" i="13" s="1"/>
  <c r="S183" i="13" s="1"/>
  <c r="T183" i="13" s="1"/>
  <c r="U183" i="13" s="1"/>
  <c r="V183" i="13" s="1"/>
  <c r="W183" i="13" s="1"/>
  <c r="X183" i="13" s="1"/>
  <c r="Y183" i="13" s="1"/>
  <c r="Z183" i="13" s="1"/>
  <c r="AA183" i="13" s="1"/>
  <c r="AB183" i="13" s="1"/>
  <c r="AC183" i="13" s="1"/>
  <c r="AD183" i="13" s="1"/>
  <c r="AE183" i="13" s="1"/>
  <c r="AF183" i="13" s="1"/>
  <c r="AG183" i="13" s="1"/>
  <c r="AH183" i="13" s="1"/>
  <c r="E178" i="13"/>
  <c r="F178" i="13" s="1"/>
  <c r="G178" i="13" s="1"/>
  <c r="H178" i="13" s="1"/>
  <c r="I178" i="13" s="1"/>
  <c r="J178" i="13" s="1"/>
  <c r="K178" i="13" s="1"/>
  <c r="L178" i="13" s="1"/>
  <c r="M178" i="13" s="1"/>
  <c r="N178" i="13" s="1"/>
  <c r="O178" i="13" s="1"/>
  <c r="P178" i="13" s="1"/>
  <c r="Q178" i="13" s="1"/>
  <c r="R178" i="13" s="1"/>
  <c r="S178" i="13" s="1"/>
  <c r="T178" i="13" s="1"/>
  <c r="U178" i="13" s="1"/>
  <c r="V178" i="13" s="1"/>
  <c r="W178" i="13" s="1"/>
  <c r="X178" i="13" s="1"/>
  <c r="Y178" i="13" s="1"/>
  <c r="Z178" i="13" s="1"/>
  <c r="AA178" i="13" s="1"/>
  <c r="AB178" i="13" s="1"/>
  <c r="AC178" i="13" s="1"/>
  <c r="AD178" i="13" s="1"/>
  <c r="AE178" i="13" s="1"/>
  <c r="AF178" i="13" s="1"/>
  <c r="AG178" i="13" s="1"/>
  <c r="AH178" i="13" s="1"/>
  <c r="E181" i="13"/>
  <c r="F181" i="13" s="1"/>
  <c r="G181" i="13" s="1"/>
  <c r="H181" i="13" s="1"/>
  <c r="I181" i="13" s="1"/>
  <c r="J181" i="13" s="1"/>
  <c r="K181" i="13" s="1"/>
  <c r="L181" i="13" s="1"/>
  <c r="M181" i="13" s="1"/>
  <c r="N181" i="13" s="1"/>
  <c r="O181" i="13" s="1"/>
  <c r="P181" i="13" s="1"/>
  <c r="Q181" i="13" s="1"/>
  <c r="R181" i="13" s="1"/>
  <c r="S181" i="13" s="1"/>
  <c r="T181" i="13" s="1"/>
  <c r="U181" i="13" s="1"/>
  <c r="V181" i="13" s="1"/>
  <c r="W181" i="13" s="1"/>
  <c r="X181" i="13" s="1"/>
  <c r="Y181" i="13" s="1"/>
  <c r="Z181" i="13" s="1"/>
  <c r="AA181" i="13" s="1"/>
  <c r="AB181" i="13" s="1"/>
  <c r="AC181" i="13" s="1"/>
  <c r="AD181" i="13" s="1"/>
  <c r="AE181" i="13" s="1"/>
  <c r="AF181" i="13" s="1"/>
  <c r="AG181" i="13" s="1"/>
  <c r="AH181" i="13" s="1"/>
  <c r="E172" i="13"/>
  <c r="F172" i="13" s="1"/>
  <c r="G172" i="13" s="1"/>
  <c r="H172" i="13" s="1"/>
  <c r="I172" i="13" s="1"/>
  <c r="J172" i="13" s="1"/>
  <c r="K172" i="13" s="1"/>
  <c r="L172" i="13" s="1"/>
  <c r="M172" i="13" s="1"/>
  <c r="N172" i="13" s="1"/>
  <c r="O172" i="13" s="1"/>
  <c r="P172" i="13" s="1"/>
  <c r="Q172" i="13" s="1"/>
  <c r="R172" i="13" s="1"/>
  <c r="S172" i="13" s="1"/>
  <c r="T172" i="13" s="1"/>
  <c r="U172" i="13" s="1"/>
  <c r="V172" i="13" s="1"/>
  <c r="W172" i="13" s="1"/>
  <c r="X172" i="13" s="1"/>
  <c r="Y172" i="13" s="1"/>
  <c r="Z172" i="13" s="1"/>
  <c r="AA172" i="13" s="1"/>
  <c r="AB172" i="13" s="1"/>
  <c r="AC172" i="13" s="1"/>
  <c r="AD172" i="13" s="1"/>
  <c r="AE172" i="13" s="1"/>
  <c r="AF172" i="13" s="1"/>
  <c r="AG172" i="13" s="1"/>
  <c r="AH172" i="13" s="1"/>
  <c r="E163" i="13"/>
  <c r="F163" i="13" s="1"/>
  <c r="G163" i="13" s="1"/>
  <c r="H163" i="13" s="1"/>
  <c r="I163" i="13" s="1"/>
  <c r="J163" i="13" s="1"/>
  <c r="K163" i="13" s="1"/>
  <c r="L163" i="13" s="1"/>
  <c r="M163" i="13" s="1"/>
  <c r="N163" i="13" s="1"/>
  <c r="O163" i="13" s="1"/>
  <c r="P163" i="13" s="1"/>
  <c r="Q163" i="13" s="1"/>
  <c r="R163" i="13" s="1"/>
  <c r="S163" i="13" s="1"/>
  <c r="T163" i="13" s="1"/>
  <c r="U163" i="13" s="1"/>
  <c r="V163" i="13" s="1"/>
  <c r="W163" i="13" s="1"/>
  <c r="X163" i="13" s="1"/>
  <c r="Y163" i="13" s="1"/>
  <c r="Z163" i="13" s="1"/>
  <c r="AA163" i="13" s="1"/>
  <c r="AB163" i="13" s="1"/>
  <c r="AC163" i="13" s="1"/>
  <c r="AD163" i="13" s="1"/>
  <c r="AE163" i="13" s="1"/>
  <c r="AF163" i="13" s="1"/>
  <c r="AG163" i="13" s="1"/>
  <c r="AH163" i="13" s="1"/>
  <c r="E186" i="13"/>
  <c r="F186" i="13" s="1"/>
  <c r="G186" i="13" s="1"/>
  <c r="H186" i="13" s="1"/>
  <c r="I186" i="13" s="1"/>
  <c r="J186" i="13" s="1"/>
  <c r="K186" i="13" s="1"/>
  <c r="L186" i="13" s="1"/>
  <c r="M186" i="13" s="1"/>
  <c r="N186" i="13" s="1"/>
  <c r="O186" i="13" s="1"/>
  <c r="P186" i="13" s="1"/>
  <c r="Q186" i="13" s="1"/>
  <c r="R186" i="13" s="1"/>
  <c r="S186" i="13" s="1"/>
  <c r="T186" i="13" s="1"/>
  <c r="U186" i="13" s="1"/>
  <c r="V186" i="13" s="1"/>
  <c r="W186" i="13" s="1"/>
  <c r="X186" i="13" s="1"/>
  <c r="Y186" i="13" s="1"/>
  <c r="Z186" i="13" s="1"/>
  <c r="AA186" i="13" s="1"/>
  <c r="AB186" i="13" s="1"/>
  <c r="AC186" i="13" s="1"/>
  <c r="AD186" i="13" s="1"/>
  <c r="AE186" i="13" s="1"/>
  <c r="AF186" i="13" s="1"/>
  <c r="AG186" i="13" s="1"/>
  <c r="AH186" i="13" s="1"/>
  <c r="AC64" i="11"/>
  <c r="AC78" i="11" s="1"/>
  <c r="AB90" i="11"/>
  <c r="AB91" i="11" s="1"/>
  <c r="P100" i="13"/>
  <c r="Z223" i="11"/>
  <c r="P99" i="13"/>
  <c r="Z217" i="11"/>
  <c r="P101" i="13"/>
  <c r="Z241" i="11"/>
  <c r="L10" i="13"/>
  <c r="V65" i="11"/>
  <c r="U71" i="11" l="1"/>
  <c r="U68" i="11"/>
  <c r="U74" i="11"/>
  <c r="V67" i="11"/>
  <c r="V73" i="11" s="1"/>
  <c r="U73" i="11"/>
  <c r="E211" i="13"/>
  <c r="E215" i="13" s="1"/>
  <c r="P95" i="11" s="1"/>
  <c r="AD64" i="11"/>
  <c r="AD78" i="11" s="1"/>
  <c r="AC90" i="11"/>
  <c r="AC91" i="11" s="1"/>
  <c r="AC66" i="11"/>
  <c r="Q101" i="13"/>
  <c r="AA241" i="11"/>
  <c r="Q99" i="13"/>
  <c r="AA217" i="11"/>
  <c r="Q100" i="13"/>
  <c r="AA223" i="11"/>
  <c r="M10" i="13"/>
  <c r="W65" i="11"/>
  <c r="F211" i="13"/>
  <c r="F215" i="13" s="1"/>
  <c r="Q95" i="11" s="1"/>
  <c r="H133" i="13"/>
  <c r="E97" i="13"/>
  <c r="P238" i="11" s="1"/>
  <c r="P240" i="11" s="1"/>
  <c r="Q240" i="11" s="1"/>
  <c r="R240" i="11" s="1"/>
  <c r="S240" i="11" s="1"/>
  <c r="E96" i="13"/>
  <c r="P235" i="11" s="1"/>
  <c r="P237" i="11" s="1"/>
  <c r="Q237" i="11" s="1"/>
  <c r="R237" i="11" s="1"/>
  <c r="S237" i="11" s="1"/>
  <c r="E95" i="13"/>
  <c r="P232" i="11" s="1"/>
  <c r="P234" i="11" s="1"/>
  <c r="Q234" i="11" s="1"/>
  <c r="R234" i="11" s="1"/>
  <c r="S234" i="11" s="1"/>
  <c r="E94" i="13"/>
  <c r="E93" i="13"/>
  <c r="P226" i="11" s="1"/>
  <c r="P228" i="11" s="1"/>
  <c r="Q228" i="11" s="1"/>
  <c r="R228" i="11" s="1"/>
  <c r="S228" i="11" s="1"/>
  <c r="E92" i="13"/>
  <c r="E91" i="13"/>
  <c r="P220" i="11" s="1"/>
  <c r="P222" i="11" s="1"/>
  <c r="Q222" i="11" s="1"/>
  <c r="R222" i="11" s="1"/>
  <c r="S222" i="11" s="1"/>
  <c r="E90" i="13"/>
  <c r="E89" i="13"/>
  <c r="T218" i="11" s="1"/>
  <c r="E88" i="13"/>
  <c r="P214" i="11" s="1"/>
  <c r="P216" i="11" s="1"/>
  <c r="Q216" i="11" s="1"/>
  <c r="R216" i="11" s="1"/>
  <c r="S216" i="11" s="1"/>
  <c r="E87" i="13"/>
  <c r="E86" i="13"/>
  <c r="P208" i="11"/>
  <c r="P205" i="11"/>
  <c r="P207" i="11" s="1"/>
  <c r="A83" i="11"/>
  <c r="A84" i="11"/>
  <c r="A85" i="11"/>
  <c r="F107" i="13"/>
  <c r="G107" i="13" s="1"/>
  <c r="H107" i="13" s="1"/>
  <c r="I107" i="13" s="1"/>
  <c r="J107" i="13" s="1"/>
  <c r="K107" i="13" s="1"/>
  <c r="L107" i="13" s="1"/>
  <c r="M107" i="13" s="1"/>
  <c r="N107" i="13" s="1"/>
  <c r="O107" i="13" s="1"/>
  <c r="P107" i="13" s="1"/>
  <c r="Q107" i="13" s="1"/>
  <c r="R107" i="13" s="1"/>
  <c r="S107" i="13" s="1"/>
  <c r="T107" i="13" s="1"/>
  <c r="U107" i="13" s="1"/>
  <c r="V107" i="13" s="1"/>
  <c r="W107" i="13" s="1"/>
  <c r="X107" i="13" s="1"/>
  <c r="Y107" i="13" s="1"/>
  <c r="Z107" i="13" s="1"/>
  <c r="AA107" i="13" s="1"/>
  <c r="AB107" i="13" s="1"/>
  <c r="AC107" i="13" s="1"/>
  <c r="AD107" i="13" s="1"/>
  <c r="AE107" i="13" s="1"/>
  <c r="AF107" i="13" s="1"/>
  <c r="AG107" i="13" s="1"/>
  <c r="AH107" i="13" s="1"/>
  <c r="F118" i="13"/>
  <c r="G118" i="13" s="1"/>
  <c r="H118" i="13" s="1"/>
  <c r="I118" i="13" s="1"/>
  <c r="J118" i="13" s="1"/>
  <c r="K118" i="13" s="1"/>
  <c r="L118" i="13" s="1"/>
  <c r="M118" i="13" s="1"/>
  <c r="N118" i="13" s="1"/>
  <c r="O118" i="13" s="1"/>
  <c r="P118" i="13" s="1"/>
  <c r="Q118" i="13" s="1"/>
  <c r="R118" i="13" s="1"/>
  <c r="S118" i="13" s="1"/>
  <c r="T118" i="13" s="1"/>
  <c r="U118" i="13" s="1"/>
  <c r="V118" i="13" s="1"/>
  <c r="W118" i="13" s="1"/>
  <c r="X118" i="13" s="1"/>
  <c r="Y118" i="13" s="1"/>
  <c r="Z118" i="13" s="1"/>
  <c r="AA118" i="13" s="1"/>
  <c r="AB118" i="13" s="1"/>
  <c r="AC118" i="13" s="1"/>
  <c r="AD118" i="13" s="1"/>
  <c r="AE118" i="13" s="1"/>
  <c r="AF118" i="13" s="1"/>
  <c r="AG118" i="13" s="1"/>
  <c r="AH118" i="13" s="1"/>
  <c r="AD66" i="11" l="1"/>
  <c r="E77" i="13"/>
  <c r="F77" i="13" s="1"/>
  <c r="E37" i="13"/>
  <c r="F37" i="13" s="1"/>
  <c r="G37" i="13" s="1"/>
  <c r="H37" i="13" s="1"/>
  <c r="I37" i="13" s="1"/>
  <c r="J37" i="13" s="1"/>
  <c r="K37" i="13" s="1"/>
  <c r="L37" i="13" s="1"/>
  <c r="M37" i="13" s="1"/>
  <c r="N37" i="13" s="1"/>
  <c r="O37" i="13" s="1"/>
  <c r="P37" i="13" s="1"/>
  <c r="Q37" i="13" s="1"/>
  <c r="R37" i="13" s="1"/>
  <c r="S37" i="13" s="1"/>
  <c r="T37" i="13" s="1"/>
  <c r="U37" i="13" s="1"/>
  <c r="V37" i="13" s="1"/>
  <c r="W37" i="13" s="1"/>
  <c r="X37" i="13" s="1"/>
  <c r="Y37" i="13" s="1"/>
  <c r="Z37" i="13" s="1"/>
  <c r="AA37" i="13" s="1"/>
  <c r="AB37" i="13" s="1"/>
  <c r="AC37" i="13" s="1"/>
  <c r="AD37" i="13" s="1"/>
  <c r="AE37" i="13" s="1"/>
  <c r="AF37" i="13" s="1"/>
  <c r="AG37" i="13" s="1"/>
  <c r="AH37" i="13" s="1"/>
  <c r="E75" i="13"/>
  <c r="E35" i="13"/>
  <c r="V74" i="11"/>
  <c r="V68" i="11"/>
  <c r="W67" i="11"/>
  <c r="W71" i="11" s="1"/>
  <c r="V72" i="11"/>
  <c r="V71" i="11"/>
  <c r="P211" i="11"/>
  <c r="P213" i="11" s="1"/>
  <c r="Q213" i="11" s="1"/>
  <c r="R213" i="11" s="1"/>
  <c r="S213" i="11" s="1"/>
  <c r="U218" i="11"/>
  <c r="V218" i="11" s="1"/>
  <c r="W218" i="11" s="1"/>
  <c r="X218" i="11" s="1"/>
  <c r="Y218" i="11" s="1"/>
  <c r="Z218" i="11" s="1"/>
  <c r="AA218" i="11" s="1"/>
  <c r="AB218" i="11" s="1"/>
  <c r="AC218" i="11" s="1"/>
  <c r="T219" i="11"/>
  <c r="Q207" i="11"/>
  <c r="R207" i="11" s="1"/>
  <c r="S207" i="11" s="1"/>
  <c r="AE64" i="11"/>
  <c r="AE78" i="11" s="1"/>
  <c r="AD90" i="11"/>
  <c r="AD91" i="11" s="1"/>
  <c r="P246" i="11"/>
  <c r="R100" i="13"/>
  <c r="AB223" i="11"/>
  <c r="R101" i="13"/>
  <c r="AB241" i="11"/>
  <c r="R99" i="13"/>
  <c r="AB217" i="11"/>
  <c r="P244" i="11"/>
  <c r="P229" i="11"/>
  <c r="P231" i="11" s="1"/>
  <c r="Q231" i="11" s="1"/>
  <c r="R231" i="11" s="1"/>
  <c r="S231" i="11" s="1"/>
  <c r="N10" i="13"/>
  <c r="X65" i="11"/>
  <c r="T224" i="11"/>
  <c r="G211" i="13"/>
  <c r="G215" i="13" s="1"/>
  <c r="R95" i="11" s="1"/>
  <c r="I133" i="13"/>
  <c r="C109" i="13"/>
  <c r="C110" i="13"/>
  <c r="C111" i="13"/>
  <c r="C108" i="13"/>
  <c r="G77" i="13" l="1"/>
  <c r="W74" i="11"/>
  <c r="W73" i="11"/>
  <c r="W68" i="11"/>
  <c r="W72" i="11"/>
  <c r="X67" i="11"/>
  <c r="X73" i="11" s="1"/>
  <c r="U219" i="11"/>
  <c r="V219" i="11" s="1"/>
  <c r="W219" i="11" s="1"/>
  <c r="X219" i="11" s="1"/>
  <c r="Y219" i="11" s="1"/>
  <c r="Z219" i="11" s="1"/>
  <c r="AA219" i="11" s="1"/>
  <c r="AB219" i="11" s="1"/>
  <c r="AC219" i="11" s="1"/>
  <c r="U224" i="11"/>
  <c r="V224" i="11" s="1"/>
  <c r="W224" i="11" s="1"/>
  <c r="X224" i="11" s="1"/>
  <c r="Y224" i="11" s="1"/>
  <c r="Z224" i="11" s="1"/>
  <c r="AA224" i="11" s="1"/>
  <c r="AB224" i="11" s="1"/>
  <c r="AC224" i="11" s="1"/>
  <c r="AD224" i="11" s="1"/>
  <c r="AE224" i="11" s="1"/>
  <c r="AF224" i="11" s="1"/>
  <c r="AG224" i="11" s="1"/>
  <c r="AH224" i="11" s="1"/>
  <c r="T225" i="11"/>
  <c r="P245" i="11"/>
  <c r="AF64" i="11"/>
  <c r="AF78" i="11" s="1"/>
  <c r="AE90" i="11"/>
  <c r="AE91" i="11" s="1"/>
  <c r="AE66" i="11"/>
  <c r="P247" i="11"/>
  <c r="S101" i="13"/>
  <c r="AC241" i="11"/>
  <c r="AD242" i="11" s="1"/>
  <c r="S99" i="13"/>
  <c r="AC217" i="11"/>
  <c r="AD218" i="11" s="1"/>
  <c r="AE218" i="11" s="1"/>
  <c r="AF218" i="11" s="1"/>
  <c r="AG218" i="11" s="1"/>
  <c r="AH218" i="11" s="1"/>
  <c r="S100" i="13"/>
  <c r="AC223" i="11"/>
  <c r="O10" i="13"/>
  <c r="Y65" i="11"/>
  <c r="H211" i="13"/>
  <c r="H215" i="13" s="1"/>
  <c r="S95" i="11" s="1"/>
  <c r="J133" i="13"/>
  <c r="C194" i="10"/>
  <c r="C91" i="13" s="1"/>
  <c r="D194" i="10"/>
  <c r="D91" i="13" s="1"/>
  <c r="D193" i="10"/>
  <c r="C193" i="10"/>
  <c r="C190" i="10"/>
  <c r="D190" i="10"/>
  <c r="C191" i="10"/>
  <c r="C88" i="13" s="1"/>
  <c r="D191" i="10"/>
  <c r="D88" i="13" s="1"/>
  <c r="C196" i="10"/>
  <c r="C93" i="13" s="1"/>
  <c r="D196" i="10"/>
  <c r="D93" i="13" s="1"/>
  <c r="C197" i="10"/>
  <c r="C94" i="13" s="1"/>
  <c r="D197" i="10"/>
  <c r="D94" i="13" s="1"/>
  <c r="C198" i="10"/>
  <c r="C95" i="13" s="1"/>
  <c r="D198" i="10"/>
  <c r="D95" i="13" s="1"/>
  <c r="C200" i="10"/>
  <c r="C97" i="13" s="1"/>
  <c r="D200" i="10"/>
  <c r="D97" i="13" s="1"/>
  <c r="D187" i="10"/>
  <c r="D84" i="13" s="1"/>
  <c r="C187" i="10"/>
  <c r="C84" i="13" s="1"/>
  <c r="V164" i="10"/>
  <c r="Y164" i="10"/>
  <c r="R164" i="10"/>
  <c r="G164" i="10"/>
  <c r="I164" i="10"/>
  <c r="D87" i="13" l="1"/>
  <c r="C87" i="13"/>
  <c r="D90" i="13"/>
  <c r="C90" i="13"/>
  <c r="H77" i="13"/>
  <c r="AD219" i="11"/>
  <c r="AE219" i="11" s="1"/>
  <c r="AF219" i="11" s="1"/>
  <c r="AG219" i="11" s="1"/>
  <c r="AH219" i="11" s="1"/>
  <c r="AE242" i="11"/>
  <c r="AF242" i="11" s="1"/>
  <c r="AG242" i="11" s="1"/>
  <c r="AH242" i="11" s="1"/>
  <c r="AD243" i="11"/>
  <c r="X72" i="11"/>
  <c r="X68" i="11"/>
  <c r="X71" i="11"/>
  <c r="X74" i="11"/>
  <c r="Y67" i="11"/>
  <c r="Y72" i="11" s="1"/>
  <c r="AF66" i="11"/>
  <c r="U225" i="11"/>
  <c r="V225" i="11" s="1"/>
  <c r="W225" i="11" s="1"/>
  <c r="X225" i="11" s="1"/>
  <c r="Y225" i="11" s="1"/>
  <c r="Z225" i="11" s="1"/>
  <c r="AA225" i="11" s="1"/>
  <c r="AB225" i="11" s="1"/>
  <c r="AC225" i="11" s="1"/>
  <c r="AD225" i="11" s="1"/>
  <c r="AE225" i="11" s="1"/>
  <c r="AF225" i="11" s="1"/>
  <c r="AG225" i="11" s="1"/>
  <c r="AH225" i="11" s="1"/>
  <c r="AG64" i="11"/>
  <c r="AG78" i="11" s="1"/>
  <c r="AF90" i="11"/>
  <c r="AF91" i="11" s="1"/>
  <c r="T100" i="13"/>
  <c r="AD223" i="11"/>
  <c r="T101" i="13"/>
  <c r="AD241" i="11"/>
  <c r="T99" i="13"/>
  <c r="AD217" i="11"/>
  <c r="P10" i="13"/>
  <c r="Z65" i="11"/>
  <c r="I211" i="13"/>
  <c r="I215" i="13" s="1"/>
  <c r="T95" i="11" s="1"/>
  <c r="K133" i="13"/>
  <c r="Z5" i="13"/>
  <c r="AA5" i="13"/>
  <c r="AB5" i="13"/>
  <c r="AC5" i="13"/>
  <c r="AD5" i="13"/>
  <c r="AE5" i="13"/>
  <c r="AF5" i="13"/>
  <c r="AG5" i="13"/>
  <c r="AH5" i="13"/>
  <c r="Y5" i="13"/>
  <c r="P5" i="13"/>
  <c r="Q5" i="13"/>
  <c r="R5" i="13"/>
  <c r="S5" i="13"/>
  <c r="T5" i="13"/>
  <c r="U5" i="13"/>
  <c r="V5" i="13"/>
  <c r="W5" i="13"/>
  <c r="X5" i="13"/>
  <c r="O5" i="13"/>
  <c r="F5" i="13"/>
  <c r="G5" i="13"/>
  <c r="H5" i="13"/>
  <c r="I5" i="13"/>
  <c r="J5" i="13"/>
  <c r="K5" i="13"/>
  <c r="L5" i="13"/>
  <c r="M5" i="13"/>
  <c r="N5" i="13"/>
  <c r="E5" i="13"/>
  <c r="D6" i="13"/>
  <c r="I77" i="13" l="1"/>
  <c r="AE243" i="11"/>
  <c r="AF243" i="11" s="1"/>
  <c r="AG243" i="11" s="1"/>
  <c r="AH243" i="11" s="1"/>
  <c r="Y68" i="11"/>
  <c r="Y71" i="11"/>
  <c r="Y74" i="11"/>
  <c r="Z67" i="11"/>
  <c r="Z72" i="11" s="1"/>
  <c r="Y73" i="11"/>
  <c r="AH64" i="11"/>
  <c r="AH78" i="11" s="1"/>
  <c r="AG90" i="11"/>
  <c r="AG91" i="11" s="1"/>
  <c r="AG66" i="11"/>
  <c r="AH66" i="11" s="1"/>
  <c r="U101" i="13"/>
  <c r="AE241" i="11"/>
  <c r="U100" i="13"/>
  <c r="AE223" i="11"/>
  <c r="U99" i="13"/>
  <c r="AE217" i="11"/>
  <c r="Q10" i="13"/>
  <c r="AA65" i="11"/>
  <c r="J211" i="13"/>
  <c r="J215" i="13" s="1"/>
  <c r="U95" i="11" s="1"/>
  <c r="L133" i="13"/>
  <c r="E6" i="13"/>
  <c r="F4" i="13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D4" i="13"/>
  <c r="C19" i="11"/>
  <c r="B23" i="13"/>
  <c r="B22" i="13"/>
  <c r="C22" i="13" s="1"/>
  <c r="D22" i="13" s="1"/>
  <c r="E22" i="13" s="1"/>
  <c r="F22" i="13" s="1"/>
  <c r="G22" i="13" s="1"/>
  <c r="H22" i="13" s="1"/>
  <c r="I22" i="13" s="1"/>
  <c r="J22" i="13" s="1"/>
  <c r="K22" i="13" s="1"/>
  <c r="L22" i="13" s="1"/>
  <c r="M22" i="13" s="1"/>
  <c r="N22" i="13" s="1"/>
  <c r="O22" i="13" s="1"/>
  <c r="P22" i="13" s="1"/>
  <c r="Q22" i="13" s="1"/>
  <c r="R22" i="13" s="1"/>
  <c r="S22" i="13" s="1"/>
  <c r="T22" i="13" s="1"/>
  <c r="U22" i="13" s="1"/>
  <c r="V22" i="13" s="1"/>
  <c r="W22" i="13" s="1"/>
  <c r="X22" i="13" s="1"/>
  <c r="Y22" i="13" s="1"/>
  <c r="Z22" i="13" s="1"/>
  <c r="AA22" i="13" s="1"/>
  <c r="AB22" i="13" s="1"/>
  <c r="AC22" i="13" s="1"/>
  <c r="AD22" i="13" s="1"/>
  <c r="AE22" i="13" s="1"/>
  <c r="AF22" i="13" s="1"/>
  <c r="AG22" i="13" s="1"/>
  <c r="AH22" i="13" s="1"/>
  <c r="B21" i="13"/>
  <c r="C21" i="13" s="1"/>
  <c r="D21" i="13" s="1"/>
  <c r="E21" i="13" s="1"/>
  <c r="B20" i="13"/>
  <c r="J77" i="13" l="1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S21" i="13" s="1"/>
  <c r="T21" i="13" s="1"/>
  <c r="U21" i="13" s="1"/>
  <c r="V21" i="13" s="1"/>
  <c r="W21" i="13" s="1"/>
  <c r="X21" i="13" s="1"/>
  <c r="Y21" i="13" s="1"/>
  <c r="Z21" i="13" s="1"/>
  <c r="AA21" i="13" s="1"/>
  <c r="AB21" i="13" s="1"/>
  <c r="AC21" i="13" s="1"/>
  <c r="AD21" i="13" s="1"/>
  <c r="AE21" i="13" s="1"/>
  <c r="AF21" i="13" s="1"/>
  <c r="AG21" i="13" s="1"/>
  <c r="AH21" i="13" s="1"/>
  <c r="C20" i="13"/>
  <c r="D20" i="13" s="1"/>
  <c r="E20" i="13" s="1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S20" i="13" s="1"/>
  <c r="T20" i="13" s="1"/>
  <c r="U20" i="13" s="1"/>
  <c r="V20" i="13" s="1"/>
  <c r="W20" i="13" s="1"/>
  <c r="X20" i="13" s="1"/>
  <c r="Y20" i="13" s="1"/>
  <c r="Z20" i="13" s="1"/>
  <c r="AA20" i="13" s="1"/>
  <c r="AB20" i="13" s="1"/>
  <c r="AC20" i="13" s="1"/>
  <c r="AD20" i="13" s="1"/>
  <c r="AE20" i="13" s="1"/>
  <c r="AF20" i="13" s="1"/>
  <c r="AG20" i="13" s="1"/>
  <c r="AH20" i="13" s="1"/>
  <c r="Z74" i="11"/>
  <c r="Z71" i="11"/>
  <c r="Z68" i="11"/>
  <c r="Z73" i="11"/>
  <c r="AA67" i="11"/>
  <c r="AA71" i="11" s="1"/>
  <c r="AI64" i="11"/>
  <c r="AI78" i="11" s="1"/>
  <c r="AH90" i="11"/>
  <c r="AH91" i="11" s="1"/>
  <c r="V101" i="13"/>
  <c r="AF241" i="11"/>
  <c r="V100" i="13"/>
  <c r="AF223" i="11"/>
  <c r="V99" i="13"/>
  <c r="AF217" i="11"/>
  <c r="R10" i="13"/>
  <c r="AB65" i="11"/>
  <c r="F6" i="13"/>
  <c r="G6" i="13" s="1"/>
  <c r="H6" i="13" s="1"/>
  <c r="D219" i="11"/>
  <c r="C21" i="11" s="1"/>
  <c r="D213" i="11"/>
  <c r="C20" i="11" s="1"/>
  <c r="D225" i="11"/>
  <c r="C22" i="11" s="1"/>
  <c r="K211" i="13"/>
  <c r="K215" i="13" s="1"/>
  <c r="V95" i="11" s="1"/>
  <c r="M133" i="13"/>
  <c r="C248" i="13" l="1"/>
  <c r="C247" i="13"/>
  <c r="C246" i="13"/>
  <c r="K77" i="13"/>
  <c r="AA72" i="11"/>
  <c r="AA68" i="11"/>
  <c r="AA74" i="11"/>
  <c r="AB67" i="11"/>
  <c r="AB73" i="11" s="1"/>
  <c r="AA73" i="11"/>
  <c r="I6" i="13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AJ64" i="11"/>
  <c r="AJ78" i="11" s="1"/>
  <c r="AI90" i="11"/>
  <c r="AI91" i="11" s="1"/>
  <c r="AI66" i="11"/>
  <c r="W99" i="13"/>
  <c r="AG217" i="11"/>
  <c r="W100" i="13"/>
  <c r="AG223" i="11"/>
  <c r="W101" i="13"/>
  <c r="AG241" i="11"/>
  <c r="S10" i="13"/>
  <c r="AC65" i="11"/>
  <c r="L211" i="13"/>
  <c r="L215" i="13" s="1"/>
  <c r="W95" i="11" s="1"/>
  <c r="N133" i="13"/>
  <c r="B200" i="11"/>
  <c r="B201" i="11" s="1"/>
  <c r="B202" i="11" s="1"/>
  <c r="B203" i="11" s="1"/>
  <c r="B204" i="11" s="1"/>
  <c r="B205" i="11" s="1"/>
  <c r="B206" i="11" s="1"/>
  <c r="B207" i="11" s="1"/>
  <c r="B208" i="11" s="1"/>
  <c r="B209" i="11" s="1"/>
  <c r="B210" i="11" s="1"/>
  <c r="B211" i="11" s="1"/>
  <c r="B212" i="11" s="1"/>
  <c r="B213" i="11" s="1"/>
  <c r="B214" i="11" s="1"/>
  <c r="B215" i="11" s="1"/>
  <c r="B216" i="11" s="1"/>
  <c r="B217" i="11" s="1"/>
  <c r="B218" i="11" s="1"/>
  <c r="L77" i="13" l="1"/>
  <c r="AB74" i="11"/>
  <c r="AB68" i="11"/>
  <c r="AB72" i="11"/>
  <c r="AC67" i="11"/>
  <c r="AC72" i="11" s="1"/>
  <c r="AB71" i="11"/>
  <c r="AJ66" i="11"/>
  <c r="AI6" i="13"/>
  <c r="AK64" i="11"/>
  <c r="AK78" i="11" s="1"/>
  <c r="AJ90" i="11"/>
  <c r="AJ91" i="11" s="1"/>
  <c r="X101" i="13"/>
  <c r="AH241" i="11"/>
  <c r="AI242" i="11" s="1"/>
  <c r="X100" i="13"/>
  <c r="AH223" i="11"/>
  <c r="AI224" i="11" s="1"/>
  <c r="X99" i="13"/>
  <c r="AH217" i="11"/>
  <c r="AI218" i="11" s="1"/>
  <c r="T10" i="13"/>
  <c r="AD65" i="11"/>
  <c r="M211" i="13"/>
  <c r="M215" i="13" s="1"/>
  <c r="X95" i="11" s="1"/>
  <c r="O133" i="13"/>
  <c r="M77" i="13" l="1"/>
  <c r="AC71" i="11"/>
  <c r="AC74" i="11"/>
  <c r="AD67" i="11"/>
  <c r="AD73" i="11" s="1"/>
  <c r="AC68" i="11"/>
  <c r="AC73" i="11"/>
  <c r="AJ218" i="11"/>
  <c r="AK218" i="11" s="1"/>
  <c r="AL218" i="11" s="1"/>
  <c r="AM218" i="11" s="1"/>
  <c r="AN218" i="11" s="1"/>
  <c r="AO218" i="11" s="1"/>
  <c r="AP218" i="11" s="1"/>
  <c r="AQ218" i="11" s="1"/>
  <c r="AR218" i="11" s="1"/>
  <c r="AS218" i="11" s="1"/>
  <c r="AI219" i="11"/>
  <c r="AJ242" i="11"/>
  <c r="AK242" i="11" s="1"/>
  <c r="AL242" i="11" s="1"/>
  <c r="AM242" i="11" s="1"/>
  <c r="AN242" i="11" s="1"/>
  <c r="AO242" i="11" s="1"/>
  <c r="AP242" i="11" s="1"/>
  <c r="AQ242" i="11" s="1"/>
  <c r="AR242" i="11" s="1"/>
  <c r="AS242" i="11" s="1"/>
  <c r="AI243" i="11"/>
  <c r="AJ224" i="11"/>
  <c r="AK224" i="11" s="1"/>
  <c r="AL224" i="11" s="1"/>
  <c r="AM224" i="11" s="1"/>
  <c r="AN224" i="11" s="1"/>
  <c r="AO224" i="11" s="1"/>
  <c r="AP224" i="11" s="1"/>
  <c r="AQ224" i="11" s="1"/>
  <c r="AR224" i="11" s="1"/>
  <c r="AS224" i="11" s="1"/>
  <c r="AI225" i="11"/>
  <c r="AL64" i="11"/>
  <c r="AL78" i="11" s="1"/>
  <c r="AK90" i="11"/>
  <c r="AK91" i="11" s="1"/>
  <c r="AK66" i="11"/>
  <c r="AL66" i="11" s="1"/>
  <c r="Y99" i="13"/>
  <c r="AI217" i="11"/>
  <c r="Y101" i="13"/>
  <c r="AI241" i="11"/>
  <c r="Y100" i="13"/>
  <c r="AI223" i="11"/>
  <c r="U10" i="13"/>
  <c r="AE65" i="11"/>
  <c r="N211" i="13"/>
  <c r="N215" i="13" s="1"/>
  <c r="Y95" i="11" s="1"/>
  <c r="P133" i="13"/>
  <c r="C189" i="10"/>
  <c r="C86" i="13" s="1"/>
  <c r="D189" i="10"/>
  <c r="D86" i="13" s="1"/>
  <c r="E264" i="13"/>
  <c r="F264" i="13" s="1"/>
  <c r="G264" i="13" s="1"/>
  <c r="H264" i="13" s="1"/>
  <c r="I264" i="13" s="1"/>
  <c r="J264" i="13" s="1"/>
  <c r="K264" i="13" s="1"/>
  <c r="L264" i="13" s="1"/>
  <c r="M264" i="13" s="1"/>
  <c r="N264" i="13" s="1"/>
  <c r="O264" i="13" s="1"/>
  <c r="P264" i="13" s="1"/>
  <c r="Q264" i="13" s="1"/>
  <c r="R264" i="13" s="1"/>
  <c r="S264" i="13" s="1"/>
  <c r="T264" i="13" s="1"/>
  <c r="U264" i="13" s="1"/>
  <c r="C462" i="10"/>
  <c r="D462" i="10" s="1"/>
  <c r="E227" i="13"/>
  <c r="F227" i="13" s="1"/>
  <c r="G227" i="13" s="1"/>
  <c r="H227" i="13" s="1"/>
  <c r="I227" i="13" s="1"/>
  <c r="J227" i="13" s="1"/>
  <c r="K227" i="13" s="1"/>
  <c r="L227" i="13" s="1"/>
  <c r="M227" i="13" s="1"/>
  <c r="N227" i="13" s="1"/>
  <c r="O227" i="13" s="1"/>
  <c r="P227" i="13" s="1"/>
  <c r="Q227" i="13" s="1"/>
  <c r="R227" i="13" s="1"/>
  <c r="S227" i="13" s="1"/>
  <c r="T227" i="13" s="1"/>
  <c r="U227" i="13" s="1"/>
  <c r="V227" i="13" s="1"/>
  <c r="W227" i="13" s="1"/>
  <c r="X227" i="13" s="1"/>
  <c r="Y227" i="13" s="1"/>
  <c r="Z227" i="13" s="1"/>
  <c r="AA227" i="13" s="1"/>
  <c r="AB227" i="13" s="1"/>
  <c r="AC227" i="13" s="1"/>
  <c r="AD227" i="13" s="1"/>
  <c r="AE227" i="13" s="1"/>
  <c r="AF227" i="13" s="1"/>
  <c r="AG227" i="13" s="1"/>
  <c r="AH227" i="13" s="1"/>
  <c r="E234" i="13"/>
  <c r="F234" i="13" s="1"/>
  <c r="G234" i="13" s="1"/>
  <c r="H234" i="13" s="1"/>
  <c r="I234" i="13" s="1"/>
  <c r="J234" i="13" s="1"/>
  <c r="K234" i="13" s="1"/>
  <c r="L234" i="13" s="1"/>
  <c r="M234" i="13" s="1"/>
  <c r="N234" i="13" s="1"/>
  <c r="O234" i="13" s="1"/>
  <c r="P234" i="13" s="1"/>
  <c r="Q234" i="13" s="1"/>
  <c r="R234" i="13" s="1"/>
  <c r="S234" i="13" s="1"/>
  <c r="T234" i="13" s="1"/>
  <c r="U234" i="13" s="1"/>
  <c r="V234" i="13" s="1"/>
  <c r="W234" i="13" s="1"/>
  <c r="X234" i="13" s="1"/>
  <c r="Y234" i="13" s="1"/>
  <c r="Z234" i="13" s="1"/>
  <c r="AA234" i="13" s="1"/>
  <c r="AB234" i="13" s="1"/>
  <c r="AC234" i="13" s="1"/>
  <c r="AD234" i="13" s="1"/>
  <c r="AE234" i="13" s="1"/>
  <c r="AF234" i="13" s="1"/>
  <c r="AG234" i="13" s="1"/>
  <c r="AH234" i="13" s="1"/>
  <c r="E233" i="13"/>
  <c r="N77" i="13" l="1"/>
  <c r="F464" i="10"/>
  <c r="J464" i="10"/>
  <c r="N464" i="10"/>
  <c r="R464" i="10"/>
  <c r="V464" i="10"/>
  <c r="Z464" i="10"/>
  <c r="AD464" i="10"/>
  <c r="AH464" i="10"/>
  <c r="L464" i="10"/>
  <c r="T464" i="10"/>
  <c r="AB464" i="10"/>
  <c r="AJ464" i="10"/>
  <c r="M464" i="10"/>
  <c r="U464" i="10"/>
  <c r="Y464" i="10"/>
  <c r="AG464" i="10"/>
  <c r="G464" i="10"/>
  <c r="K464" i="10"/>
  <c r="O464" i="10"/>
  <c r="S464" i="10"/>
  <c r="W464" i="10"/>
  <c r="AA464" i="10"/>
  <c r="AE464" i="10"/>
  <c r="AI464" i="10"/>
  <c r="H464" i="10"/>
  <c r="P464" i="10"/>
  <c r="X464" i="10"/>
  <c r="AF464" i="10"/>
  <c r="I464" i="10"/>
  <c r="Q464" i="10"/>
  <c r="AC464" i="10"/>
  <c r="E464" i="10"/>
  <c r="AJ225" i="11"/>
  <c r="AK225" i="11" s="1"/>
  <c r="AL225" i="11" s="1"/>
  <c r="AM225" i="11" s="1"/>
  <c r="AN225" i="11" s="1"/>
  <c r="AO225" i="11" s="1"/>
  <c r="AP225" i="11" s="1"/>
  <c r="AQ225" i="11" s="1"/>
  <c r="AR225" i="11" s="1"/>
  <c r="AS225" i="11" s="1"/>
  <c r="AJ219" i="11"/>
  <c r="AK219" i="11" s="1"/>
  <c r="AL219" i="11" s="1"/>
  <c r="AM219" i="11" s="1"/>
  <c r="AN219" i="11" s="1"/>
  <c r="AO219" i="11" s="1"/>
  <c r="AP219" i="11" s="1"/>
  <c r="AQ219" i="11" s="1"/>
  <c r="AR219" i="11" s="1"/>
  <c r="AS219" i="11" s="1"/>
  <c r="AD68" i="11"/>
  <c r="AD72" i="11"/>
  <c r="AD71" i="11"/>
  <c r="AD74" i="11"/>
  <c r="AJ243" i="11"/>
  <c r="AK243" i="11" s="1"/>
  <c r="AL243" i="11" s="1"/>
  <c r="AM243" i="11" s="1"/>
  <c r="AN243" i="11" s="1"/>
  <c r="AO243" i="11" s="1"/>
  <c r="AP243" i="11" s="1"/>
  <c r="AQ243" i="11" s="1"/>
  <c r="AR243" i="11" s="1"/>
  <c r="AS243" i="11" s="1"/>
  <c r="AE67" i="11"/>
  <c r="AE72" i="11" s="1"/>
  <c r="AM64" i="11"/>
  <c r="AM78" i="11" s="1"/>
  <c r="AL90" i="11"/>
  <c r="AL91" i="11" s="1"/>
  <c r="Z100" i="13"/>
  <c r="AJ223" i="11"/>
  <c r="Z101" i="13"/>
  <c r="AJ241" i="11"/>
  <c r="Z99" i="13"/>
  <c r="AJ217" i="11"/>
  <c r="V10" i="13"/>
  <c r="AF65" i="11"/>
  <c r="O211" i="13"/>
  <c r="O215" i="13" s="1"/>
  <c r="Z95" i="11" s="1"/>
  <c r="Q133" i="13"/>
  <c r="E405" i="10"/>
  <c r="I405" i="10"/>
  <c r="M405" i="10"/>
  <c r="Q405" i="10"/>
  <c r="U405" i="10"/>
  <c r="Z405" i="10"/>
  <c r="AD405" i="10"/>
  <c r="AH405" i="10"/>
  <c r="L405" i="10"/>
  <c r="Y405" i="10"/>
  <c r="F405" i="10"/>
  <c r="J405" i="10"/>
  <c r="N405" i="10"/>
  <c r="R405" i="10"/>
  <c r="W405" i="10"/>
  <c r="AA405" i="10"/>
  <c r="AE405" i="10"/>
  <c r="AI405" i="10"/>
  <c r="P405" i="10"/>
  <c r="AC405" i="10"/>
  <c r="G405" i="10"/>
  <c r="K405" i="10"/>
  <c r="O405" i="10"/>
  <c r="S405" i="10"/>
  <c r="X405" i="10"/>
  <c r="AB405" i="10"/>
  <c r="AF405" i="10"/>
  <c r="H405" i="10"/>
  <c r="T405" i="10"/>
  <c r="AG405" i="10"/>
  <c r="AJ405" i="10"/>
  <c r="D233" i="13"/>
  <c r="D270" i="13"/>
  <c r="F233" i="13"/>
  <c r="O77" i="13" l="1"/>
  <c r="AE71" i="11"/>
  <c r="AE74" i="11"/>
  <c r="AE68" i="11"/>
  <c r="AE73" i="11"/>
  <c r="AF67" i="11"/>
  <c r="AF73" i="11" s="1"/>
  <c r="AN64" i="11"/>
  <c r="AN78" i="11" s="1"/>
  <c r="AM90" i="11"/>
  <c r="AM91" i="11" s="1"/>
  <c r="AM66" i="11"/>
  <c r="AN66" i="11" s="1"/>
  <c r="AA101" i="13"/>
  <c r="AK241" i="11"/>
  <c r="AA99" i="13"/>
  <c r="AK217" i="11"/>
  <c r="AA100" i="13"/>
  <c r="AK223" i="11"/>
  <c r="W10" i="13"/>
  <c r="AG65" i="11"/>
  <c r="P211" i="13"/>
  <c r="P215" i="13" s="1"/>
  <c r="AA95" i="11" s="1"/>
  <c r="R133" i="13"/>
  <c r="G233" i="13"/>
  <c r="F78" i="13"/>
  <c r="G78" i="13" l="1"/>
  <c r="F79" i="13"/>
  <c r="F120" i="13" s="1"/>
  <c r="P77" i="13"/>
  <c r="AF74" i="11"/>
  <c r="AF68" i="11"/>
  <c r="AF72" i="11"/>
  <c r="AG67" i="11"/>
  <c r="AG72" i="11" s="1"/>
  <c r="AF71" i="11"/>
  <c r="AO64" i="11"/>
  <c r="AO78" i="11" s="1"/>
  <c r="AN90" i="11"/>
  <c r="AN91" i="11" s="1"/>
  <c r="AB100" i="13"/>
  <c r="AL223" i="11"/>
  <c r="AB99" i="13"/>
  <c r="AL217" i="11"/>
  <c r="AB101" i="13"/>
  <c r="AL241" i="11"/>
  <c r="X10" i="13"/>
  <c r="AH65" i="11"/>
  <c r="Q211" i="13"/>
  <c r="Q215" i="13" s="1"/>
  <c r="AB95" i="11" s="1"/>
  <c r="S133" i="13"/>
  <c r="H233" i="13"/>
  <c r="H78" i="13" l="1"/>
  <c r="G79" i="13"/>
  <c r="G120" i="13" s="1"/>
  <c r="Q77" i="13"/>
  <c r="AG71" i="11"/>
  <c r="AG74" i="11"/>
  <c r="AG68" i="11"/>
  <c r="AG73" i="11"/>
  <c r="AH67" i="11"/>
  <c r="AH72" i="11" s="1"/>
  <c r="AP64" i="11"/>
  <c r="AP78" i="11" s="1"/>
  <c r="AO90" i="11"/>
  <c r="AO91" i="11" s="1"/>
  <c r="AO66" i="11"/>
  <c r="AP66" i="11" s="1"/>
  <c r="AC101" i="13"/>
  <c r="B145" i="11" s="1"/>
  <c r="AM241" i="11"/>
  <c r="AC100" i="13"/>
  <c r="B139" i="11" s="1"/>
  <c r="AM223" i="11"/>
  <c r="AC99" i="13"/>
  <c r="B137" i="11" s="1"/>
  <c r="AM217" i="11"/>
  <c r="Y10" i="13"/>
  <c r="AI65" i="11"/>
  <c r="R211" i="13"/>
  <c r="R215" i="13" s="1"/>
  <c r="AC95" i="11" s="1"/>
  <c r="T133" i="13"/>
  <c r="I233" i="13"/>
  <c r="F282" i="13"/>
  <c r="G282" i="13" s="1"/>
  <c r="H282" i="13" s="1"/>
  <c r="I282" i="13" s="1"/>
  <c r="J282" i="13" s="1"/>
  <c r="K282" i="13" s="1"/>
  <c r="L282" i="13" s="1"/>
  <c r="M282" i="13" s="1"/>
  <c r="N282" i="13" s="1"/>
  <c r="O282" i="13" s="1"/>
  <c r="P282" i="13" s="1"/>
  <c r="Q282" i="13" s="1"/>
  <c r="R282" i="13" s="1"/>
  <c r="S282" i="13" s="1"/>
  <c r="T282" i="13" s="1"/>
  <c r="U282" i="13" s="1"/>
  <c r="V282" i="13" s="1"/>
  <c r="W282" i="13" s="1"/>
  <c r="X282" i="13" s="1"/>
  <c r="Y282" i="13" s="1"/>
  <c r="Z282" i="13" s="1"/>
  <c r="AA282" i="13" s="1"/>
  <c r="AB282" i="13" s="1"/>
  <c r="AC282" i="13" s="1"/>
  <c r="AD282" i="13" s="1"/>
  <c r="AE282" i="13" s="1"/>
  <c r="AF282" i="13" s="1"/>
  <c r="AG282" i="13" s="1"/>
  <c r="AH282" i="13" s="1"/>
  <c r="F260" i="13"/>
  <c r="G260" i="13" s="1"/>
  <c r="H260" i="13" s="1"/>
  <c r="I260" i="13" s="1"/>
  <c r="J260" i="13" s="1"/>
  <c r="K260" i="13" s="1"/>
  <c r="L260" i="13" s="1"/>
  <c r="M260" i="13" s="1"/>
  <c r="N260" i="13" s="1"/>
  <c r="O260" i="13" s="1"/>
  <c r="P260" i="13" s="1"/>
  <c r="Q260" i="13" s="1"/>
  <c r="R260" i="13" s="1"/>
  <c r="S260" i="13" s="1"/>
  <c r="T260" i="13" s="1"/>
  <c r="U260" i="13" s="1"/>
  <c r="V260" i="13" s="1"/>
  <c r="W260" i="13" s="1"/>
  <c r="X260" i="13" s="1"/>
  <c r="Y260" i="13" s="1"/>
  <c r="Z260" i="13" s="1"/>
  <c r="AA260" i="13" s="1"/>
  <c r="AB260" i="13" s="1"/>
  <c r="AC260" i="13" s="1"/>
  <c r="AD260" i="13" s="1"/>
  <c r="AE260" i="13" s="1"/>
  <c r="AF260" i="13" s="1"/>
  <c r="AG260" i="13" s="1"/>
  <c r="AH260" i="13" s="1"/>
  <c r="E223" i="13"/>
  <c r="F223" i="13" s="1"/>
  <c r="G223" i="13" s="1"/>
  <c r="H223" i="13" s="1"/>
  <c r="I223" i="13" s="1"/>
  <c r="J223" i="13" s="1"/>
  <c r="K223" i="13" s="1"/>
  <c r="L223" i="13" s="1"/>
  <c r="M223" i="13" s="1"/>
  <c r="N223" i="13" s="1"/>
  <c r="O223" i="13" s="1"/>
  <c r="P223" i="13" s="1"/>
  <c r="Q223" i="13" s="1"/>
  <c r="R223" i="13" s="1"/>
  <c r="S223" i="13" s="1"/>
  <c r="T223" i="13" s="1"/>
  <c r="U223" i="13" s="1"/>
  <c r="V223" i="13" s="1"/>
  <c r="W223" i="13" s="1"/>
  <c r="X223" i="13" s="1"/>
  <c r="Y223" i="13" s="1"/>
  <c r="Z223" i="13" s="1"/>
  <c r="AA223" i="13" s="1"/>
  <c r="AB223" i="13" s="1"/>
  <c r="AC223" i="13" s="1"/>
  <c r="AD223" i="13" s="1"/>
  <c r="AE223" i="13" s="1"/>
  <c r="AF223" i="13" s="1"/>
  <c r="AG223" i="13" s="1"/>
  <c r="AH223" i="13" s="1"/>
  <c r="A253" i="13"/>
  <c r="A254" i="13"/>
  <c r="A252" i="13"/>
  <c r="I78" i="13" l="1"/>
  <c r="H79" i="13"/>
  <c r="H120" i="13" s="1"/>
  <c r="R77" i="13"/>
  <c r="AH71" i="11"/>
  <c r="AH68" i="11"/>
  <c r="AH74" i="11"/>
  <c r="AH73" i="11"/>
  <c r="AI67" i="11"/>
  <c r="AI71" i="11" s="1"/>
  <c r="AQ64" i="11"/>
  <c r="AQ78" i="11" s="1"/>
  <c r="AP90" i="11"/>
  <c r="AP91" i="11" s="1"/>
  <c r="AD100" i="13"/>
  <c r="AN223" i="11"/>
  <c r="AD99" i="13"/>
  <c r="AN217" i="11"/>
  <c r="AD101" i="13"/>
  <c r="AN241" i="11"/>
  <c r="Z10" i="13"/>
  <c r="AJ65" i="11"/>
  <c r="S211" i="13"/>
  <c r="S215" i="13" s="1"/>
  <c r="AD95" i="11" s="1"/>
  <c r="U133" i="13"/>
  <c r="F85" i="13"/>
  <c r="Q208" i="11" s="1"/>
  <c r="F88" i="13"/>
  <c r="Q214" i="11" s="1"/>
  <c r="F92" i="13"/>
  <c r="F96" i="13"/>
  <c r="Q235" i="11" s="1"/>
  <c r="F89" i="13"/>
  <c r="F93" i="13"/>
  <c r="Q226" i="11" s="1"/>
  <c r="F97" i="13"/>
  <c r="Q238" i="11" s="1"/>
  <c r="F86" i="13"/>
  <c r="Q211" i="11" s="1"/>
  <c r="F94" i="13"/>
  <c r="Q229" i="11" s="1"/>
  <c r="F84" i="13"/>
  <c r="F91" i="13"/>
  <c r="Q220" i="11" s="1"/>
  <c r="F95" i="13"/>
  <c r="Q232" i="11" s="1"/>
  <c r="J233" i="13"/>
  <c r="F38" i="13"/>
  <c r="G38" i="13" s="1"/>
  <c r="H38" i="13" s="1"/>
  <c r="I38" i="13" s="1"/>
  <c r="J38" i="13" s="1"/>
  <c r="K38" i="13" s="1"/>
  <c r="L38" i="13" s="1"/>
  <c r="M38" i="13" s="1"/>
  <c r="N38" i="13" s="1"/>
  <c r="O38" i="13" s="1"/>
  <c r="P38" i="13" s="1"/>
  <c r="Q38" i="13" s="1"/>
  <c r="R38" i="13" s="1"/>
  <c r="S38" i="13" s="1"/>
  <c r="T38" i="13" s="1"/>
  <c r="U38" i="13" s="1"/>
  <c r="V38" i="13" s="1"/>
  <c r="W38" i="13" s="1"/>
  <c r="X38" i="13" s="1"/>
  <c r="Y38" i="13" s="1"/>
  <c r="Z38" i="13" s="1"/>
  <c r="AA38" i="13" s="1"/>
  <c r="AB38" i="13" s="1"/>
  <c r="AC38" i="13" s="1"/>
  <c r="AD38" i="13" s="1"/>
  <c r="AE38" i="13" s="1"/>
  <c r="AF38" i="13" s="1"/>
  <c r="AG38" i="13" s="1"/>
  <c r="AH38" i="13" s="1"/>
  <c r="F87" i="13" l="1"/>
  <c r="Q244" i="11" s="1"/>
  <c r="Q205" i="11"/>
  <c r="F90" i="13"/>
  <c r="J78" i="13"/>
  <c r="I79" i="13"/>
  <c r="I120" i="13" s="1"/>
  <c r="S77" i="13"/>
  <c r="AI74" i="11"/>
  <c r="AI73" i="11"/>
  <c r="AI72" i="11"/>
  <c r="AI68" i="11"/>
  <c r="AJ67" i="11"/>
  <c r="AJ72" i="11" s="1"/>
  <c r="AR64" i="11"/>
  <c r="AR78" i="11" s="1"/>
  <c r="AQ90" i="11"/>
  <c r="AQ91" i="11" s="1"/>
  <c r="AQ66" i="11"/>
  <c r="AR66" i="11" s="1"/>
  <c r="AE101" i="13"/>
  <c r="AO241" i="11"/>
  <c r="AE99" i="13"/>
  <c r="AO217" i="11"/>
  <c r="AE100" i="13"/>
  <c r="AO223" i="11"/>
  <c r="AA10" i="13"/>
  <c r="AK65" i="11"/>
  <c r="T211" i="13"/>
  <c r="T215" i="13" s="1"/>
  <c r="AE95" i="11" s="1"/>
  <c r="V133" i="13"/>
  <c r="G84" i="13"/>
  <c r="R205" i="11" s="1"/>
  <c r="G89" i="13"/>
  <c r="G91" i="13"/>
  <c r="R220" i="11" s="1"/>
  <c r="G97" i="13"/>
  <c r="R238" i="11" s="1"/>
  <c r="G96" i="13"/>
  <c r="R235" i="11" s="1"/>
  <c r="G88" i="13"/>
  <c r="R214" i="11" s="1"/>
  <c r="G95" i="13"/>
  <c r="R232" i="11" s="1"/>
  <c r="G94" i="13"/>
  <c r="R229" i="11" s="1"/>
  <c r="G86" i="13"/>
  <c r="R211" i="11" s="1"/>
  <c r="G93" i="13"/>
  <c r="R226" i="11" s="1"/>
  <c r="G92" i="13"/>
  <c r="G85" i="13"/>
  <c r="R208" i="11" s="1"/>
  <c r="K233" i="13"/>
  <c r="Z13" i="13"/>
  <c r="AA13" i="13"/>
  <c r="AB13" i="13"/>
  <c r="AC13" i="13"/>
  <c r="AD13" i="13"/>
  <c r="AE13" i="13"/>
  <c r="AF13" i="13"/>
  <c r="AG13" i="13"/>
  <c r="AH13" i="13"/>
  <c r="Y13" i="13"/>
  <c r="X13" i="13"/>
  <c r="D13" i="13"/>
  <c r="Q247" i="11" l="1"/>
  <c r="Q245" i="11"/>
  <c r="G90" i="13"/>
  <c r="R246" i="11" s="1"/>
  <c r="Q246" i="11"/>
  <c r="G87" i="13"/>
  <c r="K78" i="13"/>
  <c r="J79" i="13"/>
  <c r="J120" i="13" s="1"/>
  <c r="T77" i="13"/>
  <c r="AJ68" i="11"/>
  <c r="AJ71" i="11"/>
  <c r="AJ73" i="11"/>
  <c r="AJ74" i="11"/>
  <c r="AK67" i="11"/>
  <c r="AK72" i="11" s="1"/>
  <c r="AS64" i="11"/>
  <c r="AR90" i="11"/>
  <c r="AR91" i="11" s="1"/>
  <c r="AF100" i="13"/>
  <c r="AP223" i="11"/>
  <c r="AF99" i="13"/>
  <c r="AP217" i="11"/>
  <c r="AF101" i="13"/>
  <c r="AP241" i="11"/>
  <c r="AB10" i="13"/>
  <c r="AL65" i="11"/>
  <c r="U211" i="13"/>
  <c r="U215" i="13" s="1"/>
  <c r="AF95" i="11" s="1"/>
  <c r="W133" i="13"/>
  <c r="H92" i="13"/>
  <c r="H94" i="13"/>
  <c r="S229" i="11" s="1"/>
  <c r="T230" i="11" s="1"/>
  <c r="H96" i="13"/>
  <c r="S235" i="11" s="1"/>
  <c r="T236" i="11" s="1"/>
  <c r="H93" i="13"/>
  <c r="S226" i="11" s="1"/>
  <c r="T227" i="11" s="1"/>
  <c r="H95" i="13"/>
  <c r="S232" i="11" s="1"/>
  <c r="T233" i="11" s="1"/>
  <c r="H89" i="13"/>
  <c r="H85" i="13"/>
  <c r="S208" i="11" s="1"/>
  <c r="T209" i="11" s="1"/>
  <c r="H86" i="13"/>
  <c r="S211" i="11" s="1"/>
  <c r="T212" i="11" s="1"/>
  <c r="H88" i="13"/>
  <c r="S214" i="11" s="1"/>
  <c r="T215" i="11" s="1"/>
  <c r="H97" i="13"/>
  <c r="S238" i="11" s="1"/>
  <c r="T239" i="11" s="1"/>
  <c r="H91" i="13"/>
  <c r="S220" i="11" s="1"/>
  <c r="T221" i="11" s="1"/>
  <c r="H84" i="13"/>
  <c r="S205" i="11" s="1"/>
  <c r="T206" i="11" s="1"/>
  <c r="L233" i="13"/>
  <c r="D12" i="13"/>
  <c r="C14" i="13"/>
  <c r="F328" i="13"/>
  <c r="G328" i="13" s="1"/>
  <c r="H328" i="13" s="1"/>
  <c r="I328" i="13" s="1"/>
  <c r="J328" i="13" s="1"/>
  <c r="K328" i="13" s="1"/>
  <c r="L328" i="13" s="1"/>
  <c r="M328" i="13" s="1"/>
  <c r="N328" i="13" s="1"/>
  <c r="O328" i="13" s="1"/>
  <c r="P328" i="13" s="1"/>
  <c r="Q328" i="13" s="1"/>
  <c r="R328" i="13" s="1"/>
  <c r="S328" i="13" s="1"/>
  <c r="T328" i="13" s="1"/>
  <c r="U328" i="13" s="1"/>
  <c r="V328" i="13" s="1"/>
  <c r="W328" i="13" s="1"/>
  <c r="X328" i="13" s="1"/>
  <c r="Y328" i="13" s="1"/>
  <c r="Z328" i="13" s="1"/>
  <c r="AA328" i="13" s="1"/>
  <c r="AB328" i="13" s="1"/>
  <c r="AC328" i="13" s="1"/>
  <c r="AD328" i="13" s="1"/>
  <c r="AE328" i="13" s="1"/>
  <c r="AF328" i="13" s="1"/>
  <c r="AG328" i="13" s="1"/>
  <c r="AH328" i="13" s="1"/>
  <c r="F286" i="13"/>
  <c r="G286" i="13" s="1"/>
  <c r="H286" i="13" s="1"/>
  <c r="I286" i="13" s="1"/>
  <c r="J286" i="13" s="1"/>
  <c r="K286" i="13" s="1"/>
  <c r="L286" i="13" s="1"/>
  <c r="M286" i="13" s="1"/>
  <c r="N286" i="13" s="1"/>
  <c r="O286" i="13" s="1"/>
  <c r="P286" i="13" s="1"/>
  <c r="Q286" i="13" s="1"/>
  <c r="R286" i="13" s="1"/>
  <c r="S286" i="13" s="1"/>
  <c r="T286" i="13" s="1"/>
  <c r="U286" i="13" s="1"/>
  <c r="V286" i="13" s="1"/>
  <c r="W286" i="13" s="1"/>
  <c r="X286" i="13" s="1"/>
  <c r="Y286" i="13" s="1"/>
  <c r="Z286" i="13" s="1"/>
  <c r="AA286" i="13" s="1"/>
  <c r="AB286" i="13" s="1"/>
  <c r="AC286" i="13" s="1"/>
  <c r="AD286" i="13" s="1"/>
  <c r="AE286" i="13" s="1"/>
  <c r="AF286" i="13" s="1"/>
  <c r="AG286" i="13" s="1"/>
  <c r="AH286" i="13" s="1"/>
  <c r="F269" i="13"/>
  <c r="G269" i="13" s="1"/>
  <c r="H269" i="13" s="1"/>
  <c r="I269" i="13" s="1"/>
  <c r="J269" i="13" s="1"/>
  <c r="K269" i="13" s="1"/>
  <c r="L269" i="13" s="1"/>
  <c r="M269" i="13" s="1"/>
  <c r="N269" i="13" s="1"/>
  <c r="O269" i="13" s="1"/>
  <c r="P269" i="13" s="1"/>
  <c r="Q269" i="13" s="1"/>
  <c r="R269" i="13" s="1"/>
  <c r="S269" i="13" s="1"/>
  <c r="T269" i="13" s="1"/>
  <c r="U269" i="13" s="1"/>
  <c r="V269" i="13" s="1"/>
  <c r="W269" i="13" s="1"/>
  <c r="X269" i="13" s="1"/>
  <c r="Y269" i="13" s="1"/>
  <c r="Z269" i="13" s="1"/>
  <c r="AA269" i="13" s="1"/>
  <c r="AB269" i="13" s="1"/>
  <c r="AC269" i="13" s="1"/>
  <c r="AD269" i="13" s="1"/>
  <c r="AE269" i="13" s="1"/>
  <c r="AF269" i="13" s="1"/>
  <c r="AG269" i="13" s="1"/>
  <c r="AH269" i="13" s="1"/>
  <c r="F263" i="13"/>
  <c r="G263" i="13" s="1"/>
  <c r="H263" i="13" s="1"/>
  <c r="I263" i="13" s="1"/>
  <c r="J263" i="13" s="1"/>
  <c r="K263" i="13" s="1"/>
  <c r="L263" i="13" s="1"/>
  <c r="M263" i="13" s="1"/>
  <c r="N263" i="13" s="1"/>
  <c r="O263" i="13" s="1"/>
  <c r="P263" i="13" s="1"/>
  <c r="Q263" i="13" s="1"/>
  <c r="R263" i="13" s="1"/>
  <c r="S263" i="13" s="1"/>
  <c r="T263" i="13" s="1"/>
  <c r="U263" i="13" s="1"/>
  <c r="V263" i="13" s="1"/>
  <c r="W263" i="13" s="1"/>
  <c r="X263" i="13" s="1"/>
  <c r="Y263" i="13" s="1"/>
  <c r="Z263" i="13" s="1"/>
  <c r="AA263" i="13" s="1"/>
  <c r="AB263" i="13" s="1"/>
  <c r="AC263" i="13" s="1"/>
  <c r="AD263" i="13" s="1"/>
  <c r="AE263" i="13" s="1"/>
  <c r="AF263" i="13" s="1"/>
  <c r="AG263" i="13" s="1"/>
  <c r="AH263" i="13" s="1"/>
  <c r="F251" i="13"/>
  <c r="G251" i="13" s="1"/>
  <c r="H251" i="13" s="1"/>
  <c r="I251" i="13" s="1"/>
  <c r="J251" i="13" s="1"/>
  <c r="K251" i="13" s="1"/>
  <c r="L251" i="13" s="1"/>
  <c r="M251" i="13" s="1"/>
  <c r="N251" i="13" s="1"/>
  <c r="O251" i="13" s="1"/>
  <c r="P251" i="13" s="1"/>
  <c r="Q251" i="13" s="1"/>
  <c r="R251" i="13" s="1"/>
  <c r="S251" i="13" s="1"/>
  <c r="T251" i="13" s="1"/>
  <c r="U251" i="13" s="1"/>
  <c r="V251" i="13" s="1"/>
  <c r="W251" i="13" s="1"/>
  <c r="X251" i="13" s="1"/>
  <c r="Y251" i="13" s="1"/>
  <c r="Z251" i="13" s="1"/>
  <c r="AA251" i="13" s="1"/>
  <c r="AB251" i="13" s="1"/>
  <c r="AC251" i="13" s="1"/>
  <c r="AD251" i="13" s="1"/>
  <c r="AE251" i="13" s="1"/>
  <c r="AF251" i="13" s="1"/>
  <c r="AG251" i="13" s="1"/>
  <c r="AH251" i="13" s="1"/>
  <c r="F245" i="13"/>
  <c r="G245" i="13" s="1"/>
  <c r="H245" i="13" s="1"/>
  <c r="I245" i="13" s="1"/>
  <c r="J245" i="13" s="1"/>
  <c r="K245" i="13" s="1"/>
  <c r="L245" i="13" s="1"/>
  <c r="M245" i="13" s="1"/>
  <c r="N245" i="13" s="1"/>
  <c r="O245" i="13" s="1"/>
  <c r="P245" i="13" s="1"/>
  <c r="Q245" i="13" s="1"/>
  <c r="R245" i="13" s="1"/>
  <c r="S245" i="13" s="1"/>
  <c r="T245" i="13" s="1"/>
  <c r="U245" i="13" s="1"/>
  <c r="V245" i="13" s="1"/>
  <c r="W245" i="13" s="1"/>
  <c r="X245" i="13" s="1"/>
  <c r="Y245" i="13" s="1"/>
  <c r="Z245" i="13" s="1"/>
  <c r="AA245" i="13" s="1"/>
  <c r="AB245" i="13" s="1"/>
  <c r="AC245" i="13" s="1"/>
  <c r="AD245" i="13" s="1"/>
  <c r="AE245" i="13" s="1"/>
  <c r="AF245" i="13" s="1"/>
  <c r="AG245" i="13" s="1"/>
  <c r="AH245" i="13" s="1"/>
  <c r="F232" i="13"/>
  <c r="G232" i="13" s="1"/>
  <c r="H232" i="13" s="1"/>
  <c r="I232" i="13" s="1"/>
  <c r="J232" i="13" s="1"/>
  <c r="K232" i="13" s="1"/>
  <c r="L232" i="13" s="1"/>
  <c r="M232" i="13" s="1"/>
  <c r="N232" i="13" s="1"/>
  <c r="O232" i="13" s="1"/>
  <c r="P232" i="13" s="1"/>
  <c r="Q232" i="13" s="1"/>
  <c r="R232" i="13" s="1"/>
  <c r="S232" i="13" s="1"/>
  <c r="T232" i="13" s="1"/>
  <c r="U232" i="13" s="1"/>
  <c r="V232" i="13" s="1"/>
  <c r="W232" i="13" s="1"/>
  <c r="X232" i="13" s="1"/>
  <c r="Y232" i="13" s="1"/>
  <c r="Z232" i="13" s="1"/>
  <c r="AA232" i="13" s="1"/>
  <c r="AB232" i="13" s="1"/>
  <c r="AC232" i="13" s="1"/>
  <c r="AD232" i="13" s="1"/>
  <c r="AE232" i="13" s="1"/>
  <c r="AF232" i="13" s="1"/>
  <c r="AG232" i="13" s="1"/>
  <c r="AH232" i="13" s="1"/>
  <c r="F226" i="13"/>
  <c r="G226" i="13" s="1"/>
  <c r="H226" i="13" s="1"/>
  <c r="I226" i="13" s="1"/>
  <c r="J226" i="13" s="1"/>
  <c r="K226" i="13" s="1"/>
  <c r="L226" i="13" s="1"/>
  <c r="M226" i="13" s="1"/>
  <c r="N226" i="13" s="1"/>
  <c r="O226" i="13" s="1"/>
  <c r="P226" i="13" s="1"/>
  <c r="Q226" i="13" s="1"/>
  <c r="R226" i="13" s="1"/>
  <c r="S226" i="13" s="1"/>
  <c r="T226" i="13" s="1"/>
  <c r="U226" i="13" s="1"/>
  <c r="V226" i="13" s="1"/>
  <c r="W226" i="13" s="1"/>
  <c r="X226" i="13" s="1"/>
  <c r="Y226" i="13" s="1"/>
  <c r="Z226" i="13" s="1"/>
  <c r="AA226" i="13" s="1"/>
  <c r="AB226" i="13" s="1"/>
  <c r="AC226" i="13" s="1"/>
  <c r="AD226" i="13" s="1"/>
  <c r="AE226" i="13" s="1"/>
  <c r="AF226" i="13" s="1"/>
  <c r="AG226" i="13" s="1"/>
  <c r="AH226" i="13" s="1"/>
  <c r="F221" i="13"/>
  <c r="G221" i="13" s="1"/>
  <c r="H221" i="13" s="1"/>
  <c r="I221" i="13" s="1"/>
  <c r="J221" i="13" s="1"/>
  <c r="K221" i="13" s="1"/>
  <c r="L221" i="13" s="1"/>
  <c r="M221" i="13" s="1"/>
  <c r="N221" i="13" s="1"/>
  <c r="O221" i="13" s="1"/>
  <c r="P221" i="13" s="1"/>
  <c r="Q221" i="13" s="1"/>
  <c r="R221" i="13" s="1"/>
  <c r="S221" i="13" s="1"/>
  <c r="T221" i="13" s="1"/>
  <c r="U221" i="13" s="1"/>
  <c r="V221" i="13" s="1"/>
  <c r="W221" i="13" s="1"/>
  <c r="X221" i="13" s="1"/>
  <c r="Y221" i="13" s="1"/>
  <c r="Z221" i="13" s="1"/>
  <c r="AA221" i="13" s="1"/>
  <c r="AB221" i="13" s="1"/>
  <c r="AC221" i="13" s="1"/>
  <c r="AD221" i="13" s="1"/>
  <c r="AE221" i="13" s="1"/>
  <c r="AF221" i="13" s="1"/>
  <c r="AG221" i="13" s="1"/>
  <c r="AH221" i="13" s="1"/>
  <c r="F126" i="13"/>
  <c r="G126" i="13" s="1"/>
  <c r="H126" i="13" s="1"/>
  <c r="I126" i="13" s="1"/>
  <c r="J126" i="13" s="1"/>
  <c r="K126" i="13" s="1"/>
  <c r="L126" i="13" s="1"/>
  <c r="M126" i="13" s="1"/>
  <c r="N126" i="13" s="1"/>
  <c r="O126" i="13" s="1"/>
  <c r="P126" i="13" s="1"/>
  <c r="Q126" i="13" s="1"/>
  <c r="R126" i="13" s="1"/>
  <c r="S126" i="13" s="1"/>
  <c r="T126" i="13" s="1"/>
  <c r="U126" i="13" s="1"/>
  <c r="V126" i="13" s="1"/>
  <c r="W126" i="13" s="1"/>
  <c r="X126" i="13" s="1"/>
  <c r="Y126" i="13" s="1"/>
  <c r="Z126" i="13" s="1"/>
  <c r="AA126" i="13" s="1"/>
  <c r="AB126" i="13" s="1"/>
  <c r="AC126" i="13" s="1"/>
  <c r="AD126" i="13" s="1"/>
  <c r="AE126" i="13" s="1"/>
  <c r="AF126" i="13" s="1"/>
  <c r="AG126" i="13" s="1"/>
  <c r="AH126" i="13" s="1"/>
  <c r="F131" i="13"/>
  <c r="G131" i="13" s="1"/>
  <c r="H131" i="13" s="1"/>
  <c r="I131" i="13" s="1"/>
  <c r="J131" i="13" s="1"/>
  <c r="K131" i="13" s="1"/>
  <c r="L131" i="13" s="1"/>
  <c r="M131" i="13" s="1"/>
  <c r="N131" i="13" s="1"/>
  <c r="O131" i="13" s="1"/>
  <c r="P131" i="13" s="1"/>
  <c r="Q131" i="13" s="1"/>
  <c r="R131" i="13" s="1"/>
  <c r="S131" i="13" s="1"/>
  <c r="T131" i="13" s="1"/>
  <c r="U131" i="13" s="1"/>
  <c r="V131" i="13" s="1"/>
  <c r="W131" i="13" s="1"/>
  <c r="X131" i="13" s="1"/>
  <c r="Y131" i="13" s="1"/>
  <c r="Z131" i="13" s="1"/>
  <c r="AA131" i="13" s="1"/>
  <c r="AB131" i="13" s="1"/>
  <c r="AC131" i="13" s="1"/>
  <c r="AD131" i="13" s="1"/>
  <c r="AE131" i="13" s="1"/>
  <c r="AF131" i="13" s="1"/>
  <c r="AG131" i="13" s="1"/>
  <c r="AH131" i="13" s="1"/>
  <c r="F82" i="13"/>
  <c r="F76" i="13"/>
  <c r="G76" i="13" s="1"/>
  <c r="H76" i="13" s="1"/>
  <c r="I76" i="13" s="1"/>
  <c r="J76" i="13" s="1"/>
  <c r="K76" i="13" s="1"/>
  <c r="L76" i="13" s="1"/>
  <c r="M76" i="13" s="1"/>
  <c r="N76" i="13" s="1"/>
  <c r="O76" i="13" s="1"/>
  <c r="P76" i="13" s="1"/>
  <c r="Q76" i="13" s="1"/>
  <c r="R76" i="13" s="1"/>
  <c r="S76" i="13" s="1"/>
  <c r="T76" i="13" s="1"/>
  <c r="U76" i="13" s="1"/>
  <c r="V76" i="13" s="1"/>
  <c r="W76" i="13" s="1"/>
  <c r="X76" i="13" s="1"/>
  <c r="Y76" i="13" s="1"/>
  <c r="Z76" i="13" s="1"/>
  <c r="AA76" i="13" s="1"/>
  <c r="AB76" i="13" s="1"/>
  <c r="AC76" i="13" s="1"/>
  <c r="AD76" i="13" s="1"/>
  <c r="AE76" i="13" s="1"/>
  <c r="AF76" i="13" s="1"/>
  <c r="AG76" i="13" s="1"/>
  <c r="AH76" i="13" s="1"/>
  <c r="F36" i="13"/>
  <c r="G36" i="13" s="1"/>
  <c r="H36" i="13" s="1"/>
  <c r="I36" i="13" s="1"/>
  <c r="J36" i="13" s="1"/>
  <c r="K36" i="13" s="1"/>
  <c r="L36" i="13" s="1"/>
  <c r="M36" i="13" s="1"/>
  <c r="N36" i="13" s="1"/>
  <c r="O36" i="13" s="1"/>
  <c r="P36" i="13" s="1"/>
  <c r="Q36" i="13" s="1"/>
  <c r="R36" i="13" s="1"/>
  <c r="S36" i="13" s="1"/>
  <c r="T36" i="13" s="1"/>
  <c r="U36" i="13" s="1"/>
  <c r="V36" i="13" s="1"/>
  <c r="W36" i="13" s="1"/>
  <c r="X36" i="13" s="1"/>
  <c r="Y36" i="13" s="1"/>
  <c r="Z36" i="13" s="1"/>
  <c r="AA36" i="13" s="1"/>
  <c r="AB36" i="13" s="1"/>
  <c r="AC36" i="13" s="1"/>
  <c r="AD36" i="13" s="1"/>
  <c r="AE36" i="13" s="1"/>
  <c r="AF36" i="13" s="1"/>
  <c r="AG36" i="13" s="1"/>
  <c r="AH36" i="13" s="1"/>
  <c r="F45" i="13"/>
  <c r="F26" i="13"/>
  <c r="G26" i="13" s="1"/>
  <c r="H26" i="13" s="1"/>
  <c r="I26" i="13" s="1"/>
  <c r="J26" i="13" s="1"/>
  <c r="K26" i="13" s="1"/>
  <c r="L26" i="13" s="1"/>
  <c r="M26" i="13" s="1"/>
  <c r="N26" i="13" s="1"/>
  <c r="O26" i="13" s="1"/>
  <c r="P26" i="13" s="1"/>
  <c r="Q26" i="13" s="1"/>
  <c r="R26" i="13" s="1"/>
  <c r="S26" i="13" s="1"/>
  <c r="T26" i="13" s="1"/>
  <c r="U26" i="13" s="1"/>
  <c r="V26" i="13" s="1"/>
  <c r="W26" i="13" s="1"/>
  <c r="X26" i="13" s="1"/>
  <c r="Y26" i="13" s="1"/>
  <c r="Z26" i="13" s="1"/>
  <c r="AA26" i="13" s="1"/>
  <c r="AB26" i="13" s="1"/>
  <c r="AC26" i="13" s="1"/>
  <c r="AD26" i="13" s="1"/>
  <c r="AE26" i="13" s="1"/>
  <c r="AF26" i="13" s="1"/>
  <c r="AG26" i="13" s="1"/>
  <c r="AH26" i="13" s="1"/>
  <c r="F19" i="13"/>
  <c r="G19" i="13" s="1"/>
  <c r="H19" i="13" s="1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W19" i="13" s="1"/>
  <c r="X19" i="13" s="1"/>
  <c r="Y19" i="13" s="1"/>
  <c r="Z19" i="13" s="1"/>
  <c r="AA19" i="13" s="1"/>
  <c r="AB19" i="13" s="1"/>
  <c r="AC19" i="13" s="1"/>
  <c r="AD19" i="13" s="1"/>
  <c r="AE19" i="13" s="1"/>
  <c r="AF19" i="13" s="1"/>
  <c r="AG19" i="13" s="1"/>
  <c r="AH19" i="13" s="1"/>
  <c r="F12" i="13"/>
  <c r="G12" i="13" s="1"/>
  <c r="H12" i="13" s="1"/>
  <c r="R245" i="11" l="1"/>
  <c r="R247" i="11"/>
  <c r="H87" i="13"/>
  <c r="S244" i="11" s="1"/>
  <c r="R244" i="11"/>
  <c r="H90" i="13"/>
  <c r="L78" i="13"/>
  <c r="K79" i="13"/>
  <c r="K120" i="13" s="1"/>
  <c r="U77" i="13"/>
  <c r="AS78" i="11"/>
  <c r="AS90" i="11" s="1"/>
  <c r="AS91" i="11" s="1"/>
  <c r="AK68" i="11"/>
  <c r="AK74" i="11"/>
  <c r="AK71" i="11"/>
  <c r="AK73" i="11"/>
  <c r="AL67" i="11"/>
  <c r="AL71" i="11" s="1"/>
  <c r="U206" i="11"/>
  <c r="V206" i="11" s="1"/>
  <c r="W206" i="11" s="1"/>
  <c r="X206" i="11" s="1"/>
  <c r="Y206" i="11" s="1"/>
  <c r="Z206" i="11" s="1"/>
  <c r="AA206" i="11" s="1"/>
  <c r="AB206" i="11" s="1"/>
  <c r="AC206" i="11" s="1"/>
  <c r="T207" i="11"/>
  <c r="U230" i="11"/>
  <c r="V230" i="11" s="1"/>
  <c r="W230" i="11" s="1"/>
  <c r="X230" i="11" s="1"/>
  <c r="Y230" i="11" s="1"/>
  <c r="Z230" i="11" s="1"/>
  <c r="AA230" i="11" s="1"/>
  <c r="AB230" i="11" s="1"/>
  <c r="AC230" i="11" s="1"/>
  <c r="T231" i="11"/>
  <c r="U221" i="11"/>
  <c r="V221" i="11" s="1"/>
  <c r="W221" i="11" s="1"/>
  <c r="X221" i="11" s="1"/>
  <c r="Y221" i="11" s="1"/>
  <c r="Z221" i="11" s="1"/>
  <c r="AA221" i="11" s="1"/>
  <c r="AB221" i="11" s="1"/>
  <c r="AC221" i="11" s="1"/>
  <c r="T222" i="11"/>
  <c r="U212" i="11"/>
  <c r="V212" i="11" s="1"/>
  <c r="W212" i="11" s="1"/>
  <c r="X212" i="11" s="1"/>
  <c r="Y212" i="11" s="1"/>
  <c r="Z212" i="11" s="1"/>
  <c r="AA212" i="11" s="1"/>
  <c r="AB212" i="11" s="1"/>
  <c r="AC212" i="11" s="1"/>
  <c r="T213" i="11"/>
  <c r="U227" i="11"/>
  <c r="V227" i="11" s="1"/>
  <c r="W227" i="11" s="1"/>
  <c r="X227" i="11" s="1"/>
  <c r="Y227" i="11" s="1"/>
  <c r="Z227" i="11" s="1"/>
  <c r="AA227" i="11" s="1"/>
  <c r="AB227" i="11" s="1"/>
  <c r="AC227" i="11" s="1"/>
  <c r="T228" i="11"/>
  <c r="U239" i="11"/>
  <c r="V239" i="11" s="1"/>
  <c r="W239" i="11" s="1"/>
  <c r="X239" i="11" s="1"/>
  <c r="Y239" i="11" s="1"/>
  <c r="Z239" i="11" s="1"/>
  <c r="AA239" i="11" s="1"/>
  <c r="AB239" i="11" s="1"/>
  <c r="AC239" i="11" s="1"/>
  <c r="T240" i="11"/>
  <c r="U209" i="11"/>
  <c r="V209" i="11" s="1"/>
  <c r="W209" i="11" s="1"/>
  <c r="X209" i="11" s="1"/>
  <c r="Y209" i="11" s="1"/>
  <c r="Z209" i="11" s="1"/>
  <c r="AA209" i="11" s="1"/>
  <c r="AB209" i="11" s="1"/>
  <c r="AC209" i="11" s="1"/>
  <c r="T210" i="11"/>
  <c r="U215" i="11"/>
  <c r="V215" i="11" s="1"/>
  <c r="W215" i="11" s="1"/>
  <c r="X215" i="11" s="1"/>
  <c r="Y215" i="11" s="1"/>
  <c r="Z215" i="11" s="1"/>
  <c r="AA215" i="11" s="1"/>
  <c r="AB215" i="11" s="1"/>
  <c r="AC215" i="11" s="1"/>
  <c r="T216" i="11"/>
  <c r="U236" i="11"/>
  <c r="V236" i="11" s="1"/>
  <c r="W236" i="11" s="1"/>
  <c r="X236" i="11" s="1"/>
  <c r="Y236" i="11" s="1"/>
  <c r="Z236" i="11" s="1"/>
  <c r="AA236" i="11" s="1"/>
  <c r="AB236" i="11" s="1"/>
  <c r="AC236" i="11" s="1"/>
  <c r="T237" i="11"/>
  <c r="U233" i="11"/>
  <c r="V233" i="11" s="1"/>
  <c r="W233" i="11" s="1"/>
  <c r="X233" i="11" s="1"/>
  <c r="Y233" i="11" s="1"/>
  <c r="Z233" i="11" s="1"/>
  <c r="AA233" i="11" s="1"/>
  <c r="AB233" i="11" s="1"/>
  <c r="AC233" i="11" s="1"/>
  <c r="T234" i="11"/>
  <c r="I12" i="13"/>
  <c r="J12" i="13" s="1"/>
  <c r="K12" i="13" s="1"/>
  <c r="L12" i="13" s="1"/>
  <c r="M12" i="13" s="1"/>
  <c r="N12" i="13" s="1"/>
  <c r="O12" i="13" s="1"/>
  <c r="P12" i="13" s="1"/>
  <c r="Q12" i="13" s="1"/>
  <c r="R12" i="13" s="1"/>
  <c r="S12" i="13" s="1"/>
  <c r="T12" i="13" s="1"/>
  <c r="U12" i="13" s="1"/>
  <c r="V12" i="13" s="1"/>
  <c r="W12" i="13" s="1"/>
  <c r="X12" i="13" s="1"/>
  <c r="Y12" i="13" s="1"/>
  <c r="Z12" i="13" s="1"/>
  <c r="AA12" i="13" s="1"/>
  <c r="AB12" i="13" s="1"/>
  <c r="AC12" i="13" s="1"/>
  <c r="AD12" i="13" s="1"/>
  <c r="AE12" i="13" s="1"/>
  <c r="AF12" i="13" s="1"/>
  <c r="AG12" i="13" s="1"/>
  <c r="AH12" i="13" s="1"/>
  <c r="AS66" i="11"/>
  <c r="AG100" i="13"/>
  <c r="AQ223" i="11"/>
  <c r="AG99" i="13"/>
  <c r="AQ217" i="11"/>
  <c r="AG101" i="13"/>
  <c r="AQ241" i="11"/>
  <c r="D14" i="13"/>
  <c r="E14" i="13" s="1"/>
  <c r="AC10" i="13"/>
  <c r="AM65" i="11"/>
  <c r="V211" i="13"/>
  <c r="V215" i="13" s="1"/>
  <c r="AG95" i="11" s="1"/>
  <c r="X133" i="13"/>
  <c r="G45" i="13"/>
  <c r="G82" i="13"/>
  <c r="I91" i="13"/>
  <c r="T220" i="11" s="1"/>
  <c r="I88" i="13"/>
  <c r="T214" i="11" s="1"/>
  <c r="I86" i="13"/>
  <c r="T211" i="11" s="1"/>
  <c r="I85" i="13"/>
  <c r="T208" i="11" s="1"/>
  <c r="I95" i="13"/>
  <c r="T232" i="11" s="1"/>
  <c r="I94" i="13"/>
  <c r="T229" i="11" s="1"/>
  <c r="I84" i="13"/>
  <c r="T205" i="11" s="1"/>
  <c r="I97" i="13"/>
  <c r="I89" i="13"/>
  <c r="I93" i="13"/>
  <c r="T226" i="11" s="1"/>
  <c r="I96" i="13"/>
  <c r="T235" i="11" s="1"/>
  <c r="I92" i="13"/>
  <c r="Q182" i="11"/>
  <c r="F47" i="13"/>
  <c r="F48" i="13"/>
  <c r="Q176" i="11" s="1"/>
  <c r="M233" i="13"/>
  <c r="E37" i="10"/>
  <c r="E48" i="10" s="1"/>
  <c r="F37" i="10"/>
  <c r="F48" i="10" s="1"/>
  <c r="G37" i="10"/>
  <c r="G48" i="10" s="1"/>
  <c r="H37" i="10"/>
  <c r="H48" i="10" s="1"/>
  <c r="I37" i="10"/>
  <c r="I48" i="10" s="1"/>
  <c r="J37" i="10"/>
  <c r="J48" i="10" s="1"/>
  <c r="K37" i="10"/>
  <c r="K48" i="10" s="1"/>
  <c r="L37" i="10"/>
  <c r="L48" i="10" s="1"/>
  <c r="M37" i="10"/>
  <c r="M48" i="10" s="1"/>
  <c r="N37" i="10"/>
  <c r="N48" i="10" s="1"/>
  <c r="O37" i="10"/>
  <c r="O48" i="10" s="1"/>
  <c r="P37" i="10"/>
  <c r="P48" i="10" s="1"/>
  <c r="Q37" i="10"/>
  <c r="Q48" i="10" s="1"/>
  <c r="R37" i="10"/>
  <c r="R48" i="10" s="1"/>
  <c r="S37" i="10"/>
  <c r="S48" i="10" s="1"/>
  <c r="T37" i="10"/>
  <c r="T48" i="10" s="1"/>
  <c r="U37" i="10"/>
  <c r="U48" i="10" s="1"/>
  <c r="W37" i="10"/>
  <c r="W48" i="10" s="1"/>
  <c r="X37" i="10"/>
  <c r="X48" i="10" s="1"/>
  <c r="Y37" i="10"/>
  <c r="Y48" i="10" s="1"/>
  <c r="Z37" i="10"/>
  <c r="Z48" i="10" s="1"/>
  <c r="AA37" i="10"/>
  <c r="AA48" i="10" s="1"/>
  <c r="AB37" i="10"/>
  <c r="AB48" i="10" s="1"/>
  <c r="AC37" i="10"/>
  <c r="AC48" i="10" s="1"/>
  <c r="AD37" i="10"/>
  <c r="AD48" i="10" s="1"/>
  <c r="AE37" i="10"/>
  <c r="AE48" i="10" s="1"/>
  <c r="AF37" i="10"/>
  <c r="AF48" i="10" s="1"/>
  <c r="AG37" i="10"/>
  <c r="AG48" i="10" s="1"/>
  <c r="AH37" i="10"/>
  <c r="AH48" i="10" s="1"/>
  <c r="AI37" i="10"/>
  <c r="AI48" i="10" s="1"/>
  <c r="AJ37" i="10"/>
  <c r="AJ48" i="10" s="1"/>
  <c r="S245" i="11" l="1"/>
  <c r="S247" i="11"/>
  <c r="S246" i="11"/>
  <c r="I90" i="13"/>
  <c r="T246" i="11" s="1"/>
  <c r="I87" i="13"/>
  <c r="T244" i="11" s="1"/>
  <c r="M78" i="13"/>
  <c r="L79" i="13"/>
  <c r="L120" i="13" s="1"/>
  <c r="V77" i="13"/>
  <c r="Q173" i="11"/>
  <c r="Q175" i="11" s="1"/>
  <c r="AL68" i="11"/>
  <c r="AL74" i="11"/>
  <c r="E102" i="13"/>
  <c r="E228" i="13"/>
  <c r="E229" i="13" s="1"/>
  <c r="E235" i="13" s="1"/>
  <c r="E238" i="13" s="1"/>
  <c r="AM67" i="11"/>
  <c r="AM71" i="11" s="1"/>
  <c r="AL73" i="11"/>
  <c r="AL72" i="11"/>
  <c r="U234" i="11"/>
  <c r="V234" i="11" s="1"/>
  <c r="W234" i="11" s="1"/>
  <c r="X234" i="11" s="1"/>
  <c r="Y234" i="11" s="1"/>
  <c r="Z234" i="11" s="1"/>
  <c r="AA234" i="11" s="1"/>
  <c r="AB234" i="11" s="1"/>
  <c r="AC234" i="11" s="1"/>
  <c r="U216" i="11"/>
  <c r="V216" i="11" s="1"/>
  <c r="W216" i="11" s="1"/>
  <c r="X216" i="11" s="1"/>
  <c r="Y216" i="11" s="1"/>
  <c r="Z216" i="11" s="1"/>
  <c r="AA216" i="11" s="1"/>
  <c r="AB216" i="11" s="1"/>
  <c r="AC216" i="11" s="1"/>
  <c r="U210" i="11"/>
  <c r="V210" i="11" s="1"/>
  <c r="W210" i="11" s="1"/>
  <c r="X210" i="11" s="1"/>
  <c r="Y210" i="11" s="1"/>
  <c r="Z210" i="11" s="1"/>
  <c r="AA210" i="11" s="1"/>
  <c r="AB210" i="11" s="1"/>
  <c r="AC210" i="11" s="1"/>
  <c r="U228" i="11"/>
  <c r="V228" i="11" s="1"/>
  <c r="W228" i="11" s="1"/>
  <c r="X228" i="11" s="1"/>
  <c r="Y228" i="11" s="1"/>
  <c r="Z228" i="11" s="1"/>
  <c r="AA228" i="11" s="1"/>
  <c r="AB228" i="11" s="1"/>
  <c r="AC228" i="11" s="1"/>
  <c r="U222" i="11"/>
  <c r="V222" i="11" s="1"/>
  <c r="W222" i="11" s="1"/>
  <c r="X222" i="11" s="1"/>
  <c r="Y222" i="11" s="1"/>
  <c r="Z222" i="11" s="1"/>
  <c r="AA222" i="11" s="1"/>
  <c r="AB222" i="11" s="1"/>
  <c r="AC222" i="11" s="1"/>
  <c r="U237" i="11"/>
  <c r="V237" i="11" s="1"/>
  <c r="W237" i="11" s="1"/>
  <c r="X237" i="11" s="1"/>
  <c r="Y237" i="11" s="1"/>
  <c r="Z237" i="11" s="1"/>
  <c r="AA237" i="11" s="1"/>
  <c r="AB237" i="11" s="1"/>
  <c r="AC237" i="11" s="1"/>
  <c r="U240" i="11"/>
  <c r="V240" i="11" s="1"/>
  <c r="W240" i="11" s="1"/>
  <c r="X240" i="11" s="1"/>
  <c r="Y240" i="11" s="1"/>
  <c r="Z240" i="11" s="1"/>
  <c r="AA240" i="11" s="1"/>
  <c r="AB240" i="11" s="1"/>
  <c r="AC240" i="11" s="1"/>
  <c r="U213" i="11"/>
  <c r="V213" i="11" s="1"/>
  <c r="W213" i="11" s="1"/>
  <c r="X213" i="11" s="1"/>
  <c r="Y213" i="11" s="1"/>
  <c r="Z213" i="11" s="1"/>
  <c r="AA213" i="11" s="1"/>
  <c r="AB213" i="11" s="1"/>
  <c r="AC213" i="11" s="1"/>
  <c r="U231" i="11"/>
  <c r="V231" i="11" s="1"/>
  <c r="W231" i="11" s="1"/>
  <c r="X231" i="11" s="1"/>
  <c r="Y231" i="11" s="1"/>
  <c r="Z231" i="11" s="1"/>
  <c r="AA231" i="11" s="1"/>
  <c r="AB231" i="11" s="1"/>
  <c r="AC231" i="11" s="1"/>
  <c r="U207" i="11"/>
  <c r="V207" i="11" s="1"/>
  <c r="W207" i="11" s="1"/>
  <c r="X207" i="11" s="1"/>
  <c r="Y207" i="11" s="1"/>
  <c r="Z207" i="11" s="1"/>
  <c r="AA207" i="11" s="1"/>
  <c r="AB207" i="11" s="1"/>
  <c r="AC207" i="11" s="1"/>
  <c r="AI12" i="13"/>
  <c r="P265" i="11"/>
  <c r="AH100" i="13"/>
  <c r="AS223" i="11" s="1"/>
  <c r="AR223" i="11"/>
  <c r="J97" i="13"/>
  <c r="U238" i="11" s="1"/>
  <c r="T238" i="11"/>
  <c r="AH99" i="13"/>
  <c r="AS217" i="11" s="1"/>
  <c r="AR217" i="11"/>
  <c r="AH101" i="13"/>
  <c r="AS241" i="11" s="1"/>
  <c r="AR241" i="11"/>
  <c r="AD10" i="13"/>
  <c r="AN65" i="11"/>
  <c r="E103" i="13"/>
  <c r="E104" i="13"/>
  <c r="E53" i="13"/>
  <c r="E54" i="13"/>
  <c r="E55" i="13"/>
  <c r="E128" i="13"/>
  <c r="E214" i="13" s="1"/>
  <c r="P113" i="11" s="1"/>
  <c r="E127" i="13"/>
  <c r="E147" i="13" s="1"/>
  <c r="W211" i="13"/>
  <c r="W215" i="13" s="1"/>
  <c r="AH95" i="11" s="1"/>
  <c r="F14" i="13"/>
  <c r="F228" i="13" s="1"/>
  <c r="Y133" i="13"/>
  <c r="H82" i="13"/>
  <c r="H45" i="13"/>
  <c r="E265" i="13"/>
  <c r="E266" i="13" s="1"/>
  <c r="J89" i="13"/>
  <c r="J85" i="13"/>
  <c r="U208" i="11" s="1"/>
  <c r="J96" i="13"/>
  <c r="U235" i="11" s="1"/>
  <c r="J84" i="13"/>
  <c r="U205" i="11" s="1"/>
  <c r="J88" i="13"/>
  <c r="U214" i="11" s="1"/>
  <c r="J92" i="13"/>
  <c r="J93" i="13"/>
  <c r="U226" i="11" s="1"/>
  <c r="J94" i="13"/>
  <c r="U229" i="11" s="1"/>
  <c r="J95" i="13"/>
  <c r="U232" i="11" s="1"/>
  <c r="J86" i="13"/>
  <c r="U211" i="11" s="1"/>
  <c r="J91" i="13"/>
  <c r="U220" i="11" s="1"/>
  <c r="R182" i="11"/>
  <c r="G48" i="13"/>
  <c r="R176" i="11" s="1"/>
  <c r="G47" i="13"/>
  <c r="N233" i="13"/>
  <c r="I272" i="13"/>
  <c r="I275" i="13" s="1"/>
  <c r="M272" i="13"/>
  <c r="M275" i="13" s="1"/>
  <c r="Q272" i="13"/>
  <c r="Q275" i="13" s="1"/>
  <c r="U272" i="13"/>
  <c r="U275" i="13" s="1"/>
  <c r="Y272" i="13"/>
  <c r="Y275" i="13" s="1"/>
  <c r="AC272" i="13"/>
  <c r="AC275" i="13" s="1"/>
  <c r="AG272" i="13"/>
  <c r="AG275" i="13" s="1"/>
  <c r="H272" i="13"/>
  <c r="H275" i="13" s="1"/>
  <c r="T272" i="13"/>
  <c r="T275" i="13" s="1"/>
  <c r="F272" i="13"/>
  <c r="F275" i="13" s="1"/>
  <c r="J272" i="13"/>
  <c r="J275" i="13" s="1"/>
  <c r="N272" i="13"/>
  <c r="N275" i="13" s="1"/>
  <c r="R272" i="13"/>
  <c r="R275" i="13" s="1"/>
  <c r="V272" i="13"/>
  <c r="V275" i="13" s="1"/>
  <c r="Z272" i="13"/>
  <c r="Z275" i="13" s="1"/>
  <c r="AD272" i="13"/>
  <c r="AD275" i="13" s="1"/>
  <c r="AH272" i="13"/>
  <c r="AH275" i="13" s="1"/>
  <c r="L272" i="13"/>
  <c r="L275" i="13" s="1"/>
  <c r="X272" i="13"/>
  <c r="X275" i="13" s="1"/>
  <c r="AF272" i="13"/>
  <c r="AF275" i="13" s="1"/>
  <c r="G272" i="13"/>
  <c r="G275" i="13" s="1"/>
  <c r="K272" i="13"/>
  <c r="K275" i="13" s="1"/>
  <c r="O272" i="13"/>
  <c r="O275" i="13" s="1"/>
  <c r="S272" i="13"/>
  <c r="S275" i="13" s="1"/>
  <c r="W272" i="13"/>
  <c r="W275" i="13" s="1"/>
  <c r="AA272" i="13"/>
  <c r="AA275" i="13" s="1"/>
  <c r="AE272" i="13"/>
  <c r="AE275" i="13" s="1"/>
  <c r="E272" i="13"/>
  <c r="E275" i="13" s="1"/>
  <c r="P272" i="13"/>
  <c r="P275" i="13" s="1"/>
  <c r="AB272" i="13"/>
  <c r="AB275" i="13" s="1"/>
  <c r="D36" i="10"/>
  <c r="C36" i="10" s="1"/>
  <c r="D35" i="10"/>
  <c r="C35" i="10" s="1"/>
  <c r="T247" i="11" l="1"/>
  <c r="T245" i="11"/>
  <c r="J87" i="13"/>
  <c r="U244" i="11" s="1"/>
  <c r="J90" i="13"/>
  <c r="N78" i="13"/>
  <c r="M79" i="13"/>
  <c r="M120" i="13" s="1"/>
  <c r="W77" i="13"/>
  <c r="E59" i="13"/>
  <c r="R173" i="11"/>
  <c r="R175" i="11" s="1"/>
  <c r="E216" i="13"/>
  <c r="AM68" i="11"/>
  <c r="AM74" i="11"/>
  <c r="AM73" i="11"/>
  <c r="AM72" i="11"/>
  <c r="AN67" i="11"/>
  <c r="AN71" i="11" s="1"/>
  <c r="P267" i="11"/>
  <c r="P268" i="11" s="1"/>
  <c r="P252" i="11" s="1"/>
  <c r="Q266" i="11"/>
  <c r="R266" i="11" s="1"/>
  <c r="S266" i="11" s="1"/>
  <c r="E293" i="13"/>
  <c r="F293" i="13" s="1"/>
  <c r="G293" i="13" s="1"/>
  <c r="H293" i="13" s="1"/>
  <c r="I293" i="13" s="1"/>
  <c r="J293" i="13" s="1"/>
  <c r="K293" i="13" s="1"/>
  <c r="L293" i="13" s="1"/>
  <c r="M293" i="13" s="1"/>
  <c r="N293" i="13" s="1"/>
  <c r="O293" i="13" s="1"/>
  <c r="P293" i="13" s="1"/>
  <c r="Q293" i="13" s="1"/>
  <c r="R293" i="13" s="1"/>
  <c r="S293" i="13" s="1"/>
  <c r="T293" i="13" s="1"/>
  <c r="U293" i="13" s="1"/>
  <c r="V293" i="13" s="1"/>
  <c r="W293" i="13" s="1"/>
  <c r="X293" i="13" s="1"/>
  <c r="Y293" i="13" s="1"/>
  <c r="Z293" i="13" s="1"/>
  <c r="AA293" i="13" s="1"/>
  <c r="AB293" i="13" s="1"/>
  <c r="AC293" i="13" s="1"/>
  <c r="AD293" i="13" s="1"/>
  <c r="AE293" i="13" s="1"/>
  <c r="AF293" i="13" s="1"/>
  <c r="AG293" i="13" s="1"/>
  <c r="AH293" i="13" s="1"/>
  <c r="E294" i="13"/>
  <c r="F294" i="13" s="1"/>
  <c r="G294" i="13" s="1"/>
  <c r="H294" i="13" s="1"/>
  <c r="I294" i="13" s="1"/>
  <c r="J294" i="13" s="1"/>
  <c r="K294" i="13" s="1"/>
  <c r="L294" i="13" s="1"/>
  <c r="M294" i="13" s="1"/>
  <c r="N294" i="13" s="1"/>
  <c r="O294" i="13" s="1"/>
  <c r="P294" i="13" s="1"/>
  <c r="Q294" i="13" s="1"/>
  <c r="R294" i="13" s="1"/>
  <c r="S294" i="13" s="1"/>
  <c r="T294" i="13" s="1"/>
  <c r="U294" i="13" s="1"/>
  <c r="V294" i="13" s="1"/>
  <c r="W294" i="13" s="1"/>
  <c r="X294" i="13" s="1"/>
  <c r="Y294" i="13" s="1"/>
  <c r="Z294" i="13" s="1"/>
  <c r="AA294" i="13" s="1"/>
  <c r="AB294" i="13" s="1"/>
  <c r="AC294" i="13" s="1"/>
  <c r="AD294" i="13" s="1"/>
  <c r="AE294" i="13" s="1"/>
  <c r="AF294" i="13" s="1"/>
  <c r="AG294" i="13" s="1"/>
  <c r="AH294" i="13" s="1"/>
  <c r="E295" i="13"/>
  <c r="F295" i="13" s="1"/>
  <c r="G295" i="13" s="1"/>
  <c r="H295" i="13" s="1"/>
  <c r="I295" i="13" s="1"/>
  <c r="J295" i="13" s="1"/>
  <c r="K295" i="13" s="1"/>
  <c r="L295" i="13" s="1"/>
  <c r="M295" i="13" s="1"/>
  <c r="N295" i="13" s="1"/>
  <c r="O295" i="13" s="1"/>
  <c r="P295" i="13" s="1"/>
  <c r="Q295" i="13" s="1"/>
  <c r="R295" i="13" s="1"/>
  <c r="S295" i="13" s="1"/>
  <c r="T295" i="13" s="1"/>
  <c r="U295" i="13" s="1"/>
  <c r="V295" i="13" s="1"/>
  <c r="W295" i="13" s="1"/>
  <c r="X295" i="13" s="1"/>
  <c r="Y295" i="13" s="1"/>
  <c r="Z295" i="13" s="1"/>
  <c r="AA295" i="13" s="1"/>
  <c r="AB295" i="13" s="1"/>
  <c r="AC295" i="13" s="1"/>
  <c r="AD295" i="13" s="1"/>
  <c r="AE295" i="13" s="1"/>
  <c r="AF295" i="13" s="1"/>
  <c r="AG295" i="13" s="1"/>
  <c r="AH295" i="13" s="1"/>
  <c r="E296" i="13"/>
  <c r="F296" i="13" s="1"/>
  <c r="G296" i="13" s="1"/>
  <c r="H296" i="13" s="1"/>
  <c r="I296" i="13" s="1"/>
  <c r="J296" i="13" s="1"/>
  <c r="K296" i="13" s="1"/>
  <c r="L296" i="13" s="1"/>
  <c r="M296" i="13" s="1"/>
  <c r="N296" i="13" s="1"/>
  <c r="O296" i="13" s="1"/>
  <c r="P296" i="13" s="1"/>
  <c r="Q296" i="13" s="1"/>
  <c r="R296" i="13" s="1"/>
  <c r="S296" i="13" s="1"/>
  <c r="T296" i="13" s="1"/>
  <c r="U296" i="13" s="1"/>
  <c r="V296" i="13" s="1"/>
  <c r="W296" i="13" s="1"/>
  <c r="X296" i="13" s="1"/>
  <c r="Y296" i="13" s="1"/>
  <c r="Z296" i="13" s="1"/>
  <c r="AA296" i="13" s="1"/>
  <c r="AB296" i="13" s="1"/>
  <c r="AC296" i="13" s="1"/>
  <c r="AD296" i="13" s="1"/>
  <c r="AE296" i="13" s="1"/>
  <c r="AF296" i="13" s="1"/>
  <c r="AG296" i="13" s="1"/>
  <c r="AH296" i="13" s="1"/>
  <c r="Q265" i="11"/>
  <c r="AE10" i="13"/>
  <c r="AO65" i="11"/>
  <c r="F104" i="13"/>
  <c r="F102" i="13"/>
  <c r="F103" i="13"/>
  <c r="E62" i="13"/>
  <c r="E61" i="13"/>
  <c r="E60" i="13"/>
  <c r="E108" i="13"/>
  <c r="F265" i="13"/>
  <c r="F266" i="13" s="1"/>
  <c r="F127" i="13"/>
  <c r="F147" i="13" s="1"/>
  <c r="F128" i="13"/>
  <c r="F214" i="13" s="1"/>
  <c r="Q113" i="11" s="1"/>
  <c r="F229" i="13"/>
  <c r="F235" i="13" s="1"/>
  <c r="F238" i="13" s="1"/>
  <c r="G14" i="13"/>
  <c r="G228" i="13" s="1"/>
  <c r="X211" i="13"/>
  <c r="X215" i="13" s="1"/>
  <c r="AI95" i="11" s="1"/>
  <c r="Z133" i="13"/>
  <c r="E110" i="13"/>
  <c r="E109" i="13"/>
  <c r="E111" i="13"/>
  <c r="I45" i="13"/>
  <c r="I82" i="13"/>
  <c r="K86" i="13"/>
  <c r="V211" i="11" s="1"/>
  <c r="K94" i="13"/>
  <c r="V229" i="11" s="1"/>
  <c r="K92" i="13"/>
  <c r="K85" i="13"/>
  <c r="V208" i="11" s="1"/>
  <c r="K91" i="13"/>
  <c r="V220" i="11" s="1"/>
  <c r="K95" i="13"/>
  <c r="V232" i="11" s="1"/>
  <c r="K97" i="13"/>
  <c r="V238" i="11" s="1"/>
  <c r="K93" i="13"/>
  <c r="V226" i="11" s="1"/>
  <c r="K88" i="13"/>
  <c r="V214" i="11" s="1"/>
  <c r="K84" i="13"/>
  <c r="V205" i="11" s="1"/>
  <c r="K96" i="13"/>
  <c r="V235" i="11" s="1"/>
  <c r="K89" i="13"/>
  <c r="S182" i="11"/>
  <c r="T183" i="11" s="1"/>
  <c r="H47" i="13"/>
  <c r="H48" i="13"/>
  <c r="S176" i="11" s="1"/>
  <c r="T177" i="11" s="1"/>
  <c r="O233" i="13"/>
  <c r="D34" i="10"/>
  <c r="C34" i="10" s="1"/>
  <c r="P56" i="11" l="1"/>
  <c r="P82" i="11" s="1"/>
  <c r="B56" i="11"/>
  <c r="U245" i="11"/>
  <c r="U247" i="11"/>
  <c r="U246" i="11"/>
  <c r="K90" i="13"/>
  <c r="V246" i="11" s="1"/>
  <c r="K87" i="13"/>
  <c r="O78" i="13"/>
  <c r="N79" i="13"/>
  <c r="N120" i="13" s="1"/>
  <c r="X77" i="13"/>
  <c r="S173" i="11"/>
  <c r="T174" i="11" s="1"/>
  <c r="U174" i="11" s="1"/>
  <c r="V174" i="11" s="1"/>
  <c r="W174" i="11" s="1"/>
  <c r="X174" i="11" s="1"/>
  <c r="F216" i="13"/>
  <c r="AN68" i="11"/>
  <c r="AN73" i="11"/>
  <c r="Q267" i="11"/>
  <c r="AN74" i="11"/>
  <c r="AO67" i="11"/>
  <c r="AO72" i="11" s="1"/>
  <c r="AN72" i="11"/>
  <c r="P191" i="11"/>
  <c r="P189" i="11"/>
  <c r="P190" i="11"/>
  <c r="P250" i="11"/>
  <c r="P269" i="11"/>
  <c r="U183" i="11"/>
  <c r="V183" i="11" s="1"/>
  <c r="W183" i="11" s="1"/>
  <c r="X183" i="11" s="1"/>
  <c r="T184" i="11"/>
  <c r="U177" i="11"/>
  <c r="V177" i="11" s="1"/>
  <c r="W177" i="11" s="1"/>
  <c r="X177" i="11" s="1"/>
  <c r="T178" i="11"/>
  <c r="P251" i="11"/>
  <c r="R265" i="11"/>
  <c r="AF10" i="13"/>
  <c r="AP65" i="11"/>
  <c r="G103" i="13"/>
  <c r="G104" i="13"/>
  <c r="G102" i="13"/>
  <c r="F108" i="13"/>
  <c r="G127" i="13"/>
  <c r="G147" i="13" s="1"/>
  <c r="G128" i="13"/>
  <c r="G214" i="13" s="1"/>
  <c r="R113" i="11" s="1"/>
  <c r="F110" i="13"/>
  <c r="F109" i="13"/>
  <c r="F111" i="13"/>
  <c r="H14" i="13"/>
  <c r="H228" i="13" s="1"/>
  <c r="G229" i="13"/>
  <c r="G235" i="13" s="1"/>
  <c r="G238" i="13" s="1"/>
  <c r="G265" i="13"/>
  <c r="G266" i="13" s="1"/>
  <c r="Y211" i="13"/>
  <c r="Y215" i="13" s="1"/>
  <c r="AJ95" i="11" s="1"/>
  <c r="AA133" i="13"/>
  <c r="J82" i="13"/>
  <c r="J45" i="13"/>
  <c r="L96" i="13"/>
  <c r="W235" i="11" s="1"/>
  <c r="L88" i="13"/>
  <c r="W214" i="11" s="1"/>
  <c r="L97" i="13"/>
  <c r="W238" i="11" s="1"/>
  <c r="L91" i="13"/>
  <c r="W220" i="11" s="1"/>
  <c r="L92" i="13"/>
  <c r="L94" i="13"/>
  <c r="W229" i="11" s="1"/>
  <c r="L89" i="13"/>
  <c r="L84" i="13"/>
  <c r="W205" i="11" s="1"/>
  <c r="L93" i="13"/>
  <c r="W226" i="11" s="1"/>
  <c r="L95" i="13"/>
  <c r="W232" i="11" s="1"/>
  <c r="L85" i="13"/>
  <c r="W208" i="11" s="1"/>
  <c r="L86" i="13"/>
  <c r="W211" i="11" s="1"/>
  <c r="I48" i="13"/>
  <c r="T176" i="11" s="1"/>
  <c r="I47" i="13"/>
  <c r="T182" i="11"/>
  <c r="P233" i="13"/>
  <c r="D33" i="10"/>
  <c r="V247" i="11" l="1"/>
  <c r="V245" i="11"/>
  <c r="V244" i="11"/>
  <c r="L87" i="13"/>
  <c r="W244" i="11" s="1"/>
  <c r="L90" i="13"/>
  <c r="P78" i="13"/>
  <c r="O79" i="13"/>
  <c r="O120" i="13" s="1"/>
  <c r="Y77" i="13"/>
  <c r="S175" i="11"/>
  <c r="T175" i="11" s="1"/>
  <c r="T173" i="11"/>
  <c r="G216" i="13"/>
  <c r="Q56" i="11"/>
  <c r="Q82" i="11" s="1"/>
  <c r="AO71" i="11"/>
  <c r="AO74" i="11"/>
  <c r="AO68" i="11"/>
  <c r="AO73" i="11"/>
  <c r="U184" i="11"/>
  <c r="V184" i="11" s="1"/>
  <c r="W184" i="11" s="1"/>
  <c r="X184" i="11" s="1"/>
  <c r="R267" i="11"/>
  <c r="P194" i="11"/>
  <c r="AP67" i="11"/>
  <c r="AP71" i="11" s="1"/>
  <c r="U178" i="11"/>
  <c r="V178" i="11" s="1"/>
  <c r="W178" i="11" s="1"/>
  <c r="X178" i="11" s="1"/>
  <c r="P196" i="11"/>
  <c r="P195" i="11"/>
  <c r="P193" i="11"/>
  <c r="W246" i="11"/>
  <c r="Q268" i="11"/>
  <c r="P256" i="11"/>
  <c r="P255" i="11"/>
  <c r="P254" i="11"/>
  <c r="P257" i="11"/>
  <c r="S265" i="11"/>
  <c r="T266" i="11" s="1"/>
  <c r="U266" i="11" s="1"/>
  <c r="V266" i="11" s="1"/>
  <c r="W266" i="11" s="1"/>
  <c r="X266" i="11" s="1"/>
  <c r="AG10" i="13"/>
  <c r="AQ65" i="11"/>
  <c r="H265" i="13"/>
  <c r="H266" i="13" s="1"/>
  <c r="H102" i="13"/>
  <c r="H103" i="13"/>
  <c r="H104" i="13"/>
  <c r="H128" i="13"/>
  <c r="H214" i="13" s="1"/>
  <c r="S113" i="11" s="1"/>
  <c r="H127" i="13"/>
  <c r="H147" i="13" s="1"/>
  <c r="I14" i="13"/>
  <c r="I228" i="13" s="1"/>
  <c r="H229" i="13"/>
  <c r="H235" i="13" s="1"/>
  <c r="H238" i="13" s="1"/>
  <c r="G111" i="13"/>
  <c r="G110" i="13"/>
  <c r="G109" i="13"/>
  <c r="G108" i="13"/>
  <c r="Z211" i="13"/>
  <c r="Z215" i="13" s="1"/>
  <c r="AK95" i="11" s="1"/>
  <c r="AB133" i="13"/>
  <c r="K45" i="13"/>
  <c r="K82" i="13"/>
  <c r="M85" i="13"/>
  <c r="X208" i="11" s="1"/>
  <c r="M93" i="13"/>
  <c r="X226" i="11" s="1"/>
  <c r="M89" i="13"/>
  <c r="M92" i="13"/>
  <c r="M91" i="13"/>
  <c r="X220" i="11" s="1"/>
  <c r="M88" i="13"/>
  <c r="X214" i="11" s="1"/>
  <c r="M86" i="13"/>
  <c r="X211" i="11" s="1"/>
  <c r="M95" i="13"/>
  <c r="X232" i="11" s="1"/>
  <c r="M84" i="13"/>
  <c r="X205" i="11" s="1"/>
  <c r="M94" i="13"/>
  <c r="X229" i="11" s="1"/>
  <c r="M97" i="13"/>
  <c r="X238" i="11" s="1"/>
  <c r="M96" i="13"/>
  <c r="X235" i="11" s="1"/>
  <c r="J47" i="13"/>
  <c r="U182" i="11"/>
  <c r="J48" i="13"/>
  <c r="U176" i="11" s="1"/>
  <c r="Q233" i="13"/>
  <c r="C33" i="10"/>
  <c r="C37" i="10" s="1"/>
  <c r="D37" i="10"/>
  <c r="W247" i="11" l="1"/>
  <c r="W245" i="11"/>
  <c r="M90" i="13"/>
  <c r="X246" i="11" s="1"/>
  <c r="M87" i="13"/>
  <c r="X244" i="11" s="1"/>
  <c r="Q78" i="13"/>
  <c r="P79" i="13"/>
  <c r="P120" i="13" s="1"/>
  <c r="Z77" i="13"/>
  <c r="U173" i="11"/>
  <c r="U175" i="11" s="1"/>
  <c r="H216" i="13"/>
  <c r="R56" i="11"/>
  <c r="R82" i="11" s="1"/>
  <c r="AP68" i="11"/>
  <c r="AP74" i="11"/>
  <c r="AP72" i="11"/>
  <c r="AP73" i="11"/>
  <c r="AQ67" i="11"/>
  <c r="AQ73" i="11" s="1"/>
  <c r="Q251" i="11"/>
  <c r="Q250" i="11"/>
  <c r="Q252" i="11"/>
  <c r="Q269" i="11"/>
  <c r="S267" i="11"/>
  <c r="R268" i="11"/>
  <c r="T265" i="11"/>
  <c r="AH10" i="13"/>
  <c r="AS65" i="11" s="1"/>
  <c r="AR65" i="11"/>
  <c r="I104" i="13"/>
  <c r="I102" i="13"/>
  <c r="I103" i="13"/>
  <c r="I229" i="13"/>
  <c r="I235" i="13" s="1"/>
  <c r="I238" i="13" s="1"/>
  <c r="I265" i="13"/>
  <c r="I266" i="13" s="1"/>
  <c r="H108" i="13"/>
  <c r="H111" i="13"/>
  <c r="J14" i="13"/>
  <c r="J228" i="13" s="1"/>
  <c r="H109" i="13"/>
  <c r="I128" i="13"/>
  <c r="I214" i="13" s="1"/>
  <c r="T113" i="11" s="1"/>
  <c r="I127" i="13"/>
  <c r="I147" i="13" s="1"/>
  <c r="H110" i="13"/>
  <c r="AA211" i="13"/>
  <c r="AA215" i="13" s="1"/>
  <c r="AL95" i="11" s="1"/>
  <c r="AC133" i="13"/>
  <c r="L82" i="13"/>
  <c r="L45" i="13"/>
  <c r="N96" i="13"/>
  <c r="Y235" i="11" s="1"/>
  <c r="N84" i="13"/>
  <c r="Y205" i="11" s="1"/>
  <c r="N88" i="13"/>
  <c r="Y214" i="11" s="1"/>
  <c r="N92" i="13"/>
  <c r="N93" i="13"/>
  <c r="Y226" i="11" s="1"/>
  <c r="N97" i="13"/>
  <c r="Y238" i="11" s="1"/>
  <c r="N94" i="13"/>
  <c r="Y229" i="11" s="1"/>
  <c r="N95" i="13"/>
  <c r="Y232" i="11" s="1"/>
  <c r="N86" i="13"/>
  <c r="Y211" i="11" s="1"/>
  <c r="N91" i="13"/>
  <c r="Y220" i="11" s="1"/>
  <c r="N89" i="13"/>
  <c r="N85" i="13"/>
  <c r="Y208" i="11" s="1"/>
  <c r="K48" i="13"/>
  <c r="V176" i="11" s="1"/>
  <c r="V182" i="11"/>
  <c r="K47" i="13"/>
  <c r="R233" i="13"/>
  <c r="X247" i="11" l="1"/>
  <c r="X245" i="11"/>
  <c r="N87" i="13"/>
  <c r="Y244" i="11" s="1"/>
  <c r="N90" i="13"/>
  <c r="Y246" i="11" s="1"/>
  <c r="R78" i="13"/>
  <c r="Q79" i="13"/>
  <c r="Q120" i="13" s="1"/>
  <c r="AA77" i="13"/>
  <c r="V173" i="11"/>
  <c r="V175" i="11" s="1"/>
  <c r="S56" i="11"/>
  <c r="S82" i="11" s="1"/>
  <c r="I216" i="13"/>
  <c r="AQ68" i="11"/>
  <c r="AQ71" i="11"/>
  <c r="AQ72" i="11"/>
  <c r="AQ74" i="11"/>
  <c r="AR67" i="11"/>
  <c r="AR74" i="11" s="1"/>
  <c r="AS67" i="11"/>
  <c r="AS73" i="11" s="1"/>
  <c r="R269" i="11"/>
  <c r="R251" i="11"/>
  <c r="R252" i="11"/>
  <c r="T267" i="11"/>
  <c r="Q257" i="11"/>
  <c r="Q254" i="11"/>
  <c r="R250" i="11"/>
  <c r="Q255" i="11"/>
  <c r="Q256" i="11"/>
  <c r="S268" i="11"/>
  <c r="U265" i="11"/>
  <c r="I109" i="13"/>
  <c r="I111" i="13"/>
  <c r="I108" i="13"/>
  <c r="I110" i="13"/>
  <c r="J128" i="13"/>
  <c r="J214" i="13" s="1"/>
  <c r="U113" i="11" s="1"/>
  <c r="J102" i="13"/>
  <c r="J103" i="13"/>
  <c r="J104" i="13"/>
  <c r="J229" i="13"/>
  <c r="J235" i="13" s="1"/>
  <c r="J238" i="13" s="1"/>
  <c r="J265" i="13"/>
  <c r="J266" i="13" s="1"/>
  <c r="K14" i="13"/>
  <c r="K228" i="13" s="1"/>
  <c r="J127" i="13"/>
  <c r="J147" i="13" s="1"/>
  <c r="AB211" i="13"/>
  <c r="AB215" i="13" s="1"/>
  <c r="AM95" i="11" s="1"/>
  <c r="AD133" i="13"/>
  <c r="M45" i="13"/>
  <c r="M82" i="13"/>
  <c r="O89" i="13"/>
  <c r="O86" i="13"/>
  <c r="Z211" i="11" s="1"/>
  <c r="O94" i="13"/>
  <c r="Z229" i="11" s="1"/>
  <c r="O92" i="13"/>
  <c r="O85" i="13"/>
  <c r="Z208" i="11" s="1"/>
  <c r="O91" i="13"/>
  <c r="Z220" i="11" s="1"/>
  <c r="O95" i="13"/>
  <c r="Z232" i="11" s="1"/>
  <c r="O97" i="13"/>
  <c r="Z238" i="11" s="1"/>
  <c r="O93" i="13"/>
  <c r="Z226" i="11" s="1"/>
  <c r="O88" i="13"/>
  <c r="Z214" i="11" s="1"/>
  <c r="O84" i="13"/>
  <c r="Z205" i="11" s="1"/>
  <c r="O96" i="13"/>
  <c r="Z235" i="11" s="1"/>
  <c r="L47" i="13"/>
  <c r="L48" i="13"/>
  <c r="W176" i="11" s="1"/>
  <c r="S233" i="13"/>
  <c r="Y247" i="11" l="1"/>
  <c r="Y245" i="11"/>
  <c r="O90" i="13"/>
  <c r="Z246" i="11" s="1"/>
  <c r="O87" i="13"/>
  <c r="Z244" i="11" s="1"/>
  <c r="S78" i="13"/>
  <c r="R79" i="13"/>
  <c r="R120" i="13" s="1"/>
  <c r="AB77" i="13"/>
  <c r="W173" i="11"/>
  <c r="W175" i="11" s="1"/>
  <c r="J216" i="13"/>
  <c r="T56" i="11"/>
  <c r="T82" i="11" s="1"/>
  <c r="AS72" i="11"/>
  <c r="AR68" i="11"/>
  <c r="AS68" i="11"/>
  <c r="AS71" i="11"/>
  <c r="AS74" i="11"/>
  <c r="AR73" i="11"/>
  <c r="AR72" i="11"/>
  <c r="AR71" i="11"/>
  <c r="U267" i="11"/>
  <c r="U268" i="11" s="1"/>
  <c r="S250" i="11"/>
  <c r="S252" i="11"/>
  <c r="S251" i="11"/>
  <c r="S269" i="11"/>
  <c r="W182" i="11"/>
  <c r="T268" i="11"/>
  <c r="R254" i="11"/>
  <c r="R257" i="11"/>
  <c r="R256" i="11"/>
  <c r="R255" i="11"/>
  <c r="V265" i="11"/>
  <c r="K103" i="13"/>
  <c r="K104" i="13"/>
  <c r="K102" i="13"/>
  <c r="K128" i="13"/>
  <c r="K214" i="13" s="1"/>
  <c r="V113" i="11" s="1"/>
  <c r="K127" i="13"/>
  <c r="K147" i="13" s="1"/>
  <c r="L14" i="13"/>
  <c r="K265" i="13"/>
  <c r="K266" i="13" s="1"/>
  <c r="J108" i="13"/>
  <c r="J111" i="13"/>
  <c r="K229" i="13"/>
  <c r="K235" i="13" s="1"/>
  <c r="K238" i="13" s="1"/>
  <c r="J109" i="13"/>
  <c r="J110" i="13"/>
  <c r="AC211" i="13"/>
  <c r="AC215" i="13" s="1"/>
  <c r="AN95" i="11" s="1"/>
  <c r="AE133" i="13"/>
  <c r="N82" i="13"/>
  <c r="N45" i="13"/>
  <c r="P96" i="13"/>
  <c r="AA235" i="11" s="1"/>
  <c r="P88" i="13"/>
  <c r="AA214" i="11" s="1"/>
  <c r="P97" i="13"/>
  <c r="AA238" i="11" s="1"/>
  <c r="P91" i="13"/>
  <c r="AA220" i="11" s="1"/>
  <c r="P92" i="13"/>
  <c r="P94" i="13"/>
  <c r="AA229" i="11" s="1"/>
  <c r="P89" i="13"/>
  <c r="P84" i="13"/>
  <c r="AA205" i="11" s="1"/>
  <c r="P93" i="13"/>
  <c r="AA226" i="11" s="1"/>
  <c r="P95" i="13"/>
  <c r="AA232" i="11" s="1"/>
  <c r="P85" i="13"/>
  <c r="AA208" i="11" s="1"/>
  <c r="P86" i="13"/>
  <c r="AA211" i="11" s="1"/>
  <c r="M48" i="13"/>
  <c r="X176" i="11" s="1"/>
  <c r="Y177" i="11" s="1"/>
  <c r="M47" i="13"/>
  <c r="T233" i="13"/>
  <c r="Z247" i="11" l="1"/>
  <c r="Z245" i="11"/>
  <c r="P87" i="13"/>
  <c r="AA244" i="11" s="1"/>
  <c r="P90" i="13"/>
  <c r="T78" i="13"/>
  <c r="S79" i="13"/>
  <c r="S120" i="13" s="1"/>
  <c r="AC77" i="13"/>
  <c r="X173" i="11"/>
  <c r="Y174" i="11" s="1"/>
  <c r="Z174" i="11" s="1"/>
  <c r="AA174" i="11" s="1"/>
  <c r="AB174" i="11" s="1"/>
  <c r="AC174" i="11" s="1"/>
  <c r="AD174" i="11" s="1"/>
  <c r="AE174" i="11" s="1"/>
  <c r="AF174" i="11" s="1"/>
  <c r="AG174" i="11" s="1"/>
  <c r="AH174" i="11" s="1"/>
  <c r="AI174" i="11" s="1"/>
  <c r="AJ174" i="11" s="1"/>
  <c r="AK174" i="11" s="1"/>
  <c r="AL174" i="11" s="1"/>
  <c r="AM174" i="11" s="1"/>
  <c r="AN174" i="11" s="1"/>
  <c r="AO174" i="11" s="1"/>
  <c r="AP174" i="11" s="1"/>
  <c r="AQ174" i="11" s="1"/>
  <c r="AR174" i="11" s="1"/>
  <c r="AS174" i="11" s="1"/>
  <c r="U56" i="11"/>
  <c r="U82" i="11" s="1"/>
  <c r="K216" i="13"/>
  <c r="X182" i="11"/>
  <c r="Y183" i="11" s="1"/>
  <c r="Y184" i="11" s="1"/>
  <c r="L228" i="13"/>
  <c r="L229" i="13" s="1"/>
  <c r="L235" i="13" s="1"/>
  <c r="L238" i="13" s="1"/>
  <c r="V267" i="11"/>
  <c r="S255" i="11"/>
  <c r="U251" i="11"/>
  <c r="U269" i="11"/>
  <c r="T252" i="11"/>
  <c r="T269" i="11"/>
  <c r="Z177" i="11"/>
  <c r="AA177" i="11" s="1"/>
  <c r="AB177" i="11" s="1"/>
  <c r="AC177" i="11" s="1"/>
  <c r="AD177" i="11" s="1"/>
  <c r="AE177" i="11" s="1"/>
  <c r="AF177" i="11" s="1"/>
  <c r="AG177" i="11" s="1"/>
  <c r="AH177" i="11" s="1"/>
  <c r="AI177" i="11" s="1"/>
  <c r="AJ177" i="11" s="1"/>
  <c r="AK177" i="11" s="1"/>
  <c r="AL177" i="11" s="1"/>
  <c r="AM177" i="11" s="1"/>
  <c r="AN177" i="11" s="1"/>
  <c r="AO177" i="11" s="1"/>
  <c r="AP177" i="11" s="1"/>
  <c r="AQ177" i="11" s="1"/>
  <c r="AR177" i="11" s="1"/>
  <c r="AS177" i="11" s="1"/>
  <c r="Y178" i="11"/>
  <c r="U250" i="11"/>
  <c r="U252" i="11"/>
  <c r="T251" i="11"/>
  <c r="T250" i="11"/>
  <c r="S256" i="11"/>
  <c r="S257" i="11"/>
  <c r="S254" i="11"/>
  <c r="L128" i="13"/>
  <c r="L214" i="13" s="1"/>
  <c r="W113" i="11" s="1"/>
  <c r="W265" i="11"/>
  <c r="K110" i="13"/>
  <c r="L127" i="13"/>
  <c r="L147" i="13" s="1"/>
  <c r="L102" i="13"/>
  <c r="L103" i="13"/>
  <c r="L104" i="13"/>
  <c r="M14" i="13"/>
  <c r="L265" i="13"/>
  <c r="L266" i="13" s="1"/>
  <c r="K111" i="13"/>
  <c r="K109" i="13"/>
  <c r="K108" i="13"/>
  <c r="AD211" i="13"/>
  <c r="AD215" i="13" s="1"/>
  <c r="AO95" i="11" s="1"/>
  <c r="AF133" i="13"/>
  <c r="O45" i="13"/>
  <c r="O82" i="13"/>
  <c r="Q85" i="13"/>
  <c r="AB208" i="11" s="1"/>
  <c r="Q93" i="13"/>
  <c r="AB226" i="11" s="1"/>
  <c r="Q89" i="13"/>
  <c r="Q92" i="13"/>
  <c r="Q91" i="13"/>
  <c r="AB220" i="11" s="1"/>
  <c r="Q88" i="13"/>
  <c r="AB214" i="11" s="1"/>
  <c r="Q86" i="13"/>
  <c r="AB211" i="11" s="1"/>
  <c r="Q95" i="13"/>
  <c r="AB232" i="11" s="1"/>
  <c r="Q84" i="13"/>
  <c r="AB205" i="11" s="1"/>
  <c r="Q94" i="13"/>
  <c r="AB229" i="11" s="1"/>
  <c r="Q97" i="13"/>
  <c r="AB238" i="11" s="1"/>
  <c r="Q96" i="13"/>
  <c r="AB235" i="11" s="1"/>
  <c r="N47" i="13"/>
  <c r="N48" i="13"/>
  <c r="Y176" i="11" s="1"/>
  <c r="U233" i="13"/>
  <c r="D580" i="10"/>
  <c r="D579" i="10"/>
  <c r="D578" i="10"/>
  <c r="D577" i="10"/>
  <c r="X175" i="11" l="1"/>
  <c r="AA245" i="11"/>
  <c r="AA247" i="11"/>
  <c r="AA246" i="11"/>
  <c r="Q90" i="13"/>
  <c r="AB246" i="11" s="1"/>
  <c r="Q87" i="13"/>
  <c r="AB244" i="11" s="1"/>
  <c r="U78" i="13"/>
  <c r="T79" i="13"/>
  <c r="T120" i="13" s="1"/>
  <c r="AD77" i="13"/>
  <c r="Y173" i="11"/>
  <c r="Z183" i="11"/>
  <c r="AA183" i="11" s="1"/>
  <c r="AB183" i="11" s="1"/>
  <c r="AC183" i="11" s="1"/>
  <c r="AD183" i="11" s="1"/>
  <c r="AE183" i="11" s="1"/>
  <c r="AF183" i="11" s="1"/>
  <c r="AG183" i="11" s="1"/>
  <c r="AH183" i="11" s="1"/>
  <c r="AI183" i="11" s="1"/>
  <c r="AJ183" i="11" s="1"/>
  <c r="AK183" i="11" s="1"/>
  <c r="AL183" i="11" s="1"/>
  <c r="AM183" i="11" s="1"/>
  <c r="AN183" i="11" s="1"/>
  <c r="AO183" i="11" s="1"/>
  <c r="AP183" i="11" s="1"/>
  <c r="AQ183" i="11" s="1"/>
  <c r="AR183" i="11" s="1"/>
  <c r="AS183" i="11" s="1"/>
  <c r="V56" i="11"/>
  <c r="V82" i="11" s="1"/>
  <c r="L216" i="13"/>
  <c r="W267" i="11"/>
  <c r="W268" i="11" s="1"/>
  <c r="M228" i="13"/>
  <c r="M229" i="13" s="1"/>
  <c r="M235" i="13" s="1"/>
  <c r="M238" i="13" s="1"/>
  <c r="U254" i="11"/>
  <c r="Z178" i="11"/>
  <c r="AA178" i="11" s="1"/>
  <c r="AB178" i="11" s="1"/>
  <c r="AC178" i="11" s="1"/>
  <c r="AD178" i="11" s="1"/>
  <c r="AE178" i="11" s="1"/>
  <c r="AF178" i="11" s="1"/>
  <c r="AG178" i="11" s="1"/>
  <c r="AH178" i="11" s="1"/>
  <c r="AI178" i="11" s="1"/>
  <c r="AJ178" i="11" s="1"/>
  <c r="AK178" i="11" s="1"/>
  <c r="AL178" i="11" s="1"/>
  <c r="AM178" i="11" s="1"/>
  <c r="AN178" i="11" s="1"/>
  <c r="AO178" i="11" s="1"/>
  <c r="AP178" i="11" s="1"/>
  <c r="AQ178" i="11" s="1"/>
  <c r="AR178" i="11" s="1"/>
  <c r="AS178" i="11" s="1"/>
  <c r="Y182" i="11"/>
  <c r="U257" i="11"/>
  <c r="U255" i="11"/>
  <c r="U256" i="11"/>
  <c r="T257" i="11"/>
  <c r="T254" i="11"/>
  <c r="T256" i="11"/>
  <c r="T255" i="11"/>
  <c r="V268" i="11"/>
  <c r="X265" i="11"/>
  <c r="L111" i="13"/>
  <c r="M127" i="13"/>
  <c r="M147" i="13" s="1"/>
  <c r="M265" i="13"/>
  <c r="M266" i="13" s="1"/>
  <c r="N14" i="13"/>
  <c r="L109" i="13"/>
  <c r="M102" i="13"/>
  <c r="M103" i="13"/>
  <c r="M104" i="13"/>
  <c r="M128" i="13"/>
  <c r="M214" i="13" s="1"/>
  <c r="X113" i="11" s="1"/>
  <c r="L108" i="13"/>
  <c r="L110" i="13"/>
  <c r="AE211" i="13"/>
  <c r="AE215" i="13" s="1"/>
  <c r="AP95" i="11" s="1"/>
  <c r="AG133" i="13"/>
  <c r="P82" i="13"/>
  <c r="P45" i="13"/>
  <c r="R97" i="13"/>
  <c r="AC238" i="11" s="1"/>
  <c r="AD239" i="11" s="1"/>
  <c r="R94" i="13"/>
  <c r="AC229" i="11" s="1"/>
  <c r="AD230" i="11" s="1"/>
  <c r="R95" i="13"/>
  <c r="AC232" i="11" s="1"/>
  <c r="AD233" i="11" s="1"/>
  <c r="R86" i="13"/>
  <c r="AC211" i="11" s="1"/>
  <c r="AD212" i="11" s="1"/>
  <c r="R91" i="13"/>
  <c r="AC220" i="11" s="1"/>
  <c r="AD221" i="11" s="1"/>
  <c r="R89" i="13"/>
  <c r="R85" i="13"/>
  <c r="AC208" i="11" s="1"/>
  <c r="AD209" i="11" s="1"/>
  <c r="R96" i="13"/>
  <c r="R84" i="13"/>
  <c r="AC205" i="11" s="1"/>
  <c r="AD206" i="11" s="1"/>
  <c r="R88" i="13"/>
  <c r="AC214" i="11" s="1"/>
  <c r="AD215" i="11" s="1"/>
  <c r="R92" i="13"/>
  <c r="R93" i="13"/>
  <c r="AC226" i="11" s="1"/>
  <c r="AD227" i="11" s="1"/>
  <c r="Z182" i="11"/>
  <c r="O48" i="13"/>
  <c r="Z176" i="11" s="1"/>
  <c r="O47" i="13"/>
  <c r="V233" i="13"/>
  <c r="D248" i="13"/>
  <c r="E248" i="13" s="1"/>
  <c r="D246" i="13"/>
  <c r="E39" i="13"/>
  <c r="E70" i="13" s="1"/>
  <c r="C23" i="13"/>
  <c r="D23" i="13" s="1"/>
  <c r="E23" i="13" s="1"/>
  <c r="Y175" i="11" l="1"/>
  <c r="AB247" i="11"/>
  <c r="AB245" i="11"/>
  <c r="R87" i="13"/>
  <c r="R90" i="13"/>
  <c r="V78" i="13"/>
  <c r="U79" i="13"/>
  <c r="U120" i="13" s="1"/>
  <c r="AE77" i="13"/>
  <c r="Z173" i="11"/>
  <c r="Z175" i="11" s="1"/>
  <c r="Z184" i="11"/>
  <c r="AA184" i="11" s="1"/>
  <c r="AB184" i="11" s="1"/>
  <c r="AC184" i="11" s="1"/>
  <c r="AD184" i="11" s="1"/>
  <c r="AE184" i="11" s="1"/>
  <c r="AF184" i="11" s="1"/>
  <c r="AG184" i="11" s="1"/>
  <c r="AH184" i="11" s="1"/>
  <c r="AI184" i="11" s="1"/>
  <c r="AJ184" i="11" s="1"/>
  <c r="AK184" i="11" s="1"/>
  <c r="AL184" i="11" s="1"/>
  <c r="AM184" i="11" s="1"/>
  <c r="AN184" i="11" s="1"/>
  <c r="AO184" i="11" s="1"/>
  <c r="AP184" i="11" s="1"/>
  <c r="AQ184" i="11" s="1"/>
  <c r="AR184" i="11" s="1"/>
  <c r="AS184" i="11" s="1"/>
  <c r="M216" i="13"/>
  <c r="W56" i="11"/>
  <c r="W82" i="11" s="1"/>
  <c r="E349" i="13"/>
  <c r="P105" i="11"/>
  <c r="P117" i="11" s="1"/>
  <c r="X267" i="11"/>
  <c r="X268" i="11" s="1"/>
  <c r="AE221" i="11"/>
  <c r="AF221" i="11" s="1"/>
  <c r="AG221" i="11" s="1"/>
  <c r="AH221" i="11" s="1"/>
  <c r="AD222" i="11"/>
  <c r="AE239" i="11"/>
  <c r="AF239" i="11" s="1"/>
  <c r="AG239" i="11" s="1"/>
  <c r="AH239" i="11" s="1"/>
  <c r="AD240" i="11"/>
  <c r="AE215" i="11"/>
  <c r="AF215" i="11" s="1"/>
  <c r="AG215" i="11" s="1"/>
  <c r="AH215" i="11" s="1"/>
  <c r="AD216" i="11"/>
  <c r="AE212" i="11"/>
  <c r="AF212" i="11" s="1"/>
  <c r="AG212" i="11" s="1"/>
  <c r="AH212" i="11" s="1"/>
  <c r="AD213" i="11"/>
  <c r="AE227" i="11"/>
  <c r="AF227" i="11" s="1"/>
  <c r="AG227" i="11" s="1"/>
  <c r="AH227" i="11" s="1"/>
  <c r="AD228" i="11"/>
  <c r="AE206" i="11"/>
  <c r="AF206" i="11" s="1"/>
  <c r="AG206" i="11" s="1"/>
  <c r="AH206" i="11" s="1"/>
  <c r="AD207" i="11"/>
  <c r="AE230" i="11"/>
  <c r="AF230" i="11" s="1"/>
  <c r="AG230" i="11" s="1"/>
  <c r="AH230" i="11" s="1"/>
  <c r="AD231" i="11"/>
  <c r="AE209" i="11"/>
  <c r="AF209" i="11" s="1"/>
  <c r="AG209" i="11" s="1"/>
  <c r="AH209" i="11" s="1"/>
  <c r="AD210" i="11"/>
  <c r="AE233" i="11"/>
  <c r="AF233" i="11" s="1"/>
  <c r="AG233" i="11" s="1"/>
  <c r="AH233" i="11" s="1"/>
  <c r="AD234" i="11"/>
  <c r="N228" i="13"/>
  <c r="N229" i="13" s="1"/>
  <c r="N235" i="13" s="1"/>
  <c r="N238" i="13" s="1"/>
  <c r="W269" i="11"/>
  <c r="V251" i="11"/>
  <c r="V269" i="11"/>
  <c r="AC235" i="11"/>
  <c r="AD236" i="11" s="1"/>
  <c r="S96" i="13"/>
  <c r="T96" i="13" s="1"/>
  <c r="AC244" i="11"/>
  <c r="V250" i="11"/>
  <c r="V252" i="11"/>
  <c r="Y266" i="11"/>
  <c r="W252" i="11"/>
  <c r="W251" i="11"/>
  <c r="W250" i="11"/>
  <c r="Y265" i="11"/>
  <c r="N103" i="13"/>
  <c r="O14" i="13"/>
  <c r="O228" i="13" s="1"/>
  <c r="N128" i="13"/>
  <c r="N214" i="13" s="1"/>
  <c r="Y113" i="11" s="1"/>
  <c r="N104" i="13"/>
  <c r="N265" i="13"/>
  <c r="N266" i="13" s="1"/>
  <c r="N127" i="13"/>
  <c r="N147" i="13" s="1"/>
  <c r="N102" i="13"/>
  <c r="M111" i="13"/>
  <c r="M109" i="13"/>
  <c r="M110" i="13"/>
  <c r="M108" i="13"/>
  <c r="B62" i="13"/>
  <c r="B59" i="13"/>
  <c r="B60" i="13"/>
  <c r="B61" i="13"/>
  <c r="AF211" i="13"/>
  <c r="AF215" i="13" s="1"/>
  <c r="AQ95" i="11" s="1"/>
  <c r="AH133" i="13"/>
  <c r="Q45" i="13"/>
  <c r="Q82" i="13"/>
  <c r="S92" i="13"/>
  <c r="S85" i="13"/>
  <c r="S91" i="13"/>
  <c r="S95" i="13"/>
  <c r="S97" i="13"/>
  <c r="S93" i="13"/>
  <c r="S88" i="13"/>
  <c r="S84" i="13"/>
  <c r="AD235" i="11"/>
  <c r="S89" i="13"/>
  <c r="S86" i="13"/>
  <c r="S94" i="13"/>
  <c r="AA182" i="11"/>
  <c r="P47" i="13"/>
  <c r="P48" i="13"/>
  <c r="AA176" i="11" s="1"/>
  <c r="W233" i="13"/>
  <c r="F248" i="13"/>
  <c r="E246" i="13"/>
  <c r="F39" i="13"/>
  <c r="F70" i="13" s="1"/>
  <c r="B24" i="13"/>
  <c r="B28" i="13" s="1"/>
  <c r="E222" i="13"/>
  <c r="E224" i="13" s="1"/>
  <c r="F23" i="13"/>
  <c r="C24" i="13"/>
  <c r="B60" i="11" l="1"/>
  <c r="P60" i="11"/>
  <c r="AC245" i="11"/>
  <c r="AC247" i="11"/>
  <c r="AC246" i="11"/>
  <c r="S90" i="13"/>
  <c r="S87" i="13"/>
  <c r="AD244" i="11" s="1"/>
  <c r="W78" i="13"/>
  <c r="V79" i="13"/>
  <c r="V120" i="13" s="1"/>
  <c r="AF77" i="13"/>
  <c r="AA173" i="11"/>
  <c r="AA175" i="11" s="1"/>
  <c r="AE234" i="11"/>
  <c r="AF234" i="11" s="1"/>
  <c r="AG234" i="11" s="1"/>
  <c r="AH234" i="11" s="1"/>
  <c r="AE231" i="11"/>
  <c r="AF231" i="11" s="1"/>
  <c r="AG231" i="11" s="1"/>
  <c r="AH231" i="11" s="1"/>
  <c r="AE228" i="11"/>
  <c r="AF228" i="11" s="1"/>
  <c r="AG228" i="11" s="1"/>
  <c r="AH228" i="11" s="1"/>
  <c r="AE216" i="11"/>
  <c r="AF216" i="11" s="1"/>
  <c r="AG216" i="11" s="1"/>
  <c r="AH216" i="11" s="1"/>
  <c r="AE222" i="11"/>
  <c r="AF222" i="11" s="1"/>
  <c r="AG222" i="11" s="1"/>
  <c r="AH222" i="11" s="1"/>
  <c r="N216" i="13"/>
  <c r="P86" i="11"/>
  <c r="X56" i="11"/>
  <c r="X82" i="11" s="1"/>
  <c r="E239" i="13"/>
  <c r="P199" i="11"/>
  <c r="P92" i="11"/>
  <c r="AE210" i="11"/>
  <c r="AF210" i="11" s="1"/>
  <c r="AG210" i="11" s="1"/>
  <c r="AH210" i="11" s="1"/>
  <c r="AE207" i="11"/>
  <c r="AF207" i="11" s="1"/>
  <c r="AG207" i="11" s="1"/>
  <c r="AH207" i="11" s="1"/>
  <c r="AE213" i="11"/>
  <c r="AF213" i="11" s="1"/>
  <c r="AG213" i="11" s="1"/>
  <c r="AH213" i="11" s="1"/>
  <c r="AE240" i="11"/>
  <c r="AF240" i="11" s="1"/>
  <c r="AG240" i="11" s="1"/>
  <c r="AH240" i="11" s="1"/>
  <c r="AE236" i="11"/>
  <c r="AF236" i="11" s="1"/>
  <c r="AG236" i="11" s="1"/>
  <c r="AH236" i="11" s="1"/>
  <c r="AD237" i="11"/>
  <c r="G248" i="13"/>
  <c r="V254" i="11"/>
  <c r="X269" i="11"/>
  <c r="AD214" i="11"/>
  <c r="AD211" i="11"/>
  <c r="AD220" i="11"/>
  <c r="AD208" i="11"/>
  <c r="AD226" i="11"/>
  <c r="AD238" i="11"/>
  <c r="AD229" i="11"/>
  <c r="AD205" i="11"/>
  <c r="AD232" i="11"/>
  <c r="AD246" i="11"/>
  <c r="Y267" i="11"/>
  <c r="Y268" i="11" s="1"/>
  <c r="V257" i="11"/>
  <c r="V255" i="11"/>
  <c r="V256" i="11"/>
  <c r="X250" i="11"/>
  <c r="X251" i="11"/>
  <c r="X252" i="11"/>
  <c r="P14" i="13"/>
  <c r="W257" i="11"/>
  <c r="W256" i="11"/>
  <c r="W255" i="11"/>
  <c r="W254" i="11"/>
  <c r="Z266" i="11"/>
  <c r="O104" i="13"/>
  <c r="Z265" i="11"/>
  <c r="O265" i="13"/>
  <c r="O266" i="13" s="1"/>
  <c r="O128" i="13"/>
  <c r="O214" i="13" s="1"/>
  <c r="Z113" i="11" s="1"/>
  <c r="O127" i="13"/>
  <c r="O147" i="13" s="1"/>
  <c r="O229" i="13"/>
  <c r="O235" i="13" s="1"/>
  <c r="O238" i="13" s="1"/>
  <c r="O102" i="13"/>
  <c r="O103" i="13"/>
  <c r="N110" i="13"/>
  <c r="N109" i="13"/>
  <c r="N111" i="13"/>
  <c r="N108" i="13"/>
  <c r="B66" i="13"/>
  <c r="P197" i="11" s="1"/>
  <c r="AG211" i="13"/>
  <c r="AG215" i="13" s="1"/>
  <c r="AR95" i="11" s="1"/>
  <c r="F143" i="13"/>
  <c r="G143" i="13" s="1"/>
  <c r="H143" i="13" s="1"/>
  <c r="I143" i="13" s="1"/>
  <c r="J143" i="13" s="1"/>
  <c r="K143" i="13" s="1"/>
  <c r="L143" i="13" s="1"/>
  <c r="M143" i="13" s="1"/>
  <c r="N143" i="13" s="1"/>
  <c r="O143" i="13" s="1"/>
  <c r="P143" i="13" s="1"/>
  <c r="Q143" i="13" s="1"/>
  <c r="R143" i="13" s="1"/>
  <c r="S143" i="13" s="1"/>
  <c r="T143" i="13" s="1"/>
  <c r="U143" i="13" s="1"/>
  <c r="V143" i="13" s="1"/>
  <c r="W143" i="13" s="1"/>
  <c r="X143" i="13" s="1"/>
  <c r="Y143" i="13" s="1"/>
  <c r="Z143" i="13" s="1"/>
  <c r="AA143" i="13" s="1"/>
  <c r="AB143" i="13" s="1"/>
  <c r="AC143" i="13" s="1"/>
  <c r="AD143" i="13" s="1"/>
  <c r="AE143" i="13" s="1"/>
  <c r="AF143" i="13" s="1"/>
  <c r="AG143" i="13" s="1"/>
  <c r="AH143" i="13" s="1"/>
  <c r="F139" i="13"/>
  <c r="G139" i="13" s="1"/>
  <c r="H139" i="13" s="1"/>
  <c r="I139" i="13" s="1"/>
  <c r="J139" i="13" s="1"/>
  <c r="K139" i="13" s="1"/>
  <c r="L139" i="13" s="1"/>
  <c r="M139" i="13" s="1"/>
  <c r="N139" i="13" s="1"/>
  <c r="O139" i="13" s="1"/>
  <c r="P139" i="13" s="1"/>
  <c r="Q139" i="13" s="1"/>
  <c r="R139" i="13" s="1"/>
  <c r="S139" i="13" s="1"/>
  <c r="T139" i="13" s="1"/>
  <c r="U139" i="13" s="1"/>
  <c r="V139" i="13" s="1"/>
  <c r="W139" i="13" s="1"/>
  <c r="X139" i="13" s="1"/>
  <c r="Y139" i="13" s="1"/>
  <c r="Z139" i="13" s="1"/>
  <c r="AA139" i="13" s="1"/>
  <c r="AB139" i="13" s="1"/>
  <c r="AC139" i="13" s="1"/>
  <c r="AD139" i="13" s="1"/>
  <c r="AE139" i="13" s="1"/>
  <c r="AF139" i="13" s="1"/>
  <c r="AG139" i="13" s="1"/>
  <c r="AH139" i="13" s="1"/>
  <c r="F142" i="13"/>
  <c r="G142" i="13" s="1"/>
  <c r="H142" i="13" s="1"/>
  <c r="I142" i="13" s="1"/>
  <c r="J142" i="13" s="1"/>
  <c r="K142" i="13" s="1"/>
  <c r="L142" i="13" s="1"/>
  <c r="M142" i="13" s="1"/>
  <c r="N142" i="13" s="1"/>
  <c r="O142" i="13" s="1"/>
  <c r="P142" i="13" s="1"/>
  <c r="Q142" i="13" s="1"/>
  <c r="R142" i="13" s="1"/>
  <c r="S142" i="13" s="1"/>
  <c r="T142" i="13" s="1"/>
  <c r="U142" i="13" s="1"/>
  <c r="V142" i="13" s="1"/>
  <c r="W142" i="13" s="1"/>
  <c r="X142" i="13" s="1"/>
  <c r="Y142" i="13" s="1"/>
  <c r="Z142" i="13" s="1"/>
  <c r="AA142" i="13" s="1"/>
  <c r="AB142" i="13" s="1"/>
  <c r="AC142" i="13" s="1"/>
  <c r="AD142" i="13" s="1"/>
  <c r="AE142" i="13" s="1"/>
  <c r="AF142" i="13" s="1"/>
  <c r="AG142" i="13" s="1"/>
  <c r="AH142" i="13" s="1"/>
  <c r="F138" i="13"/>
  <c r="G138" i="13" s="1"/>
  <c r="H138" i="13" s="1"/>
  <c r="I138" i="13" s="1"/>
  <c r="J138" i="13" s="1"/>
  <c r="K138" i="13" s="1"/>
  <c r="L138" i="13" s="1"/>
  <c r="M138" i="13" s="1"/>
  <c r="N138" i="13" s="1"/>
  <c r="O138" i="13" s="1"/>
  <c r="P138" i="13" s="1"/>
  <c r="Q138" i="13" s="1"/>
  <c r="R138" i="13" s="1"/>
  <c r="S138" i="13" s="1"/>
  <c r="T138" i="13" s="1"/>
  <c r="U138" i="13" s="1"/>
  <c r="V138" i="13" s="1"/>
  <c r="W138" i="13" s="1"/>
  <c r="X138" i="13" s="1"/>
  <c r="Y138" i="13" s="1"/>
  <c r="Z138" i="13" s="1"/>
  <c r="AA138" i="13" s="1"/>
  <c r="AB138" i="13" s="1"/>
  <c r="AC138" i="13" s="1"/>
  <c r="AD138" i="13" s="1"/>
  <c r="AE138" i="13" s="1"/>
  <c r="AF138" i="13" s="1"/>
  <c r="AG138" i="13" s="1"/>
  <c r="AH138" i="13" s="1"/>
  <c r="F141" i="13"/>
  <c r="G141" i="13" s="1"/>
  <c r="H141" i="13" s="1"/>
  <c r="I141" i="13" s="1"/>
  <c r="J141" i="13" s="1"/>
  <c r="K141" i="13" s="1"/>
  <c r="L141" i="13" s="1"/>
  <c r="M141" i="13" s="1"/>
  <c r="N141" i="13" s="1"/>
  <c r="O141" i="13" s="1"/>
  <c r="P141" i="13" s="1"/>
  <c r="Q141" i="13" s="1"/>
  <c r="R141" i="13" s="1"/>
  <c r="S141" i="13" s="1"/>
  <c r="T141" i="13" s="1"/>
  <c r="U141" i="13" s="1"/>
  <c r="V141" i="13" s="1"/>
  <c r="W141" i="13" s="1"/>
  <c r="X141" i="13" s="1"/>
  <c r="Y141" i="13" s="1"/>
  <c r="Z141" i="13" s="1"/>
  <c r="AA141" i="13" s="1"/>
  <c r="AB141" i="13" s="1"/>
  <c r="AC141" i="13" s="1"/>
  <c r="AD141" i="13" s="1"/>
  <c r="AE141" i="13" s="1"/>
  <c r="AF141" i="13" s="1"/>
  <c r="AG141" i="13" s="1"/>
  <c r="AH141" i="13" s="1"/>
  <c r="F137" i="13"/>
  <c r="G137" i="13" s="1"/>
  <c r="H137" i="13" s="1"/>
  <c r="I137" i="13" s="1"/>
  <c r="J137" i="13" s="1"/>
  <c r="K137" i="13" s="1"/>
  <c r="L137" i="13" s="1"/>
  <c r="M137" i="13" s="1"/>
  <c r="N137" i="13" s="1"/>
  <c r="O137" i="13" s="1"/>
  <c r="P137" i="13" s="1"/>
  <c r="Q137" i="13" s="1"/>
  <c r="R137" i="13" s="1"/>
  <c r="S137" i="13" s="1"/>
  <c r="T137" i="13" s="1"/>
  <c r="U137" i="13" s="1"/>
  <c r="V137" i="13" s="1"/>
  <c r="W137" i="13" s="1"/>
  <c r="X137" i="13" s="1"/>
  <c r="Y137" i="13" s="1"/>
  <c r="Z137" i="13" s="1"/>
  <c r="AA137" i="13" s="1"/>
  <c r="AB137" i="13" s="1"/>
  <c r="AC137" i="13" s="1"/>
  <c r="AD137" i="13" s="1"/>
  <c r="AE137" i="13" s="1"/>
  <c r="AF137" i="13" s="1"/>
  <c r="AG137" i="13" s="1"/>
  <c r="AH137" i="13" s="1"/>
  <c r="F140" i="13"/>
  <c r="R82" i="13"/>
  <c r="R45" i="13"/>
  <c r="AJ582" i="10"/>
  <c r="T86" i="13"/>
  <c r="AE211" i="11" s="1"/>
  <c r="AE235" i="11"/>
  <c r="T88" i="13"/>
  <c r="AE214" i="11" s="1"/>
  <c r="T97" i="13"/>
  <c r="AE238" i="11" s="1"/>
  <c r="T91" i="13"/>
  <c r="AE220" i="11" s="1"/>
  <c r="T92" i="13"/>
  <c r="T94" i="13"/>
  <c r="AE229" i="11" s="1"/>
  <c r="T89" i="13"/>
  <c r="T84" i="13"/>
  <c r="T93" i="13"/>
  <c r="AE226" i="11" s="1"/>
  <c r="T95" i="13"/>
  <c r="AE232" i="11" s="1"/>
  <c r="T85" i="13"/>
  <c r="AE208" i="11" s="1"/>
  <c r="Q48" i="13"/>
  <c r="AB176" i="11" s="1"/>
  <c r="AB182" i="11"/>
  <c r="Q47" i="13"/>
  <c r="X233" i="13"/>
  <c r="E261" i="13"/>
  <c r="E276" i="13" s="1"/>
  <c r="F246" i="13"/>
  <c r="B29" i="13"/>
  <c r="B30" i="13"/>
  <c r="G39" i="13"/>
  <c r="G70" i="13" s="1"/>
  <c r="B27" i="13"/>
  <c r="G23" i="13"/>
  <c r="F222" i="13"/>
  <c r="F224" i="13" s="1"/>
  <c r="F239" i="13" s="1"/>
  <c r="D24" i="13"/>
  <c r="C28" i="13"/>
  <c r="C27" i="13"/>
  <c r="C30" i="13"/>
  <c r="C29" i="13"/>
  <c r="AF582" i="10"/>
  <c r="AB582" i="10"/>
  <c r="Y582" i="10"/>
  <c r="T582" i="10"/>
  <c r="O582" i="10"/>
  <c r="K582" i="10"/>
  <c r="F582" i="10"/>
  <c r="AG582" i="10"/>
  <c r="U582" i="10"/>
  <c r="L582" i="10"/>
  <c r="H582" i="10"/>
  <c r="AI582" i="10"/>
  <c r="AE582" i="10"/>
  <c r="AA582" i="10"/>
  <c r="X582" i="10"/>
  <c r="S582" i="10"/>
  <c r="N582" i="10"/>
  <c r="J582" i="10"/>
  <c r="E582" i="10"/>
  <c r="AC582" i="10"/>
  <c r="P582" i="10"/>
  <c r="AH582" i="10"/>
  <c r="AD582" i="10"/>
  <c r="W582" i="10"/>
  <c r="Q582" i="10"/>
  <c r="M582" i="10"/>
  <c r="I582" i="10"/>
  <c r="Z582" i="10"/>
  <c r="T87" i="13" l="1"/>
  <c r="T90" i="13"/>
  <c r="AE246" i="11" s="1"/>
  <c r="X78" i="13"/>
  <c r="W79" i="13"/>
  <c r="W120" i="13" s="1"/>
  <c r="AG77" i="13"/>
  <c r="AB173" i="11"/>
  <c r="AB175" i="11" s="1"/>
  <c r="AE237" i="11"/>
  <c r="AF237" i="11" s="1"/>
  <c r="AG237" i="11" s="1"/>
  <c r="AH237" i="11" s="1"/>
  <c r="Y56" i="11"/>
  <c r="Y82" i="11" s="1"/>
  <c r="O216" i="13"/>
  <c r="F349" i="13"/>
  <c r="Q60" i="11" s="1"/>
  <c r="Q86" i="11" s="1"/>
  <c r="Q105" i="11"/>
  <c r="Q117" i="11" s="1"/>
  <c r="G349" i="13"/>
  <c r="R60" i="11" s="1"/>
  <c r="R86" i="11" s="1"/>
  <c r="R105" i="11"/>
  <c r="R117" i="11" s="1"/>
  <c r="E277" i="13"/>
  <c r="P102" i="11"/>
  <c r="P115" i="11" s="1"/>
  <c r="Q96" i="11"/>
  <c r="Q114" i="11" s="1"/>
  <c r="F240" i="13"/>
  <c r="Q57" i="11" s="1"/>
  <c r="Q83" i="11" s="1"/>
  <c r="P96" i="11"/>
  <c r="P114" i="11" s="1"/>
  <c r="E240" i="13"/>
  <c r="AD245" i="11"/>
  <c r="Q199" i="11"/>
  <c r="Q92" i="11"/>
  <c r="AD247" i="11"/>
  <c r="H248" i="13"/>
  <c r="P102" i="13"/>
  <c r="P228" i="13"/>
  <c r="P229" i="13" s="1"/>
  <c r="P235" i="13" s="1"/>
  <c r="P238" i="13" s="1"/>
  <c r="Y269" i="11"/>
  <c r="AE205" i="11"/>
  <c r="AE244" i="11"/>
  <c r="Z267" i="11"/>
  <c r="Z268" i="11" s="1"/>
  <c r="P128" i="13"/>
  <c r="P214" i="13" s="1"/>
  <c r="AA113" i="11" s="1"/>
  <c r="Q14" i="13"/>
  <c r="R14" i="13" s="1"/>
  <c r="R228" i="13" s="1"/>
  <c r="P265" i="13"/>
  <c r="P266" i="13" s="1"/>
  <c r="P104" i="13"/>
  <c r="O108" i="13"/>
  <c r="X257" i="11"/>
  <c r="P103" i="13"/>
  <c r="P127" i="13"/>
  <c r="P147" i="13" s="1"/>
  <c r="AA265" i="11"/>
  <c r="O110" i="13"/>
  <c r="Y252" i="11"/>
  <c r="Y250" i="11"/>
  <c r="Y251" i="11"/>
  <c r="X254" i="11"/>
  <c r="AA266" i="11"/>
  <c r="X256" i="11"/>
  <c r="X255" i="11"/>
  <c r="O109" i="13"/>
  <c r="O111" i="13"/>
  <c r="E65" i="13"/>
  <c r="F50" i="13"/>
  <c r="AH211" i="13"/>
  <c r="AH215" i="13" s="1"/>
  <c r="AS95" i="11" s="1"/>
  <c r="G140" i="13"/>
  <c r="F144" i="13"/>
  <c r="F148" i="13" s="1"/>
  <c r="E144" i="13"/>
  <c r="S45" i="13"/>
  <c r="S82" i="13"/>
  <c r="U85" i="13"/>
  <c r="AF208" i="11" s="1"/>
  <c r="U93" i="13"/>
  <c r="AF226" i="11" s="1"/>
  <c r="U89" i="13"/>
  <c r="U92" i="13"/>
  <c r="U91" i="13"/>
  <c r="AF220" i="11" s="1"/>
  <c r="U88" i="13"/>
  <c r="AF214" i="11" s="1"/>
  <c r="U86" i="13"/>
  <c r="AF211" i="11" s="1"/>
  <c r="U95" i="13"/>
  <c r="AF232" i="11" s="1"/>
  <c r="U84" i="13"/>
  <c r="U94" i="13"/>
  <c r="AF229" i="11" s="1"/>
  <c r="U97" i="13"/>
  <c r="AF238" i="11" s="1"/>
  <c r="U96" i="13"/>
  <c r="AF235" i="11" s="1"/>
  <c r="R47" i="13"/>
  <c r="AC182" i="11"/>
  <c r="R48" i="13"/>
  <c r="AC176" i="11" s="1"/>
  <c r="Y233" i="13"/>
  <c r="F261" i="13"/>
  <c r="F276" i="13" s="1"/>
  <c r="G246" i="13"/>
  <c r="B31" i="13"/>
  <c r="H39" i="13"/>
  <c r="H70" i="13" s="1"/>
  <c r="H23" i="13"/>
  <c r="G222" i="13"/>
  <c r="G224" i="13" s="1"/>
  <c r="G239" i="13" s="1"/>
  <c r="D28" i="13"/>
  <c r="D27" i="13"/>
  <c r="D29" i="13"/>
  <c r="D30" i="13"/>
  <c r="E79" i="13"/>
  <c r="E24" i="13"/>
  <c r="C31" i="13"/>
  <c r="P57" i="11" l="1"/>
  <c r="B57" i="11"/>
  <c r="B58" i="11"/>
  <c r="P58" i="11"/>
  <c r="P84" i="11" s="1"/>
  <c r="AE245" i="11"/>
  <c r="U90" i="13"/>
  <c r="AF246" i="11" s="1"/>
  <c r="U87" i="13"/>
  <c r="B111" i="13"/>
  <c r="B110" i="13"/>
  <c r="B108" i="13"/>
  <c r="B109" i="13"/>
  <c r="E120" i="13"/>
  <c r="Y78" i="13"/>
  <c r="X79" i="13"/>
  <c r="X120" i="13" s="1"/>
  <c r="AH77" i="13"/>
  <c r="AC173" i="11"/>
  <c r="AC175" i="11" s="1"/>
  <c r="Q179" i="11"/>
  <c r="Q181" i="11" s="1"/>
  <c r="F49" i="13"/>
  <c r="Q185" i="11" s="1"/>
  <c r="AE247" i="11"/>
  <c r="Z56" i="11"/>
  <c r="Z82" i="11" s="1"/>
  <c r="P83" i="11"/>
  <c r="P216" i="13"/>
  <c r="AA56" i="11" s="1"/>
  <c r="AA82" i="11" s="1"/>
  <c r="H349" i="13"/>
  <c r="S60" i="11" s="1"/>
  <c r="S86" i="11" s="1"/>
  <c r="S105" i="11"/>
  <c r="S117" i="11" s="1"/>
  <c r="F277" i="13"/>
  <c r="Q58" i="11" s="1"/>
  <c r="Q84" i="11" s="1"/>
  <c r="Q102" i="11"/>
  <c r="Q115" i="11" s="1"/>
  <c r="F149" i="13"/>
  <c r="Q94" i="11"/>
  <c r="Q112" i="11" s="1"/>
  <c r="R96" i="11"/>
  <c r="R114" i="11" s="1"/>
  <c r="G240" i="13"/>
  <c r="R57" i="11" s="1"/>
  <c r="R83" i="11" s="1"/>
  <c r="R199" i="11"/>
  <c r="R92" i="11"/>
  <c r="I248" i="13"/>
  <c r="B311" i="13"/>
  <c r="B312" i="13"/>
  <c r="B296" i="13"/>
  <c r="B310" i="13"/>
  <c r="B295" i="13"/>
  <c r="B309" i="13"/>
  <c r="B293" i="13"/>
  <c r="B294" i="13"/>
  <c r="AB265" i="11"/>
  <c r="Q228" i="13"/>
  <c r="Q229" i="13" s="1"/>
  <c r="Q235" i="13" s="1"/>
  <c r="Q238" i="13" s="1"/>
  <c r="Z269" i="11"/>
  <c r="Q102" i="13"/>
  <c r="AF205" i="11"/>
  <c r="Q104" i="13"/>
  <c r="Q265" i="13"/>
  <c r="Q266" i="13" s="1"/>
  <c r="Q128" i="13"/>
  <c r="Q214" i="13" s="1"/>
  <c r="AB113" i="11" s="1"/>
  <c r="Q127" i="13"/>
  <c r="Q147" i="13" s="1"/>
  <c r="Q103" i="13"/>
  <c r="AF244" i="11"/>
  <c r="AA267" i="11"/>
  <c r="P109" i="13"/>
  <c r="P111" i="13"/>
  <c r="P108" i="13"/>
  <c r="P110" i="13"/>
  <c r="AC265" i="11"/>
  <c r="Y255" i="11"/>
  <c r="Y254" i="11"/>
  <c r="Y257" i="11"/>
  <c r="Z252" i="11"/>
  <c r="Z251" i="11"/>
  <c r="Z250" i="11"/>
  <c r="Y256" i="11"/>
  <c r="AB266" i="11"/>
  <c r="E69" i="13"/>
  <c r="E148" i="13"/>
  <c r="P94" i="11" s="1"/>
  <c r="P112" i="11" s="1"/>
  <c r="R102" i="13"/>
  <c r="R103" i="13"/>
  <c r="R104" i="13"/>
  <c r="R127" i="13"/>
  <c r="R147" i="13" s="1"/>
  <c r="R128" i="13"/>
  <c r="R214" i="13" s="1"/>
  <c r="AC113" i="11" s="1"/>
  <c r="E28" i="13"/>
  <c r="G50" i="13"/>
  <c r="H140" i="13"/>
  <c r="G144" i="13"/>
  <c r="G148" i="13" s="1"/>
  <c r="R265" i="13"/>
  <c r="R266" i="13" s="1"/>
  <c r="T82" i="13"/>
  <c r="T45" i="13"/>
  <c r="V97" i="13"/>
  <c r="AG238" i="11" s="1"/>
  <c r="V94" i="13"/>
  <c r="AG229" i="11" s="1"/>
  <c r="V95" i="13"/>
  <c r="AG232" i="11" s="1"/>
  <c r="V86" i="13"/>
  <c r="AG211" i="11" s="1"/>
  <c r="V91" i="13"/>
  <c r="AG220" i="11" s="1"/>
  <c r="V89" i="13"/>
  <c r="V85" i="13"/>
  <c r="AG208" i="11" s="1"/>
  <c r="V96" i="13"/>
  <c r="AG235" i="11" s="1"/>
  <c r="V84" i="13"/>
  <c r="V88" i="13"/>
  <c r="AG214" i="11" s="1"/>
  <c r="V92" i="13"/>
  <c r="V93" i="13"/>
  <c r="AG226" i="11" s="1"/>
  <c r="S48" i="13"/>
  <c r="S47" i="13"/>
  <c r="Z233" i="13"/>
  <c r="R229" i="13"/>
  <c r="R235" i="13" s="1"/>
  <c r="R238" i="13" s="1"/>
  <c r="G261" i="13"/>
  <c r="G276" i="13" s="1"/>
  <c r="H246" i="13"/>
  <c r="I39" i="13"/>
  <c r="I70" i="13" s="1"/>
  <c r="I23" i="13"/>
  <c r="H222" i="13"/>
  <c r="H224" i="13" s="1"/>
  <c r="H239" i="13" s="1"/>
  <c r="D31" i="13"/>
  <c r="E27" i="13"/>
  <c r="E29" i="13"/>
  <c r="E30" i="13"/>
  <c r="F24" i="13"/>
  <c r="F28" i="13" s="1"/>
  <c r="Q137" i="11" s="1"/>
  <c r="S14" i="13"/>
  <c r="S228" i="13" s="1"/>
  <c r="AF245" i="11" l="1"/>
  <c r="AF247" i="11"/>
  <c r="V87" i="13"/>
  <c r="AG244" i="11" s="1"/>
  <c r="V90" i="13"/>
  <c r="AG246" i="11" s="1"/>
  <c r="Z78" i="13"/>
  <c r="Y79" i="13"/>
  <c r="Y120" i="13" s="1"/>
  <c r="F53" i="13"/>
  <c r="F54" i="13"/>
  <c r="F55" i="13"/>
  <c r="R179" i="11"/>
  <c r="R181" i="11" s="1"/>
  <c r="G49" i="13"/>
  <c r="R185" i="11" s="1"/>
  <c r="P109" i="11"/>
  <c r="E71" i="13"/>
  <c r="R216" i="13"/>
  <c r="Q55" i="11"/>
  <c r="Q81" i="11" s="1"/>
  <c r="Q216" i="13"/>
  <c r="AB56" i="11" s="1"/>
  <c r="AB82" i="11" s="1"/>
  <c r="G277" i="13"/>
  <c r="R58" i="11" s="1"/>
  <c r="R84" i="11" s="1"/>
  <c r="R102" i="11"/>
  <c r="R115" i="11" s="1"/>
  <c r="I349" i="13"/>
  <c r="T60" i="11" s="1"/>
  <c r="T86" i="11" s="1"/>
  <c r="T105" i="11"/>
  <c r="T117" i="11" s="1"/>
  <c r="S96" i="11"/>
  <c r="S114" i="11" s="1"/>
  <c r="H240" i="13"/>
  <c r="S57" i="11" s="1"/>
  <c r="S83" i="11" s="1"/>
  <c r="J248" i="13"/>
  <c r="G149" i="13"/>
  <c r="R94" i="11"/>
  <c r="R112" i="11" s="1"/>
  <c r="P260" i="11"/>
  <c r="P93" i="11"/>
  <c r="E149" i="13"/>
  <c r="Q260" i="11"/>
  <c r="Q93" i="11"/>
  <c r="S199" i="11"/>
  <c r="S92" i="11"/>
  <c r="B315" i="13"/>
  <c r="S315" i="13" s="1"/>
  <c r="S320" i="13" s="1"/>
  <c r="AB267" i="11"/>
  <c r="AB268" i="11" s="1"/>
  <c r="Q110" i="13"/>
  <c r="Q108" i="13"/>
  <c r="Q109" i="13"/>
  <c r="Q111" i="13"/>
  <c r="S104" i="13"/>
  <c r="S102" i="13"/>
  <c r="S103" i="13"/>
  <c r="AG205" i="11"/>
  <c r="AD176" i="11"/>
  <c r="B123" i="11"/>
  <c r="AD173" i="11"/>
  <c r="AD175" i="11" s="1"/>
  <c r="B122" i="11"/>
  <c r="AD182" i="11"/>
  <c r="B125" i="11"/>
  <c r="AA268" i="11"/>
  <c r="B299" i="13"/>
  <c r="AD265" i="11"/>
  <c r="Z256" i="11"/>
  <c r="Z255" i="11"/>
  <c r="Z257" i="11"/>
  <c r="Z254" i="11"/>
  <c r="AC266" i="11"/>
  <c r="P198" i="11"/>
  <c r="P200" i="11" s="1"/>
  <c r="Q186" i="11"/>
  <c r="P137" i="11"/>
  <c r="P128" i="11"/>
  <c r="P131" i="11" s="1"/>
  <c r="P124" i="11"/>
  <c r="P126" i="11" s="1"/>
  <c r="P133" i="11"/>
  <c r="S127" i="13"/>
  <c r="S147" i="13" s="1"/>
  <c r="S128" i="13"/>
  <c r="S214" i="13" s="1"/>
  <c r="AD113" i="11" s="1"/>
  <c r="H50" i="13"/>
  <c r="I140" i="13"/>
  <c r="H144" i="13"/>
  <c r="H148" i="13" s="1"/>
  <c r="B115" i="13"/>
  <c r="P114" i="13" s="1"/>
  <c r="P119" i="13" s="1"/>
  <c r="R109" i="13"/>
  <c r="R108" i="13"/>
  <c r="R110" i="13"/>
  <c r="R111" i="13"/>
  <c r="S265" i="13"/>
  <c r="S266" i="13" s="1"/>
  <c r="U45" i="13"/>
  <c r="U82" i="13"/>
  <c r="W93" i="13"/>
  <c r="AH226" i="11" s="1"/>
  <c r="AI227" i="11" s="1"/>
  <c r="W88" i="13"/>
  <c r="AH214" i="11" s="1"/>
  <c r="AI215" i="11" s="1"/>
  <c r="W84" i="13"/>
  <c r="W96" i="13"/>
  <c r="AH235" i="11" s="1"/>
  <c r="AI236" i="11" s="1"/>
  <c r="W89" i="13"/>
  <c r="W86" i="13"/>
  <c r="AH211" i="11" s="1"/>
  <c r="AI212" i="11" s="1"/>
  <c r="W94" i="13"/>
  <c r="AH229" i="11" s="1"/>
  <c r="AI230" i="11" s="1"/>
  <c r="W92" i="13"/>
  <c r="W85" i="13"/>
  <c r="AH208" i="11" s="1"/>
  <c r="AI209" i="11" s="1"/>
  <c r="W91" i="13"/>
  <c r="AH220" i="11" s="1"/>
  <c r="AI221" i="11" s="1"/>
  <c r="W95" i="13"/>
  <c r="AH232" i="11" s="1"/>
  <c r="AI233" i="11" s="1"/>
  <c r="W97" i="13"/>
  <c r="AH238" i="11" s="1"/>
  <c r="AI239" i="11" s="1"/>
  <c r="AE182" i="11"/>
  <c r="T47" i="13"/>
  <c r="T48" i="13"/>
  <c r="AE176" i="11" s="1"/>
  <c r="AA233" i="13"/>
  <c r="S229" i="13"/>
  <c r="S235" i="13" s="1"/>
  <c r="S238" i="13" s="1"/>
  <c r="H261" i="13"/>
  <c r="H276" i="13" s="1"/>
  <c r="I246" i="13"/>
  <c r="J39" i="13"/>
  <c r="J70" i="13" s="1"/>
  <c r="J23" i="13"/>
  <c r="I222" i="13"/>
  <c r="I224" i="13" s="1"/>
  <c r="I239" i="13" s="1"/>
  <c r="F30" i="13"/>
  <c r="F27" i="13"/>
  <c r="Q124" i="11" s="1"/>
  <c r="F29" i="13"/>
  <c r="Q128" i="11" s="1"/>
  <c r="G24" i="13"/>
  <c r="G28" i="13" s="1"/>
  <c r="R137" i="11" s="1"/>
  <c r="E31" i="13"/>
  <c r="T14" i="13"/>
  <c r="T228" i="13" s="1"/>
  <c r="B53" i="11" l="1"/>
  <c r="P53" i="11"/>
  <c r="B55" i="11"/>
  <c r="P55" i="11"/>
  <c r="P81" i="11" s="1"/>
  <c r="AG247" i="11"/>
  <c r="AG245" i="11"/>
  <c r="W90" i="13"/>
  <c r="W87" i="13"/>
  <c r="AH244" i="11" s="1"/>
  <c r="AA259" i="11"/>
  <c r="P121" i="13"/>
  <c r="AA78" i="13"/>
  <c r="Z79" i="13"/>
  <c r="Z120" i="13" s="1"/>
  <c r="F59" i="13"/>
  <c r="F60" i="13"/>
  <c r="F62" i="13"/>
  <c r="F61" i="13"/>
  <c r="G55" i="13"/>
  <c r="G54" i="13"/>
  <c r="G53" i="13"/>
  <c r="AE173" i="11"/>
  <c r="AE175" i="11" s="1"/>
  <c r="S179" i="11"/>
  <c r="S181" i="11" s="1"/>
  <c r="H49" i="13"/>
  <c r="S185" i="11" s="1"/>
  <c r="P79" i="11"/>
  <c r="R55" i="11"/>
  <c r="R81" i="11" s="1"/>
  <c r="K248" i="13"/>
  <c r="V105" i="11" s="1"/>
  <c r="V117" i="11" s="1"/>
  <c r="S216" i="13"/>
  <c r="AC56" i="11"/>
  <c r="AC82" i="11" s="1"/>
  <c r="H277" i="13"/>
  <c r="S58" i="11" s="1"/>
  <c r="S84" i="11" s="1"/>
  <c r="S102" i="11"/>
  <c r="S115" i="11" s="1"/>
  <c r="J349" i="13"/>
  <c r="U60" i="11" s="1"/>
  <c r="U86" i="11" s="1"/>
  <c r="U105" i="11"/>
  <c r="U117" i="11" s="1"/>
  <c r="H149" i="13"/>
  <c r="S94" i="11"/>
  <c r="S112" i="11" s="1"/>
  <c r="T96" i="11"/>
  <c r="T114" i="11" s="1"/>
  <c r="I240" i="13"/>
  <c r="T57" i="11" s="1"/>
  <c r="T83" i="11" s="1"/>
  <c r="R260" i="11"/>
  <c r="R93" i="11"/>
  <c r="T199" i="11"/>
  <c r="T92" i="11"/>
  <c r="U315" i="13"/>
  <c r="U320" i="13" s="1"/>
  <c r="L315" i="13"/>
  <c r="L320" i="13" s="1"/>
  <c r="E315" i="13"/>
  <c r="E320" i="13" s="1"/>
  <c r="F299" i="13"/>
  <c r="F319" i="13" s="1"/>
  <c r="P103" i="11"/>
  <c r="AH315" i="13"/>
  <c r="AH320" i="13" s="1"/>
  <c r="G315" i="13"/>
  <c r="G320" i="13" s="1"/>
  <c r="P104" i="11"/>
  <c r="AB315" i="13"/>
  <c r="AB320" i="13" s="1"/>
  <c r="F315" i="13"/>
  <c r="F320" i="13" s="1"/>
  <c r="AG315" i="13"/>
  <c r="AG320" i="13" s="1"/>
  <c r="Q315" i="13"/>
  <c r="Q320" i="13" s="1"/>
  <c r="V315" i="13"/>
  <c r="V320" i="13" s="1"/>
  <c r="X315" i="13"/>
  <c r="X320" i="13" s="1"/>
  <c r="H315" i="13"/>
  <c r="H320" i="13" s="1"/>
  <c r="AE315" i="13"/>
  <c r="AE320" i="13" s="1"/>
  <c r="O315" i="13"/>
  <c r="O320" i="13" s="1"/>
  <c r="Z315" i="13"/>
  <c r="Z320" i="13" s="1"/>
  <c r="AC315" i="13"/>
  <c r="AC320" i="13" s="1"/>
  <c r="M315" i="13"/>
  <c r="M320" i="13" s="1"/>
  <c r="J315" i="13"/>
  <c r="J320" i="13" s="1"/>
  <c r="T315" i="13"/>
  <c r="T320" i="13" s="1"/>
  <c r="AD315" i="13"/>
  <c r="AD320" i="13" s="1"/>
  <c r="AA315" i="13"/>
  <c r="AA320" i="13" s="1"/>
  <c r="K315" i="13"/>
  <c r="K320" i="13" s="1"/>
  <c r="R315" i="13"/>
  <c r="R320" i="13" s="1"/>
  <c r="Y315" i="13"/>
  <c r="Y320" i="13" s="1"/>
  <c r="I315" i="13"/>
  <c r="I320" i="13" s="1"/>
  <c r="AF315" i="13"/>
  <c r="AF320" i="13" s="1"/>
  <c r="P315" i="13"/>
  <c r="P320" i="13" s="1"/>
  <c r="N315" i="13"/>
  <c r="N320" i="13" s="1"/>
  <c r="W315" i="13"/>
  <c r="W320" i="13" s="1"/>
  <c r="AJ239" i="11"/>
  <c r="AK239" i="11" s="1"/>
  <c r="AL239" i="11" s="1"/>
  <c r="AM239" i="11" s="1"/>
  <c r="AN239" i="11" s="1"/>
  <c r="AO239" i="11" s="1"/>
  <c r="AP239" i="11" s="1"/>
  <c r="AQ239" i="11" s="1"/>
  <c r="AR239" i="11" s="1"/>
  <c r="AS239" i="11" s="1"/>
  <c r="AI240" i="11"/>
  <c r="AJ227" i="11"/>
  <c r="AK227" i="11" s="1"/>
  <c r="AL227" i="11" s="1"/>
  <c r="AM227" i="11" s="1"/>
  <c r="AN227" i="11" s="1"/>
  <c r="AO227" i="11" s="1"/>
  <c r="AP227" i="11" s="1"/>
  <c r="AQ227" i="11" s="1"/>
  <c r="AR227" i="11" s="1"/>
  <c r="AS227" i="11" s="1"/>
  <c r="AI228" i="11"/>
  <c r="AJ233" i="11"/>
  <c r="AK233" i="11" s="1"/>
  <c r="AL233" i="11" s="1"/>
  <c r="AM233" i="11" s="1"/>
  <c r="AN233" i="11" s="1"/>
  <c r="AO233" i="11" s="1"/>
  <c r="AP233" i="11" s="1"/>
  <c r="AQ233" i="11" s="1"/>
  <c r="AR233" i="11" s="1"/>
  <c r="AS233" i="11" s="1"/>
  <c r="AI234" i="11"/>
  <c r="AJ236" i="11"/>
  <c r="AK236" i="11" s="1"/>
  <c r="AL236" i="11" s="1"/>
  <c r="AM236" i="11" s="1"/>
  <c r="AN236" i="11" s="1"/>
  <c r="AO236" i="11" s="1"/>
  <c r="AP236" i="11" s="1"/>
  <c r="AQ236" i="11" s="1"/>
  <c r="AR236" i="11" s="1"/>
  <c r="AS236" i="11" s="1"/>
  <c r="AI237" i="11"/>
  <c r="AJ221" i="11"/>
  <c r="AK221" i="11" s="1"/>
  <c r="AL221" i="11" s="1"/>
  <c r="AM221" i="11" s="1"/>
  <c r="AN221" i="11" s="1"/>
  <c r="AO221" i="11" s="1"/>
  <c r="AP221" i="11" s="1"/>
  <c r="AQ221" i="11" s="1"/>
  <c r="AR221" i="11" s="1"/>
  <c r="AS221" i="11" s="1"/>
  <c r="AI222" i="11"/>
  <c r="AJ230" i="11"/>
  <c r="AK230" i="11" s="1"/>
  <c r="AL230" i="11" s="1"/>
  <c r="AM230" i="11" s="1"/>
  <c r="AN230" i="11" s="1"/>
  <c r="AO230" i="11" s="1"/>
  <c r="AP230" i="11" s="1"/>
  <c r="AQ230" i="11" s="1"/>
  <c r="AR230" i="11" s="1"/>
  <c r="AS230" i="11" s="1"/>
  <c r="AI231" i="11"/>
  <c r="AJ209" i="11"/>
  <c r="AK209" i="11" s="1"/>
  <c r="AL209" i="11" s="1"/>
  <c r="AM209" i="11" s="1"/>
  <c r="AN209" i="11" s="1"/>
  <c r="AO209" i="11" s="1"/>
  <c r="AP209" i="11" s="1"/>
  <c r="AQ209" i="11" s="1"/>
  <c r="AR209" i="11" s="1"/>
  <c r="AS209" i="11" s="1"/>
  <c r="AI210" i="11"/>
  <c r="AJ212" i="11"/>
  <c r="AK212" i="11" s="1"/>
  <c r="AL212" i="11" s="1"/>
  <c r="AM212" i="11" s="1"/>
  <c r="AN212" i="11" s="1"/>
  <c r="AO212" i="11" s="1"/>
  <c r="AP212" i="11" s="1"/>
  <c r="AQ212" i="11" s="1"/>
  <c r="AR212" i="11" s="1"/>
  <c r="AS212" i="11" s="1"/>
  <c r="AI213" i="11"/>
  <c r="AJ215" i="11"/>
  <c r="AK215" i="11" s="1"/>
  <c r="AL215" i="11" s="1"/>
  <c r="AM215" i="11" s="1"/>
  <c r="AN215" i="11" s="1"/>
  <c r="AO215" i="11" s="1"/>
  <c r="AP215" i="11" s="1"/>
  <c r="AQ215" i="11" s="1"/>
  <c r="AR215" i="11" s="1"/>
  <c r="AS215" i="11" s="1"/>
  <c r="AI216" i="11"/>
  <c r="Q191" i="11"/>
  <c r="Q189" i="11"/>
  <c r="Q190" i="11"/>
  <c r="AC267" i="11"/>
  <c r="AC268" i="11" s="1"/>
  <c r="AA269" i="11"/>
  <c r="AB269" i="11"/>
  <c r="AH205" i="11"/>
  <c r="AI206" i="11" s="1"/>
  <c r="T104" i="13"/>
  <c r="T102" i="13"/>
  <c r="T103" i="13"/>
  <c r="AH246" i="11"/>
  <c r="Q131" i="11"/>
  <c r="Q126" i="11"/>
  <c r="Q133" i="11"/>
  <c r="Y299" i="13"/>
  <c r="Y319" i="13" s="1"/>
  <c r="S299" i="13"/>
  <c r="S319" i="13" s="1"/>
  <c r="I299" i="13"/>
  <c r="I319" i="13" s="1"/>
  <c r="AH299" i="13"/>
  <c r="AH319" i="13" s="1"/>
  <c r="E299" i="13"/>
  <c r="E319" i="13" s="1"/>
  <c r="T299" i="13"/>
  <c r="T319" i="13" s="1"/>
  <c r="R299" i="13"/>
  <c r="R319" i="13" s="1"/>
  <c r="U299" i="13"/>
  <c r="U319" i="13" s="1"/>
  <c r="AF299" i="13"/>
  <c r="AF319" i="13" s="1"/>
  <c r="P299" i="13"/>
  <c r="P319" i="13" s="1"/>
  <c r="AE299" i="13"/>
  <c r="AE319" i="13" s="1"/>
  <c r="O299" i="13"/>
  <c r="O319" i="13" s="1"/>
  <c r="AD299" i="13"/>
  <c r="AD319" i="13" s="1"/>
  <c r="N299" i="13"/>
  <c r="N319" i="13" s="1"/>
  <c r="AG299" i="13"/>
  <c r="AG319" i="13" s="1"/>
  <c r="Q299" i="13"/>
  <c r="Q319" i="13" s="1"/>
  <c r="AB299" i="13"/>
  <c r="AB319" i="13" s="1"/>
  <c r="L299" i="13"/>
  <c r="L319" i="13" s="1"/>
  <c r="AA299" i="13"/>
  <c r="AA319" i="13" s="1"/>
  <c r="K299" i="13"/>
  <c r="K319" i="13" s="1"/>
  <c r="Z299" i="13"/>
  <c r="Z319" i="13" s="1"/>
  <c r="J299" i="13"/>
  <c r="J319" i="13" s="1"/>
  <c r="AC299" i="13"/>
  <c r="AC319" i="13" s="1"/>
  <c r="M299" i="13"/>
  <c r="M319" i="13" s="1"/>
  <c r="X299" i="13"/>
  <c r="X319" i="13" s="1"/>
  <c r="H299" i="13"/>
  <c r="H319" i="13" s="1"/>
  <c r="W299" i="13"/>
  <c r="W319" i="13" s="1"/>
  <c r="G299" i="13"/>
  <c r="G319" i="13" s="1"/>
  <c r="V299" i="13"/>
  <c r="V319" i="13" s="1"/>
  <c r="AE265" i="11"/>
  <c r="AA250" i="11"/>
  <c r="AA251" i="11"/>
  <c r="AA252" i="11"/>
  <c r="AD266" i="11"/>
  <c r="P135" i="11"/>
  <c r="P132" i="11"/>
  <c r="P201" i="11"/>
  <c r="P273" i="11"/>
  <c r="X258" i="11"/>
  <c r="S258" i="11"/>
  <c r="R258" i="11"/>
  <c r="Q258" i="11"/>
  <c r="T258" i="11"/>
  <c r="P258" i="11"/>
  <c r="U258" i="11"/>
  <c r="Y258" i="11"/>
  <c r="Z258" i="11"/>
  <c r="W258" i="11"/>
  <c r="V258" i="11"/>
  <c r="R186" i="11"/>
  <c r="T128" i="13"/>
  <c r="T214" i="13" s="1"/>
  <c r="AE113" i="11" s="1"/>
  <c r="T127" i="13"/>
  <c r="T147" i="13" s="1"/>
  <c r="I50" i="13"/>
  <c r="J140" i="13"/>
  <c r="I144" i="13"/>
  <c r="I148" i="13" s="1"/>
  <c r="L114" i="13"/>
  <c r="L119" i="13" s="1"/>
  <c r="H114" i="13"/>
  <c r="H119" i="13" s="1"/>
  <c r="O114" i="13"/>
  <c r="O119" i="13" s="1"/>
  <c r="K114" i="13"/>
  <c r="K119" i="13" s="1"/>
  <c r="G114" i="13"/>
  <c r="G119" i="13" s="1"/>
  <c r="G121" i="13" s="1"/>
  <c r="Q114" i="13"/>
  <c r="Q119" i="13" s="1"/>
  <c r="N114" i="13"/>
  <c r="N119" i="13" s="1"/>
  <c r="J114" i="13"/>
  <c r="J119" i="13" s="1"/>
  <c r="M114" i="13"/>
  <c r="M119" i="13" s="1"/>
  <c r="I114" i="13"/>
  <c r="I119" i="13" s="1"/>
  <c r="F114" i="13"/>
  <c r="F119" i="13" s="1"/>
  <c r="E114" i="13"/>
  <c r="E119" i="13" s="1"/>
  <c r="R114" i="13"/>
  <c r="R119" i="13" s="1"/>
  <c r="S108" i="13"/>
  <c r="S109" i="13"/>
  <c r="S110" i="13"/>
  <c r="S111" i="13"/>
  <c r="T265" i="13"/>
  <c r="T266" i="13" s="1"/>
  <c r="V82" i="13"/>
  <c r="V45" i="13"/>
  <c r="X95" i="13"/>
  <c r="X85" i="13"/>
  <c r="X86" i="13"/>
  <c r="X96" i="13"/>
  <c r="X88" i="13"/>
  <c r="X97" i="13"/>
  <c r="X91" i="13"/>
  <c r="X92" i="13"/>
  <c r="X94" i="13"/>
  <c r="X89" i="13"/>
  <c r="X84" i="13"/>
  <c r="X93" i="13"/>
  <c r="U48" i="13"/>
  <c r="AF176" i="11" s="1"/>
  <c r="U47" i="13"/>
  <c r="AF182" i="11"/>
  <c r="AB233" i="13"/>
  <c r="T229" i="13"/>
  <c r="T235" i="13" s="1"/>
  <c r="T238" i="13" s="1"/>
  <c r="I261" i="13"/>
  <c r="I276" i="13" s="1"/>
  <c r="J246" i="13"/>
  <c r="K39" i="13"/>
  <c r="K70" i="13" s="1"/>
  <c r="K23" i="13"/>
  <c r="J222" i="13"/>
  <c r="J224" i="13" s="1"/>
  <c r="J239" i="13" s="1"/>
  <c r="F31" i="13"/>
  <c r="G30" i="13"/>
  <c r="G29" i="13"/>
  <c r="R128" i="11" s="1"/>
  <c r="G27" i="13"/>
  <c r="R124" i="11" s="1"/>
  <c r="H24" i="13"/>
  <c r="H28" i="13" s="1"/>
  <c r="S137" i="11" s="1"/>
  <c r="U14" i="13"/>
  <c r="U228" i="13" s="1"/>
  <c r="AH247" i="11" l="1"/>
  <c r="AH245" i="11"/>
  <c r="X87" i="13"/>
  <c r="X90" i="13"/>
  <c r="AI246" i="11" s="1"/>
  <c r="Y259" i="11"/>
  <c r="Y262" i="11" s="1"/>
  <c r="N121" i="13"/>
  <c r="T259" i="11"/>
  <c r="T262" i="11" s="1"/>
  <c r="I121" i="13"/>
  <c r="S259" i="11"/>
  <c r="S262" i="11" s="1"/>
  <c r="H121" i="13"/>
  <c r="AC259" i="11"/>
  <c r="R121" i="13"/>
  <c r="X259" i="11"/>
  <c r="X262" i="11" s="1"/>
  <c r="M121" i="13"/>
  <c r="W259" i="11"/>
  <c r="W262" i="11" s="1"/>
  <c r="L121" i="13"/>
  <c r="Q259" i="11"/>
  <c r="Q262" i="11" s="1"/>
  <c r="F121" i="13"/>
  <c r="Z259" i="11"/>
  <c r="Z262" i="11" s="1"/>
  <c r="O121" i="13"/>
  <c r="AB259" i="11"/>
  <c r="Q121" i="13"/>
  <c r="P259" i="11"/>
  <c r="P261" i="11" s="1"/>
  <c r="P274" i="11" s="1"/>
  <c r="E121" i="13"/>
  <c r="U259" i="11"/>
  <c r="U262" i="11" s="1"/>
  <c r="J121" i="13"/>
  <c r="V259" i="11"/>
  <c r="V262" i="11" s="1"/>
  <c r="K121" i="13"/>
  <c r="AB78" i="13"/>
  <c r="AA79" i="13"/>
  <c r="AA120" i="13" s="1"/>
  <c r="T180" i="11"/>
  <c r="U180" i="11" s="1"/>
  <c r="V180" i="11" s="1"/>
  <c r="W180" i="11" s="1"/>
  <c r="X180" i="11" s="1"/>
  <c r="G61" i="13"/>
  <c r="G59" i="13"/>
  <c r="F65" i="13"/>
  <c r="F69" i="13" s="1"/>
  <c r="G62" i="13"/>
  <c r="G60" i="13"/>
  <c r="H54" i="13"/>
  <c r="AF173" i="11"/>
  <c r="AF175" i="11" s="1"/>
  <c r="H55" i="13"/>
  <c r="T179" i="11"/>
  <c r="I49" i="13"/>
  <c r="T185" i="11" s="1"/>
  <c r="H53" i="13"/>
  <c r="R110" i="11"/>
  <c r="Q110" i="11"/>
  <c r="K349" i="13"/>
  <c r="V60" i="11" s="1"/>
  <c r="V86" i="11" s="1"/>
  <c r="P110" i="11"/>
  <c r="P116" i="11"/>
  <c r="L248" i="13"/>
  <c r="L349" i="13" s="1"/>
  <c r="W60" i="11" s="1"/>
  <c r="W86" i="11" s="1"/>
  <c r="T216" i="13"/>
  <c r="H323" i="13"/>
  <c r="S59" i="11" s="1"/>
  <c r="S85" i="11" s="1"/>
  <c r="N323" i="13"/>
  <c r="Y59" i="11" s="1"/>
  <c r="Y85" i="11" s="1"/>
  <c r="AJ104" i="11"/>
  <c r="AJ116" i="11" s="1"/>
  <c r="AC104" i="11"/>
  <c r="AC116" i="11" s="1"/>
  <c r="AD56" i="11"/>
  <c r="AD82" i="11" s="1"/>
  <c r="S55" i="11"/>
  <c r="S81" i="11" s="1"/>
  <c r="AG104" i="11"/>
  <c r="AG116" i="11" s="1"/>
  <c r="T104" i="11"/>
  <c r="T116" i="11" s="1"/>
  <c r="AR104" i="11"/>
  <c r="AR116" i="11" s="1"/>
  <c r="W104" i="11"/>
  <c r="W116" i="11" s="1"/>
  <c r="AS104" i="11"/>
  <c r="AS116" i="11" s="1"/>
  <c r="AQ104" i="11"/>
  <c r="AQ116" i="11" s="1"/>
  <c r="U104" i="11"/>
  <c r="U116" i="11" s="1"/>
  <c r="AD104" i="11"/>
  <c r="AD116" i="11" s="1"/>
  <c r="AN104" i="11"/>
  <c r="AN116" i="11" s="1"/>
  <c r="AM104" i="11"/>
  <c r="AM116" i="11" s="1"/>
  <c r="Q104" i="11"/>
  <c r="Q116" i="11" s="1"/>
  <c r="AI104" i="11"/>
  <c r="AI116" i="11" s="1"/>
  <c r="AK104" i="11"/>
  <c r="AK116" i="11" s="1"/>
  <c r="AP104" i="11"/>
  <c r="AP116" i="11" s="1"/>
  <c r="Z104" i="11"/>
  <c r="Z116" i="11" s="1"/>
  <c r="AO104" i="11"/>
  <c r="AO116" i="11" s="1"/>
  <c r="X104" i="11"/>
  <c r="X116" i="11" s="1"/>
  <c r="AF104" i="11"/>
  <c r="AF116" i="11" s="1"/>
  <c r="AL104" i="11"/>
  <c r="AL116" i="11" s="1"/>
  <c r="V104" i="11"/>
  <c r="V116" i="11" s="1"/>
  <c r="I277" i="13"/>
  <c r="T58" i="11" s="1"/>
  <c r="T84" i="11" s="1"/>
  <c r="T102" i="11"/>
  <c r="T115" i="11" s="1"/>
  <c r="Y104" i="11"/>
  <c r="Y116" i="11" s="1"/>
  <c r="AB104" i="11"/>
  <c r="AB116" i="11" s="1"/>
  <c r="AE104" i="11"/>
  <c r="AE116" i="11" s="1"/>
  <c r="S104" i="11"/>
  <c r="S116" i="11" s="1"/>
  <c r="AA104" i="11"/>
  <c r="AA116" i="11" s="1"/>
  <c r="AH104" i="11"/>
  <c r="AH116" i="11" s="1"/>
  <c r="R104" i="11"/>
  <c r="R116" i="11" s="1"/>
  <c r="U96" i="11"/>
  <c r="U114" i="11" s="1"/>
  <c r="J240" i="13"/>
  <c r="U57" i="11" s="1"/>
  <c r="U83" i="11" s="1"/>
  <c r="I149" i="13"/>
  <c r="T94" i="11"/>
  <c r="T112" i="11" s="1"/>
  <c r="S260" i="11"/>
  <c r="S261" i="11" s="1"/>
  <c r="S93" i="11"/>
  <c r="S110" i="11" s="1"/>
  <c r="U199" i="11"/>
  <c r="U92" i="11"/>
  <c r="W323" i="13"/>
  <c r="AH59" i="11" s="1"/>
  <c r="AH85" i="11" s="1"/>
  <c r="AC323" i="13"/>
  <c r="AN59" i="11" s="1"/>
  <c r="AN85" i="11" s="1"/>
  <c r="AA323" i="13"/>
  <c r="AL59" i="11" s="1"/>
  <c r="AL85" i="11" s="1"/>
  <c r="AG323" i="13"/>
  <c r="AR59" i="11" s="1"/>
  <c r="AR85" i="11" s="1"/>
  <c r="R323" i="13"/>
  <c r="AC59" i="11" s="1"/>
  <c r="AC85" i="11" s="1"/>
  <c r="I323" i="13"/>
  <c r="T59" i="11" s="1"/>
  <c r="T85" i="11" s="1"/>
  <c r="M323" i="13"/>
  <c r="X59" i="11" s="1"/>
  <c r="X85" i="11" s="1"/>
  <c r="Q323" i="13"/>
  <c r="AB59" i="11" s="1"/>
  <c r="AB85" i="11" s="1"/>
  <c r="U323" i="13"/>
  <c r="AF59" i="11" s="1"/>
  <c r="AF85" i="11" s="1"/>
  <c r="E323" i="13"/>
  <c r="J323" i="13"/>
  <c r="U59" i="11" s="1"/>
  <c r="U85" i="11" s="1"/>
  <c r="L323" i="13"/>
  <c r="W59" i="11" s="1"/>
  <c r="W85" i="11" s="1"/>
  <c r="P323" i="13"/>
  <c r="AA59" i="11" s="1"/>
  <c r="AA85" i="11" s="1"/>
  <c r="T323" i="13"/>
  <c r="AE59" i="11" s="1"/>
  <c r="AE85" i="11" s="1"/>
  <c r="S323" i="13"/>
  <c r="AD59" i="11" s="1"/>
  <c r="AD85" i="11" s="1"/>
  <c r="G323" i="13"/>
  <c r="R59" i="11" s="1"/>
  <c r="R85" i="11" s="1"/>
  <c r="V323" i="13"/>
  <c r="AG59" i="11" s="1"/>
  <c r="AG85" i="11" s="1"/>
  <c r="X323" i="13"/>
  <c r="AI59" i="11" s="1"/>
  <c r="AI85" i="11" s="1"/>
  <c r="Z323" i="13"/>
  <c r="AK59" i="11" s="1"/>
  <c r="AK85" i="11" s="1"/>
  <c r="AB323" i="13"/>
  <c r="AM59" i="11" s="1"/>
  <c r="AM85" i="11" s="1"/>
  <c r="AD323" i="13"/>
  <c r="AO59" i="11" s="1"/>
  <c r="AO85" i="11" s="1"/>
  <c r="AF323" i="13"/>
  <c r="AQ59" i="11" s="1"/>
  <c r="AQ85" i="11" s="1"/>
  <c r="Y323" i="13"/>
  <c r="AJ59" i="11" s="1"/>
  <c r="AJ85" i="11" s="1"/>
  <c r="K323" i="13"/>
  <c r="V59" i="11" s="1"/>
  <c r="V85" i="11" s="1"/>
  <c r="O323" i="13"/>
  <c r="Z59" i="11" s="1"/>
  <c r="Z85" i="11" s="1"/>
  <c r="AH323" i="13"/>
  <c r="AS59" i="11" s="1"/>
  <c r="AS85" i="11" s="1"/>
  <c r="AE323" i="13"/>
  <c r="AP59" i="11" s="1"/>
  <c r="AP85" i="11" s="1"/>
  <c r="F323" i="13"/>
  <c r="Q59" i="11" s="1"/>
  <c r="Q85" i="11" s="1"/>
  <c r="AJ216" i="11"/>
  <c r="AK216" i="11" s="1"/>
  <c r="AL216" i="11" s="1"/>
  <c r="AM216" i="11" s="1"/>
  <c r="AN216" i="11" s="1"/>
  <c r="AO216" i="11" s="1"/>
  <c r="AP216" i="11" s="1"/>
  <c r="AQ216" i="11" s="1"/>
  <c r="AR216" i="11" s="1"/>
  <c r="AS216" i="11" s="1"/>
  <c r="AJ210" i="11"/>
  <c r="AK210" i="11" s="1"/>
  <c r="AL210" i="11" s="1"/>
  <c r="AM210" i="11" s="1"/>
  <c r="AN210" i="11" s="1"/>
  <c r="AO210" i="11" s="1"/>
  <c r="AP210" i="11" s="1"/>
  <c r="AQ210" i="11" s="1"/>
  <c r="AR210" i="11" s="1"/>
  <c r="AS210" i="11" s="1"/>
  <c r="AJ222" i="11"/>
  <c r="AK222" i="11" s="1"/>
  <c r="AL222" i="11" s="1"/>
  <c r="AM222" i="11" s="1"/>
  <c r="AN222" i="11" s="1"/>
  <c r="AO222" i="11" s="1"/>
  <c r="AP222" i="11" s="1"/>
  <c r="AQ222" i="11" s="1"/>
  <c r="AR222" i="11" s="1"/>
  <c r="AS222" i="11" s="1"/>
  <c r="AJ234" i="11"/>
  <c r="AK234" i="11" s="1"/>
  <c r="AL234" i="11" s="1"/>
  <c r="AM234" i="11" s="1"/>
  <c r="AN234" i="11" s="1"/>
  <c r="AO234" i="11" s="1"/>
  <c r="AP234" i="11" s="1"/>
  <c r="AQ234" i="11" s="1"/>
  <c r="AR234" i="11" s="1"/>
  <c r="AS234" i="11" s="1"/>
  <c r="AJ240" i="11"/>
  <c r="AK240" i="11" s="1"/>
  <c r="AL240" i="11" s="1"/>
  <c r="AM240" i="11" s="1"/>
  <c r="AN240" i="11" s="1"/>
  <c r="AO240" i="11" s="1"/>
  <c r="AP240" i="11" s="1"/>
  <c r="AQ240" i="11" s="1"/>
  <c r="AR240" i="11" s="1"/>
  <c r="AS240" i="11" s="1"/>
  <c r="AJ213" i="11"/>
  <c r="AK213" i="11" s="1"/>
  <c r="AL213" i="11" s="1"/>
  <c r="AM213" i="11" s="1"/>
  <c r="AN213" i="11" s="1"/>
  <c r="AO213" i="11" s="1"/>
  <c r="AP213" i="11" s="1"/>
  <c r="AQ213" i="11" s="1"/>
  <c r="AR213" i="11" s="1"/>
  <c r="AS213" i="11" s="1"/>
  <c r="AJ231" i="11"/>
  <c r="AK231" i="11" s="1"/>
  <c r="AL231" i="11" s="1"/>
  <c r="AM231" i="11" s="1"/>
  <c r="AN231" i="11" s="1"/>
  <c r="AO231" i="11" s="1"/>
  <c r="AP231" i="11" s="1"/>
  <c r="AQ231" i="11" s="1"/>
  <c r="AR231" i="11" s="1"/>
  <c r="AS231" i="11" s="1"/>
  <c r="AJ237" i="11"/>
  <c r="AK237" i="11" s="1"/>
  <c r="AL237" i="11" s="1"/>
  <c r="AM237" i="11" s="1"/>
  <c r="AN237" i="11" s="1"/>
  <c r="AO237" i="11" s="1"/>
  <c r="AP237" i="11" s="1"/>
  <c r="AQ237" i="11" s="1"/>
  <c r="AR237" i="11" s="1"/>
  <c r="AS237" i="11" s="1"/>
  <c r="AJ228" i="11"/>
  <c r="AK228" i="11" s="1"/>
  <c r="AL228" i="11" s="1"/>
  <c r="AM228" i="11" s="1"/>
  <c r="AN228" i="11" s="1"/>
  <c r="AO228" i="11" s="1"/>
  <c r="AP228" i="11" s="1"/>
  <c r="AQ228" i="11" s="1"/>
  <c r="AR228" i="11" s="1"/>
  <c r="AS228" i="11" s="1"/>
  <c r="AJ206" i="11"/>
  <c r="AK206" i="11" s="1"/>
  <c r="AL206" i="11" s="1"/>
  <c r="AM206" i="11" s="1"/>
  <c r="AN206" i="11" s="1"/>
  <c r="AO206" i="11" s="1"/>
  <c r="AP206" i="11" s="1"/>
  <c r="AQ206" i="11" s="1"/>
  <c r="AR206" i="11" s="1"/>
  <c r="AS206" i="11" s="1"/>
  <c r="AI207" i="11"/>
  <c r="R190" i="11"/>
  <c r="R189" i="11"/>
  <c r="R191" i="11"/>
  <c r="AC269" i="11"/>
  <c r="AD267" i="11"/>
  <c r="AD268" i="11" s="1"/>
  <c r="Q261" i="11"/>
  <c r="Q274" i="11" s="1"/>
  <c r="U104" i="13"/>
  <c r="U102" i="13"/>
  <c r="U103" i="13"/>
  <c r="AI205" i="11"/>
  <c r="AI235" i="11"/>
  <c r="AI232" i="11"/>
  <c r="AI220" i="11"/>
  <c r="AI211" i="11"/>
  <c r="AI229" i="11"/>
  <c r="AI238" i="11"/>
  <c r="AI226" i="11"/>
  <c r="AI214" i="11"/>
  <c r="AI208" i="11"/>
  <c r="AI244" i="11"/>
  <c r="R126" i="11"/>
  <c r="R131" i="11"/>
  <c r="Q135" i="11"/>
  <c r="Q136" i="11" s="1"/>
  <c r="Q164" i="11" s="1"/>
  <c r="Q277" i="11" s="1"/>
  <c r="R133" i="11"/>
  <c r="AF265" i="11"/>
  <c r="AA255" i="11"/>
  <c r="AB250" i="11"/>
  <c r="AB252" i="11"/>
  <c r="AB251" i="11"/>
  <c r="AA256" i="11"/>
  <c r="AA257" i="11"/>
  <c r="AA254" i="11"/>
  <c r="AE266" i="11"/>
  <c r="P136" i="11"/>
  <c r="P164" i="11" s="1"/>
  <c r="P277" i="11" s="1"/>
  <c r="R259" i="11"/>
  <c r="R261" i="11" s="1"/>
  <c r="Q195" i="11"/>
  <c r="Q196" i="11"/>
  <c r="Q194" i="11"/>
  <c r="Q193" i="11"/>
  <c r="S186" i="11"/>
  <c r="S189" i="11" s="1"/>
  <c r="P127" i="11"/>
  <c r="P138" i="11"/>
  <c r="P139" i="11" s="1"/>
  <c r="Q127" i="11"/>
  <c r="Q132" i="11"/>
  <c r="U128" i="13"/>
  <c r="U214" i="13" s="1"/>
  <c r="AF113" i="11" s="1"/>
  <c r="U127" i="13"/>
  <c r="U147" i="13" s="1"/>
  <c r="J50" i="13"/>
  <c r="K140" i="13"/>
  <c r="J144" i="13"/>
  <c r="J148" i="13" s="1"/>
  <c r="S114" i="13"/>
  <c r="S119" i="13" s="1"/>
  <c r="T111" i="13"/>
  <c r="T108" i="13"/>
  <c r="T110" i="13"/>
  <c r="T109" i="13"/>
  <c r="U265" i="13"/>
  <c r="U266" i="13" s="1"/>
  <c r="W45" i="13"/>
  <c r="W82" i="13"/>
  <c r="Y84" i="13"/>
  <c r="Y94" i="13"/>
  <c r="AJ229" i="11" s="1"/>
  <c r="Y97" i="13"/>
  <c r="AJ238" i="11" s="1"/>
  <c r="Y96" i="13"/>
  <c r="AJ235" i="11" s="1"/>
  <c r="Y85" i="13"/>
  <c r="AJ208" i="11" s="1"/>
  <c r="Y93" i="13"/>
  <c r="AJ226" i="11" s="1"/>
  <c r="Y89" i="13"/>
  <c r="Y92" i="13"/>
  <c r="Y91" i="13"/>
  <c r="AJ220" i="11" s="1"/>
  <c r="Y88" i="13"/>
  <c r="AJ214" i="11" s="1"/>
  <c r="Y86" i="13"/>
  <c r="AJ211" i="11" s="1"/>
  <c r="Y95" i="13"/>
  <c r="AJ232" i="11" s="1"/>
  <c r="V47" i="13"/>
  <c r="AG182" i="11"/>
  <c r="V48" i="13"/>
  <c r="AG176" i="11" s="1"/>
  <c r="AC233" i="13"/>
  <c r="U229" i="13"/>
  <c r="U235" i="13" s="1"/>
  <c r="U238" i="13" s="1"/>
  <c r="J261" i="13"/>
  <c r="J276" i="13" s="1"/>
  <c r="K246" i="13"/>
  <c r="L39" i="13"/>
  <c r="L70" i="13" s="1"/>
  <c r="L23" i="13"/>
  <c r="K222" i="13"/>
  <c r="K224" i="13" s="1"/>
  <c r="K239" i="13" s="1"/>
  <c r="G31" i="13"/>
  <c r="H30" i="13"/>
  <c r="H27" i="13"/>
  <c r="S124" i="11" s="1"/>
  <c r="T125" i="11" s="1"/>
  <c r="U125" i="11" s="1"/>
  <c r="V125" i="11" s="1"/>
  <c r="W125" i="11" s="1"/>
  <c r="X125" i="11" s="1"/>
  <c r="Y125" i="11" s="1"/>
  <c r="Z125" i="11" s="1"/>
  <c r="AA125" i="11" s="1"/>
  <c r="AB125" i="11" s="1"/>
  <c r="AC125" i="11" s="1"/>
  <c r="AD125" i="11" s="1"/>
  <c r="AE125" i="11" s="1"/>
  <c r="AF125" i="11" s="1"/>
  <c r="AG125" i="11" s="1"/>
  <c r="AH125" i="11" s="1"/>
  <c r="AI125" i="11" s="1"/>
  <c r="AJ125" i="11" s="1"/>
  <c r="AK125" i="11" s="1"/>
  <c r="AL125" i="11" s="1"/>
  <c r="AM125" i="11" s="1"/>
  <c r="AN125" i="11" s="1"/>
  <c r="AO125" i="11" s="1"/>
  <c r="AP125" i="11" s="1"/>
  <c r="AQ125" i="11" s="1"/>
  <c r="AR125" i="11" s="1"/>
  <c r="AS125" i="11" s="1"/>
  <c r="H29" i="13"/>
  <c r="S128" i="11" s="1"/>
  <c r="T129" i="11" s="1"/>
  <c r="U129" i="11" s="1"/>
  <c r="V129" i="11" s="1"/>
  <c r="W129" i="11" s="1"/>
  <c r="X129" i="11" s="1"/>
  <c r="Y129" i="11" s="1"/>
  <c r="Z129" i="11" s="1"/>
  <c r="AA129" i="11" s="1"/>
  <c r="AB129" i="11" s="1"/>
  <c r="AC129" i="11" s="1"/>
  <c r="AD129" i="11" s="1"/>
  <c r="AE129" i="11" s="1"/>
  <c r="AF129" i="11" s="1"/>
  <c r="AG129" i="11" s="1"/>
  <c r="AH129" i="11" s="1"/>
  <c r="AI129" i="11" s="1"/>
  <c r="AJ129" i="11" s="1"/>
  <c r="AK129" i="11" s="1"/>
  <c r="AL129" i="11" s="1"/>
  <c r="AM129" i="11" s="1"/>
  <c r="AN129" i="11" s="1"/>
  <c r="AO129" i="11" s="1"/>
  <c r="AP129" i="11" s="1"/>
  <c r="AQ129" i="11" s="1"/>
  <c r="AR129" i="11" s="1"/>
  <c r="AS129" i="11" s="1"/>
  <c r="T93" i="11"/>
  <c r="T110" i="11" s="1"/>
  <c r="I24" i="13"/>
  <c r="I28" i="13" s="1"/>
  <c r="T137" i="11" s="1"/>
  <c r="V14" i="13"/>
  <c r="V228" i="13" s="1"/>
  <c r="B59" i="11" l="1"/>
  <c r="P59" i="11"/>
  <c r="B54" i="11"/>
  <c r="P54" i="11"/>
  <c r="AI247" i="11"/>
  <c r="Y90" i="13"/>
  <c r="AJ246" i="11" s="1"/>
  <c r="Y87" i="13"/>
  <c r="AJ244" i="11" s="1"/>
  <c r="P262" i="11"/>
  <c r="AD259" i="11"/>
  <c r="S121" i="13"/>
  <c r="AC78" i="13"/>
  <c r="AB79" i="13"/>
  <c r="AB120" i="13" s="1"/>
  <c r="T181" i="11"/>
  <c r="I54" i="13"/>
  <c r="G65" i="13"/>
  <c r="G69" i="13" s="1"/>
  <c r="I55" i="13"/>
  <c r="H62" i="13"/>
  <c r="H61" i="13"/>
  <c r="I53" i="13"/>
  <c r="H59" i="13"/>
  <c r="H60" i="13"/>
  <c r="AG173" i="11"/>
  <c r="AG175" i="11" s="1"/>
  <c r="U179" i="11"/>
  <c r="J49" i="13"/>
  <c r="U185" i="11" s="1"/>
  <c r="Q109" i="11"/>
  <c r="F71" i="13"/>
  <c r="W105" i="11"/>
  <c r="W117" i="11" s="1"/>
  <c r="M248" i="13"/>
  <c r="X105" i="11" s="1"/>
  <c r="X117" i="11" s="1"/>
  <c r="U216" i="13"/>
  <c r="T55" i="11"/>
  <c r="T81" i="11" s="1"/>
  <c r="Q54" i="11"/>
  <c r="Q80" i="11" s="1"/>
  <c r="S54" i="11"/>
  <c r="S80" i="11" s="1"/>
  <c r="Q198" i="11"/>
  <c r="R54" i="11"/>
  <c r="R80" i="11" s="1"/>
  <c r="P85" i="11"/>
  <c r="AE56" i="11"/>
  <c r="AE82" i="11" s="1"/>
  <c r="J277" i="13"/>
  <c r="U58" i="11" s="1"/>
  <c r="U84" i="11" s="1"/>
  <c r="U102" i="11"/>
  <c r="U115" i="11" s="1"/>
  <c r="J149" i="13"/>
  <c r="U94" i="11"/>
  <c r="U112" i="11" s="1"/>
  <c r="V96" i="11"/>
  <c r="V114" i="11" s="1"/>
  <c r="K240" i="13"/>
  <c r="V57" i="11" s="1"/>
  <c r="V83" i="11" s="1"/>
  <c r="V199" i="11"/>
  <c r="V92" i="11"/>
  <c r="AJ207" i="11"/>
  <c r="AK207" i="11" s="1"/>
  <c r="AL207" i="11" s="1"/>
  <c r="AM207" i="11" s="1"/>
  <c r="AN207" i="11" s="1"/>
  <c r="AO207" i="11" s="1"/>
  <c r="AP207" i="11" s="1"/>
  <c r="AQ207" i="11" s="1"/>
  <c r="AR207" i="11" s="1"/>
  <c r="AS207" i="11" s="1"/>
  <c r="AI245" i="11"/>
  <c r="R195" i="11"/>
  <c r="S190" i="11"/>
  <c r="AE267" i="11"/>
  <c r="AE268" i="11" s="1"/>
  <c r="AE269" i="11" s="1"/>
  <c r="S191" i="11"/>
  <c r="AD269" i="11"/>
  <c r="V104" i="13"/>
  <c r="V102" i="13"/>
  <c r="V103" i="13"/>
  <c r="AJ205" i="11"/>
  <c r="Q138" i="11"/>
  <c r="Q139" i="11" s="1"/>
  <c r="S131" i="11"/>
  <c r="T131" i="11" s="1"/>
  <c r="S126" i="11"/>
  <c r="T126" i="11" s="1"/>
  <c r="R135" i="11"/>
  <c r="S133" i="11"/>
  <c r="T134" i="11" s="1"/>
  <c r="U134" i="11" s="1"/>
  <c r="V134" i="11" s="1"/>
  <c r="W134" i="11" s="1"/>
  <c r="X134" i="11" s="1"/>
  <c r="Y134" i="11" s="1"/>
  <c r="Z134" i="11" s="1"/>
  <c r="AA134" i="11" s="1"/>
  <c r="AB134" i="11" s="1"/>
  <c r="AC134" i="11" s="1"/>
  <c r="AD134" i="11" s="1"/>
  <c r="AE134" i="11" s="1"/>
  <c r="AF134" i="11" s="1"/>
  <c r="AG134" i="11" s="1"/>
  <c r="AH134" i="11" s="1"/>
  <c r="AI134" i="11" s="1"/>
  <c r="AJ134" i="11" s="1"/>
  <c r="AK134" i="11" s="1"/>
  <c r="AL134" i="11" s="1"/>
  <c r="AM134" i="11" s="1"/>
  <c r="AN134" i="11" s="1"/>
  <c r="AO134" i="11" s="1"/>
  <c r="AP134" i="11" s="1"/>
  <c r="AQ134" i="11" s="1"/>
  <c r="AR134" i="11" s="1"/>
  <c r="AS134" i="11" s="1"/>
  <c r="AG265" i="11"/>
  <c r="AB257" i="11"/>
  <c r="AB255" i="11"/>
  <c r="AA258" i="11"/>
  <c r="AB254" i="11"/>
  <c r="AC250" i="11"/>
  <c r="AC251" i="11"/>
  <c r="AC252" i="11"/>
  <c r="AB256" i="11"/>
  <c r="R262" i="11"/>
  <c r="AF266" i="11"/>
  <c r="P160" i="11"/>
  <c r="R274" i="11"/>
  <c r="T54" i="11"/>
  <c r="T260" i="11"/>
  <c r="T261" i="11" s="1"/>
  <c r="R196" i="11"/>
  <c r="R193" i="11"/>
  <c r="R194" i="11"/>
  <c r="Q197" i="11"/>
  <c r="Q163" i="11"/>
  <c r="Q276" i="11" s="1"/>
  <c r="Q162" i="11"/>
  <c r="Q275" i="11" s="1"/>
  <c r="P163" i="11"/>
  <c r="P276" i="11" s="1"/>
  <c r="P162" i="11"/>
  <c r="P275" i="11" s="1"/>
  <c r="R127" i="11"/>
  <c r="R132" i="11"/>
  <c r="V127" i="13"/>
  <c r="V147" i="13" s="1"/>
  <c r="V128" i="13"/>
  <c r="V214" i="13" s="1"/>
  <c r="AG113" i="11" s="1"/>
  <c r="K50" i="13"/>
  <c r="L140" i="13"/>
  <c r="K144" i="13"/>
  <c r="K148" i="13" s="1"/>
  <c r="U110" i="13"/>
  <c r="U109" i="13"/>
  <c r="U111" i="13"/>
  <c r="U108" i="13"/>
  <c r="T114" i="13"/>
  <c r="T119" i="13" s="1"/>
  <c r="V265" i="13"/>
  <c r="V266" i="13" s="1"/>
  <c r="X82" i="13"/>
  <c r="X45" i="13"/>
  <c r="Z88" i="13"/>
  <c r="AK214" i="11" s="1"/>
  <c r="Z92" i="13"/>
  <c r="Z93" i="13"/>
  <c r="AK226" i="11" s="1"/>
  <c r="Z97" i="13"/>
  <c r="AK238" i="11" s="1"/>
  <c r="Z94" i="13"/>
  <c r="AK229" i="11" s="1"/>
  <c r="Z95" i="13"/>
  <c r="AK232" i="11" s="1"/>
  <c r="Z86" i="13"/>
  <c r="AK211" i="11" s="1"/>
  <c r="Z91" i="13"/>
  <c r="AK220" i="11" s="1"/>
  <c r="Z89" i="13"/>
  <c r="Z85" i="13"/>
  <c r="AK208" i="11" s="1"/>
  <c r="Z96" i="13"/>
  <c r="AK235" i="11" s="1"/>
  <c r="Z84" i="13"/>
  <c r="W48" i="13"/>
  <c r="AH176" i="11" s="1"/>
  <c r="AH182" i="11"/>
  <c r="W47" i="13"/>
  <c r="AD233" i="13"/>
  <c r="V229" i="13"/>
  <c r="V235" i="13" s="1"/>
  <c r="V238" i="13" s="1"/>
  <c r="K261" i="13"/>
  <c r="K276" i="13" s="1"/>
  <c r="L246" i="13"/>
  <c r="M39" i="13"/>
  <c r="M70" i="13" s="1"/>
  <c r="M23" i="13"/>
  <c r="L222" i="13"/>
  <c r="L224" i="13" s="1"/>
  <c r="L239" i="13" s="1"/>
  <c r="U93" i="11"/>
  <c r="U110" i="11" s="1"/>
  <c r="J24" i="13"/>
  <c r="J28" i="13" s="1"/>
  <c r="U137" i="11" s="1"/>
  <c r="H31" i="13"/>
  <c r="I30" i="13"/>
  <c r="I27" i="13"/>
  <c r="T124" i="11" s="1"/>
  <c r="I29" i="13"/>
  <c r="T128" i="11" s="1"/>
  <c r="W14" i="13"/>
  <c r="W228" i="13" s="1"/>
  <c r="U181" i="11" l="1"/>
  <c r="AF267" i="11"/>
  <c r="AF268" i="11" s="1"/>
  <c r="AF269" i="11" s="1"/>
  <c r="Z87" i="13"/>
  <c r="AK244" i="11" s="1"/>
  <c r="Z90" i="13"/>
  <c r="AK246" i="11" s="1"/>
  <c r="AE259" i="11"/>
  <c r="T121" i="13"/>
  <c r="AD78" i="13"/>
  <c r="AC79" i="13"/>
  <c r="AC120" i="13" s="1"/>
  <c r="T186" i="11"/>
  <c r="T190" i="11" s="1"/>
  <c r="N248" i="13"/>
  <c r="N349" i="13" s="1"/>
  <c r="Y60" i="11" s="1"/>
  <c r="Y86" i="11" s="1"/>
  <c r="M349" i="13"/>
  <c r="X60" i="11" s="1"/>
  <c r="X86" i="11" s="1"/>
  <c r="I60" i="13"/>
  <c r="I62" i="13"/>
  <c r="I61" i="13"/>
  <c r="I59" i="13"/>
  <c r="J54" i="13"/>
  <c r="H65" i="13"/>
  <c r="H69" i="13" s="1"/>
  <c r="J53" i="13"/>
  <c r="J55" i="13"/>
  <c r="R109" i="11"/>
  <c r="G71" i="13"/>
  <c r="R53" i="11" s="1"/>
  <c r="V179" i="11"/>
  <c r="K49" i="13"/>
  <c r="V185" i="11" s="1"/>
  <c r="AH173" i="11"/>
  <c r="AH175" i="11" s="1"/>
  <c r="Q200" i="11"/>
  <c r="Q273" i="11" s="1"/>
  <c r="R198" i="11"/>
  <c r="V216" i="13"/>
  <c r="U55" i="11"/>
  <c r="U81" i="11" s="1"/>
  <c r="AF56" i="11"/>
  <c r="AF82" i="11" s="1"/>
  <c r="Q53" i="11"/>
  <c r="Q79" i="11" s="1"/>
  <c r="K277" i="13"/>
  <c r="V58" i="11" s="1"/>
  <c r="V84" i="11" s="1"/>
  <c r="V102" i="11"/>
  <c r="V115" i="11" s="1"/>
  <c r="K149" i="13"/>
  <c r="V94" i="11"/>
  <c r="V112" i="11" s="1"/>
  <c r="W96" i="11"/>
  <c r="W114" i="11" s="1"/>
  <c r="L240" i="13"/>
  <c r="W57" i="11" s="1"/>
  <c r="W83" i="11" s="1"/>
  <c r="W199" i="11"/>
  <c r="W92" i="11"/>
  <c r="AJ245" i="11"/>
  <c r="AJ247" i="11"/>
  <c r="P80" i="11"/>
  <c r="T80" i="11"/>
  <c r="AA262" i="11"/>
  <c r="W104" i="13"/>
  <c r="W102" i="13"/>
  <c r="W103" i="13"/>
  <c r="AK205" i="11"/>
  <c r="Q161" i="11"/>
  <c r="S135" i="11"/>
  <c r="T135" i="11" s="1"/>
  <c r="R138" i="11"/>
  <c r="R139" i="11" s="1"/>
  <c r="R161" i="11" s="1"/>
  <c r="R136" i="11"/>
  <c r="R164" i="11" s="1"/>
  <c r="R277" i="11" s="1"/>
  <c r="T133" i="11"/>
  <c r="AH265" i="11"/>
  <c r="AB258" i="11"/>
  <c r="AC257" i="11"/>
  <c r="AC254" i="11"/>
  <c r="AC255" i="11"/>
  <c r="AD250" i="11"/>
  <c r="AD251" i="11"/>
  <c r="AD252" i="11"/>
  <c r="AC256" i="11"/>
  <c r="AG266" i="11"/>
  <c r="U260" i="11"/>
  <c r="U261" i="11" s="1"/>
  <c r="P61" i="11"/>
  <c r="P87" i="11" s="1"/>
  <c r="R197" i="11"/>
  <c r="S194" i="11"/>
  <c r="S195" i="11"/>
  <c r="S196" i="11"/>
  <c r="S193" i="11"/>
  <c r="U186" i="11"/>
  <c r="R163" i="11"/>
  <c r="R276" i="11" s="1"/>
  <c r="R162" i="11"/>
  <c r="R275" i="11" s="1"/>
  <c r="S127" i="11"/>
  <c r="S132" i="11"/>
  <c r="W127" i="13"/>
  <c r="W147" i="13" s="1"/>
  <c r="W128" i="13"/>
  <c r="W214" i="13" s="1"/>
  <c r="AH113" i="11" s="1"/>
  <c r="L50" i="13"/>
  <c r="M140" i="13"/>
  <c r="L144" i="13"/>
  <c r="L148" i="13" s="1"/>
  <c r="U114" i="13"/>
  <c r="U119" i="13" s="1"/>
  <c r="V109" i="13"/>
  <c r="V110" i="13"/>
  <c r="V111" i="13"/>
  <c r="V108" i="13"/>
  <c r="W265" i="13"/>
  <c r="W266" i="13" s="1"/>
  <c r="Y45" i="13"/>
  <c r="Y82" i="13"/>
  <c r="AA85" i="13"/>
  <c r="AL208" i="11" s="1"/>
  <c r="AA91" i="13"/>
  <c r="AL220" i="11" s="1"/>
  <c r="AA95" i="13"/>
  <c r="AL232" i="11" s="1"/>
  <c r="AA97" i="13"/>
  <c r="AL238" i="11" s="1"/>
  <c r="AA93" i="13"/>
  <c r="AL226" i="11" s="1"/>
  <c r="AA88" i="13"/>
  <c r="AL214" i="11" s="1"/>
  <c r="AA84" i="13"/>
  <c r="AA96" i="13"/>
  <c r="AL235" i="11" s="1"/>
  <c r="AA89" i="13"/>
  <c r="AA86" i="13"/>
  <c r="AL211" i="11" s="1"/>
  <c r="AA94" i="13"/>
  <c r="AL229" i="11" s="1"/>
  <c r="AA92" i="13"/>
  <c r="X48" i="13"/>
  <c r="AI176" i="11" s="1"/>
  <c r="AI182" i="11"/>
  <c r="X47" i="13"/>
  <c r="AE233" i="13"/>
  <c r="W229" i="13"/>
  <c r="W235" i="13" s="1"/>
  <c r="W238" i="13" s="1"/>
  <c r="L261" i="13"/>
  <c r="L276" i="13" s="1"/>
  <c r="M246" i="13"/>
  <c r="N39" i="13"/>
  <c r="N70" i="13" s="1"/>
  <c r="N23" i="13"/>
  <c r="M222" i="13"/>
  <c r="M224" i="13" s="1"/>
  <c r="M239" i="13" s="1"/>
  <c r="I31" i="13"/>
  <c r="V93" i="11"/>
  <c r="V110" i="11" s="1"/>
  <c r="K24" i="13"/>
  <c r="J30" i="13"/>
  <c r="J27" i="13"/>
  <c r="U124" i="11" s="1"/>
  <c r="U126" i="11" s="1"/>
  <c r="J29" i="13"/>
  <c r="U128" i="11" s="1"/>
  <c r="U131" i="11" s="1"/>
  <c r="X14" i="13"/>
  <c r="X228" i="13" s="1"/>
  <c r="V181" i="11" l="1"/>
  <c r="AG267" i="11"/>
  <c r="AG268" i="11" s="1"/>
  <c r="AK245" i="11"/>
  <c r="AK247" i="11"/>
  <c r="T189" i="11"/>
  <c r="AA90" i="13"/>
  <c r="AL246" i="11" s="1"/>
  <c r="AA87" i="13"/>
  <c r="AL244" i="11" s="1"/>
  <c r="AF259" i="11"/>
  <c r="U121" i="13"/>
  <c r="T191" i="11"/>
  <c r="T194" i="11" s="1"/>
  <c r="O248" i="13"/>
  <c r="Z105" i="11" s="1"/>
  <c r="Z117" i="11" s="1"/>
  <c r="AE78" i="13"/>
  <c r="AD79" i="13"/>
  <c r="AD120" i="13" s="1"/>
  <c r="R200" i="11"/>
  <c r="R273" i="11" s="1"/>
  <c r="Y105" i="11"/>
  <c r="Y117" i="11" s="1"/>
  <c r="I65" i="13"/>
  <c r="I69" i="13" s="1"/>
  <c r="J61" i="13"/>
  <c r="J60" i="13"/>
  <c r="J59" i="13"/>
  <c r="J62" i="13"/>
  <c r="AI173" i="11"/>
  <c r="AI175" i="11" s="1"/>
  <c r="W179" i="11"/>
  <c r="W181" i="11" s="1"/>
  <c r="L49" i="13"/>
  <c r="W185" i="11" s="1"/>
  <c r="K55" i="13"/>
  <c r="K54" i="13"/>
  <c r="K53" i="13"/>
  <c r="S109" i="11"/>
  <c r="H71" i="13"/>
  <c r="Q201" i="11"/>
  <c r="Q61" i="11"/>
  <c r="Q87" i="11" s="1"/>
  <c r="U54" i="11"/>
  <c r="U80" i="11" s="1"/>
  <c r="V55" i="11"/>
  <c r="V81" i="11" s="1"/>
  <c r="AG56" i="11"/>
  <c r="AG82" i="11" s="1"/>
  <c r="W216" i="13"/>
  <c r="S198" i="11"/>
  <c r="L277" i="13"/>
  <c r="W58" i="11" s="1"/>
  <c r="W84" i="11" s="1"/>
  <c r="W102" i="11"/>
  <c r="W115" i="11" s="1"/>
  <c r="X96" i="11"/>
  <c r="X114" i="11" s="1"/>
  <c r="M240" i="13"/>
  <c r="X57" i="11" s="1"/>
  <c r="X83" i="11" s="1"/>
  <c r="L149" i="13"/>
  <c r="W94" i="11"/>
  <c r="W112" i="11" s="1"/>
  <c r="X199" i="11"/>
  <c r="X92" i="11"/>
  <c r="P106" i="11"/>
  <c r="P161" i="11"/>
  <c r="S136" i="11"/>
  <c r="S164" i="11" s="1"/>
  <c r="S277" i="11" s="1"/>
  <c r="U191" i="11"/>
  <c r="U189" i="11"/>
  <c r="U190" i="11"/>
  <c r="S138" i="11"/>
  <c r="S139" i="11" s="1"/>
  <c r="S161" i="11" s="1"/>
  <c r="AB262" i="11"/>
  <c r="X102" i="13"/>
  <c r="X103" i="13"/>
  <c r="X104" i="13"/>
  <c r="AL205" i="11"/>
  <c r="U133" i="11"/>
  <c r="AI265" i="11"/>
  <c r="AC258" i="11"/>
  <c r="T136" i="11"/>
  <c r="T164" i="11" s="1"/>
  <c r="T277" i="11" s="1"/>
  <c r="AD254" i="11"/>
  <c r="AD256" i="11"/>
  <c r="AD257" i="11"/>
  <c r="AD255" i="11"/>
  <c r="AE251" i="11"/>
  <c r="AE252" i="11"/>
  <c r="AE250" i="11"/>
  <c r="AH266" i="11"/>
  <c r="P281" i="11"/>
  <c r="S274" i="11"/>
  <c r="V260" i="11"/>
  <c r="V261" i="11" s="1"/>
  <c r="S197" i="11"/>
  <c r="Q106" i="11"/>
  <c r="R79" i="11"/>
  <c r="V186" i="11"/>
  <c r="S163" i="11"/>
  <c r="S276" i="11" s="1"/>
  <c r="S162" i="11"/>
  <c r="S275" i="11" s="1"/>
  <c r="T132" i="11"/>
  <c r="T127" i="11"/>
  <c r="T138" i="11"/>
  <c r="T139" i="11" s="1"/>
  <c r="T161" i="11" s="1"/>
  <c r="X128" i="13"/>
  <c r="X214" i="13" s="1"/>
  <c r="AI113" i="11" s="1"/>
  <c r="X127" i="13"/>
  <c r="X147" i="13" s="1"/>
  <c r="M50" i="13"/>
  <c r="N140" i="13"/>
  <c r="M144" i="13"/>
  <c r="M148" i="13" s="1"/>
  <c r="V114" i="13"/>
  <c r="V119" i="13" s="1"/>
  <c r="W108" i="13"/>
  <c r="W109" i="13"/>
  <c r="W111" i="13"/>
  <c r="W110" i="13"/>
  <c r="X265" i="13"/>
  <c r="X266" i="13" s="1"/>
  <c r="Z82" i="13"/>
  <c r="Z45" i="13"/>
  <c r="AB92" i="13"/>
  <c r="AB94" i="13"/>
  <c r="AM229" i="11" s="1"/>
  <c r="AB89" i="13"/>
  <c r="AB84" i="13"/>
  <c r="AB93" i="13"/>
  <c r="AM226" i="11" s="1"/>
  <c r="AB95" i="13"/>
  <c r="AM232" i="11" s="1"/>
  <c r="AB85" i="13"/>
  <c r="AM208" i="11" s="1"/>
  <c r="AB86" i="13"/>
  <c r="AM211" i="11" s="1"/>
  <c r="AB96" i="13"/>
  <c r="AM235" i="11" s="1"/>
  <c r="AB88" i="13"/>
  <c r="AM214" i="11" s="1"/>
  <c r="AB97" i="13"/>
  <c r="AM238" i="11" s="1"/>
  <c r="AB91" i="13"/>
  <c r="AM220" i="11" s="1"/>
  <c r="AJ182" i="11"/>
  <c r="Y47" i="13"/>
  <c r="Y48" i="13"/>
  <c r="AJ176" i="11" s="1"/>
  <c r="AF233" i="13"/>
  <c r="X229" i="13"/>
  <c r="X235" i="13" s="1"/>
  <c r="X238" i="13" s="1"/>
  <c r="M261" i="13"/>
  <c r="M276" i="13" s="1"/>
  <c r="N246" i="13"/>
  <c r="O39" i="13"/>
  <c r="O70" i="13" s="1"/>
  <c r="O23" i="13"/>
  <c r="N222" i="13"/>
  <c r="N224" i="13" s="1"/>
  <c r="N239" i="13" s="1"/>
  <c r="K30" i="13"/>
  <c r="K29" i="13"/>
  <c r="V128" i="11" s="1"/>
  <c r="V131" i="11" s="1"/>
  <c r="K27" i="13"/>
  <c r="V124" i="11" s="1"/>
  <c r="V126" i="11" s="1"/>
  <c r="J31" i="13"/>
  <c r="W93" i="11"/>
  <c r="W110" i="11" s="1"/>
  <c r="L24" i="13"/>
  <c r="L28" i="13" s="1"/>
  <c r="W137" i="11" s="1"/>
  <c r="K28" i="13"/>
  <c r="V137" i="11" s="1"/>
  <c r="Y14" i="13"/>
  <c r="Y228" i="13" s="1"/>
  <c r="U135" i="11" l="1"/>
  <c r="AH267" i="11"/>
  <c r="AH268" i="11" s="1"/>
  <c r="AH269" i="11" s="1"/>
  <c r="O349" i="13"/>
  <c r="Z60" i="11" s="1"/>
  <c r="Z86" i="11" s="1"/>
  <c r="AL247" i="11"/>
  <c r="T196" i="11"/>
  <c r="T195" i="11"/>
  <c r="P248" i="13"/>
  <c r="P349" i="13" s="1"/>
  <c r="AA60" i="11" s="1"/>
  <c r="AA86" i="11" s="1"/>
  <c r="T193" i="11"/>
  <c r="AL245" i="11"/>
  <c r="AB87" i="13"/>
  <c r="AB90" i="13"/>
  <c r="AM246" i="11" s="1"/>
  <c r="AG259" i="11"/>
  <c r="V121" i="13"/>
  <c r="R201" i="11"/>
  <c r="AF78" i="13"/>
  <c r="AE79" i="13"/>
  <c r="AE120" i="13" s="1"/>
  <c r="J65" i="13"/>
  <c r="J69" i="13" s="1"/>
  <c r="L53" i="13"/>
  <c r="L54" i="13"/>
  <c r="K62" i="13"/>
  <c r="K61" i="13"/>
  <c r="K60" i="13"/>
  <c r="K59" i="13"/>
  <c r="X179" i="11"/>
  <c r="Y180" i="11" s="1"/>
  <c r="Z180" i="11" s="1"/>
  <c r="AA180" i="11" s="1"/>
  <c r="AB180" i="11" s="1"/>
  <c r="AC180" i="11" s="1"/>
  <c r="AD180" i="11" s="1"/>
  <c r="AE180" i="11" s="1"/>
  <c r="AF180" i="11" s="1"/>
  <c r="AG180" i="11" s="1"/>
  <c r="AH180" i="11" s="1"/>
  <c r="AI180" i="11" s="1"/>
  <c r="AJ180" i="11" s="1"/>
  <c r="AK180" i="11" s="1"/>
  <c r="AL180" i="11" s="1"/>
  <c r="AM180" i="11" s="1"/>
  <c r="AN180" i="11" s="1"/>
  <c r="AO180" i="11" s="1"/>
  <c r="AP180" i="11" s="1"/>
  <c r="AQ180" i="11" s="1"/>
  <c r="AR180" i="11" s="1"/>
  <c r="AS180" i="11" s="1"/>
  <c r="M49" i="13"/>
  <c r="X185" i="11" s="1"/>
  <c r="L55" i="13"/>
  <c r="AJ173" i="11"/>
  <c r="AJ175" i="11" s="1"/>
  <c r="T109" i="11"/>
  <c r="I71" i="13"/>
  <c r="T53" i="11" s="1"/>
  <c r="S200" i="11"/>
  <c r="S273" i="11" s="1"/>
  <c r="Q281" i="11"/>
  <c r="V54" i="11"/>
  <c r="V80" i="11" s="1"/>
  <c r="W55" i="11"/>
  <c r="W81" i="11" s="1"/>
  <c r="AH56" i="11"/>
  <c r="AH82" i="11" s="1"/>
  <c r="S53" i="11"/>
  <c r="S79" i="11" s="1"/>
  <c r="X216" i="13"/>
  <c r="T198" i="11"/>
  <c r="M277" i="13"/>
  <c r="X58" i="11" s="1"/>
  <c r="X84" i="11" s="1"/>
  <c r="X102" i="11"/>
  <c r="X115" i="11" s="1"/>
  <c r="Y96" i="11"/>
  <c r="Y114" i="11" s="1"/>
  <c r="N240" i="13"/>
  <c r="Y57" i="11" s="1"/>
  <c r="Y83" i="11" s="1"/>
  <c r="M149" i="13"/>
  <c r="X94" i="11"/>
  <c r="X112" i="11" s="1"/>
  <c r="Y199" i="11"/>
  <c r="Y92" i="11"/>
  <c r="P118" i="11"/>
  <c r="P119" i="11" s="1"/>
  <c r="AD258" i="11"/>
  <c r="V189" i="11"/>
  <c r="V191" i="11"/>
  <c r="V190" i="11"/>
  <c r="AG269" i="11"/>
  <c r="AC262" i="11"/>
  <c r="AM205" i="11"/>
  <c r="Y104" i="13"/>
  <c r="Y102" i="13"/>
  <c r="Y103" i="13"/>
  <c r="V133" i="11"/>
  <c r="AJ265" i="11"/>
  <c r="U196" i="11"/>
  <c r="AE256" i="11"/>
  <c r="AE257" i="11"/>
  <c r="AE254" i="11"/>
  <c r="AE255" i="11"/>
  <c r="AF252" i="11"/>
  <c r="AF250" i="11"/>
  <c r="AF251" i="11"/>
  <c r="AI266" i="11"/>
  <c r="T274" i="11"/>
  <c r="W260" i="11"/>
  <c r="W261" i="11" s="1"/>
  <c r="U194" i="11"/>
  <c r="U195" i="11"/>
  <c r="U193" i="11"/>
  <c r="Q160" i="11"/>
  <c r="Q118" i="11"/>
  <c r="Q119" i="11" s="1"/>
  <c r="R61" i="11"/>
  <c r="R87" i="11" s="1"/>
  <c r="W186" i="11"/>
  <c r="T163" i="11"/>
  <c r="T276" i="11" s="1"/>
  <c r="T162" i="11"/>
  <c r="T275" i="11" s="1"/>
  <c r="U132" i="11"/>
  <c r="U127" i="11"/>
  <c r="Y128" i="13"/>
  <c r="Y214" i="13" s="1"/>
  <c r="AJ113" i="11" s="1"/>
  <c r="Y127" i="13"/>
  <c r="Y147" i="13" s="1"/>
  <c r="N50" i="13"/>
  <c r="O140" i="13"/>
  <c r="N144" i="13"/>
  <c r="N148" i="13" s="1"/>
  <c r="X111" i="13"/>
  <c r="X108" i="13"/>
  <c r="X109" i="13"/>
  <c r="X110" i="13"/>
  <c r="W114" i="13"/>
  <c r="W119" i="13" s="1"/>
  <c r="Y265" i="13"/>
  <c r="Y266" i="13" s="1"/>
  <c r="AA45" i="13"/>
  <c r="AA82" i="13"/>
  <c r="AC91" i="13"/>
  <c r="AC88" i="13"/>
  <c r="AC86" i="13"/>
  <c r="AC95" i="13"/>
  <c r="AC84" i="13"/>
  <c r="B133" i="11" s="1"/>
  <c r="AC94" i="13"/>
  <c r="AC97" i="13"/>
  <c r="AC96" i="13"/>
  <c r="AC85" i="13"/>
  <c r="AC93" i="13"/>
  <c r="AC89" i="13"/>
  <c r="AC92" i="13"/>
  <c r="Z47" i="13"/>
  <c r="Z48" i="13"/>
  <c r="AK176" i="11" s="1"/>
  <c r="AK182" i="11"/>
  <c r="AG233" i="13"/>
  <c r="Y229" i="13"/>
  <c r="Y235" i="13" s="1"/>
  <c r="Y238" i="13" s="1"/>
  <c r="N261" i="13"/>
  <c r="N276" i="13" s="1"/>
  <c r="O246" i="13"/>
  <c r="P39" i="13"/>
  <c r="P70" i="13" s="1"/>
  <c r="P23" i="13"/>
  <c r="O222" i="13"/>
  <c r="O224" i="13" s="1"/>
  <c r="O239" i="13" s="1"/>
  <c r="X93" i="11"/>
  <c r="X110" i="11" s="1"/>
  <c r="M24" i="13"/>
  <c r="M28" i="13" s="1"/>
  <c r="X137" i="11" s="1"/>
  <c r="K31" i="13"/>
  <c r="L30" i="13"/>
  <c r="L29" i="13"/>
  <c r="W128" i="11" s="1"/>
  <c r="W131" i="11" s="1"/>
  <c r="L27" i="13"/>
  <c r="W124" i="11" s="1"/>
  <c r="W126" i="11" s="1"/>
  <c r="Z14" i="13"/>
  <c r="Z228" i="13" s="1"/>
  <c r="AI267" i="11" l="1"/>
  <c r="V135" i="11"/>
  <c r="V136" i="11" s="1"/>
  <c r="V164" i="11" s="1"/>
  <c r="V277" i="11" s="1"/>
  <c r="U138" i="11"/>
  <c r="U139" i="11" s="1"/>
  <c r="U161" i="11" s="1"/>
  <c r="U136" i="11"/>
  <c r="U164" i="11" s="1"/>
  <c r="U277" i="11" s="1"/>
  <c r="X181" i="11"/>
  <c r="T197" i="11"/>
  <c r="T200" i="11" s="1"/>
  <c r="T273" i="11" s="1"/>
  <c r="Q248" i="13"/>
  <c r="AB105" i="11" s="1"/>
  <c r="AB117" i="11" s="1"/>
  <c r="AM247" i="11"/>
  <c r="AA105" i="11"/>
  <c r="AA117" i="11" s="1"/>
  <c r="AM245" i="11"/>
  <c r="AM244" i="11"/>
  <c r="AC90" i="13"/>
  <c r="AN246" i="11" s="1"/>
  <c r="AC87" i="13"/>
  <c r="AH259" i="11"/>
  <c r="W121" i="13"/>
  <c r="AG78" i="13"/>
  <c r="AF79" i="13"/>
  <c r="AF120" i="13" s="1"/>
  <c r="L59" i="13"/>
  <c r="K65" i="13"/>
  <c r="K69" i="13" s="1"/>
  <c r="L60" i="13"/>
  <c r="L62" i="13"/>
  <c r="L61" i="13"/>
  <c r="M54" i="13"/>
  <c r="M53" i="13"/>
  <c r="M55" i="13"/>
  <c r="AK173" i="11"/>
  <c r="AK175" i="11" s="1"/>
  <c r="U109" i="11"/>
  <c r="J71" i="13"/>
  <c r="U53" i="11" s="1"/>
  <c r="S201" i="11"/>
  <c r="Y179" i="11"/>
  <c r="N49" i="13"/>
  <c r="Y185" i="11" s="1"/>
  <c r="S61" i="11"/>
  <c r="S87" i="11" s="1"/>
  <c r="W54" i="11"/>
  <c r="W80" i="11" s="1"/>
  <c r="AI56" i="11"/>
  <c r="AI82" i="11" s="1"/>
  <c r="Y216" i="13"/>
  <c r="U198" i="11"/>
  <c r="X55" i="11"/>
  <c r="X81" i="11" s="1"/>
  <c r="N277" i="13"/>
  <c r="Y58" i="11" s="1"/>
  <c r="Y84" i="11" s="1"/>
  <c r="Y102" i="11"/>
  <c r="Y115" i="11" s="1"/>
  <c r="N149" i="13"/>
  <c r="Y94" i="11"/>
  <c r="Y112" i="11" s="1"/>
  <c r="Z96" i="11"/>
  <c r="Z114" i="11" s="1"/>
  <c r="O240" i="13"/>
  <c r="Z57" i="11" s="1"/>
  <c r="Z83" i="11" s="1"/>
  <c r="Z199" i="11"/>
  <c r="Z92" i="11"/>
  <c r="V195" i="11"/>
  <c r="AN211" i="11"/>
  <c r="B135" i="11"/>
  <c r="AN226" i="11"/>
  <c r="B140" i="11"/>
  <c r="AN208" i="11"/>
  <c r="B134" i="11"/>
  <c r="AN229" i="11"/>
  <c r="B141" i="11"/>
  <c r="AN214" i="11"/>
  <c r="B136" i="11"/>
  <c r="AN235" i="11"/>
  <c r="B143" i="11"/>
  <c r="AN220" i="11"/>
  <c r="B138" i="11"/>
  <c r="AN238" i="11"/>
  <c r="B144" i="11"/>
  <c r="AN232" i="11"/>
  <c r="B142" i="11"/>
  <c r="W191" i="11"/>
  <c r="W190" i="11"/>
  <c r="W189" i="11"/>
  <c r="AD262" i="11"/>
  <c r="Z104" i="13"/>
  <c r="Z102" i="13"/>
  <c r="Z103" i="13"/>
  <c r="AN205" i="11"/>
  <c r="AI268" i="11"/>
  <c r="W133" i="11"/>
  <c r="AK265" i="11"/>
  <c r="AE258" i="11"/>
  <c r="AF257" i="11"/>
  <c r="AF254" i="11"/>
  <c r="AF255" i="11"/>
  <c r="AF256" i="11"/>
  <c r="AG252" i="11"/>
  <c r="AG251" i="11"/>
  <c r="AG250" i="11"/>
  <c r="AJ266" i="11"/>
  <c r="AK266" i="11" s="1"/>
  <c r="AL266" i="11" s="1"/>
  <c r="AM266" i="11" s="1"/>
  <c r="AN266" i="11" s="1"/>
  <c r="AO266" i="11" s="1"/>
  <c r="AP266" i="11" s="1"/>
  <c r="AQ266" i="11" s="1"/>
  <c r="AR266" i="11" s="1"/>
  <c r="AS266" i="11" s="1"/>
  <c r="R281" i="11"/>
  <c r="U274" i="11"/>
  <c r="X260" i="11"/>
  <c r="X261" i="11" s="1"/>
  <c r="U197" i="11"/>
  <c r="V193" i="11"/>
  <c r="V196" i="11"/>
  <c r="V194" i="11"/>
  <c r="T79" i="11"/>
  <c r="S106" i="11"/>
  <c r="R106" i="11"/>
  <c r="U163" i="11"/>
  <c r="U276" i="11" s="1"/>
  <c r="U162" i="11"/>
  <c r="U275" i="11" s="1"/>
  <c r="V127" i="11"/>
  <c r="V132" i="11"/>
  <c r="Z127" i="13"/>
  <c r="Z147" i="13" s="1"/>
  <c r="Z128" i="13"/>
  <c r="Z214" i="13" s="1"/>
  <c r="AK113" i="11" s="1"/>
  <c r="O50" i="13"/>
  <c r="P140" i="13"/>
  <c r="O144" i="13"/>
  <c r="O148" i="13" s="1"/>
  <c r="Y110" i="13"/>
  <c r="Y111" i="13"/>
  <c r="Y108" i="13"/>
  <c r="Y109" i="13"/>
  <c r="X114" i="13"/>
  <c r="X119" i="13" s="1"/>
  <c r="Z265" i="13"/>
  <c r="Z266" i="13" s="1"/>
  <c r="AB82" i="13"/>
  <c r="AB45" i="13"/>
  <c r="AD89" i="13"/>
  <c r="AD85" i="13"/>
  <c r="AO208" i="11" s="1"/>
  <c r="AD96" i="13"/>
  <c r="AO235" i="11" s="1"/>
  <c r="AD84" i="13"/>
  <c r="AD88" i="13"/>
  <c r="AO214" i="11" s="1"/>
  <c r="AD92" i="13"/>
  <c r="AD93" i="13"/>
  <c r="AO226" i="11" s="1"/>
  <c r="AD97" i="13"/>
  <c r="AO238" i="11" s="1"/>
  <c r="AD94" i="13"/>
  <c r="AO229" i="11" s="1"/>
  <c r="AD95" i="13"/>
  <c r="AO232" i="11" s="1"/>
  <c r="AD86" i="13"/>
  <c r="AO211" i="11" s="1"/>
  <c r="AD91" i="13"/>
  <c r="AO220" i="11" s="1"/>
  <c r="AA48" i="13"/>
  <c r="AL176" i="11" s="1"/>
  <c r="AL182" i="11"/>
  <c r="AA47" i="13"/>
  <c r="AH233" i="13"/>
  <c r="Z229" i="13"/>
  <c r="Z235" i="13" s="1"/>
  <c r="Z238" i="13" s="1"/>
  <c r="O261" i="13"/>
  <c r="O276" i="13" s="1"/>
  <c r="P246" i="13"/>
  <c r="L31" i="13"/>
  <c r="Q39" i="13"/>
  <c r="Q70" i="13" s="1"/>
  <c r="P222" i="13"/>
  <c r="P224" i="13" s="1"/>
  <c r="P239" i="13" s="1"/>
  <c r="Q23" i="13"/>
  <c r="M30" i="13"/>
  <c r="M27" i="13"/>
  <c r="X124" i="11" s="1"/>
  <c r="X126" i="11" s="1"/>
  <c r="M29" i="13"/>
  <c r="X128" i="11" s="1"/>
  <c r="X131" i="11" s="1"/>
  <c r="Y93" i="11"/>
  <c r="Y110" i="11" s="1"/>
  <c r="N24" i="13"/>
  <c r="N28" i="13" s="1"/>
  <c r="AA14" i="13"/>
  <c r="AA228" i="13" s="1"/>
  <c r="V138" i="11" l="1"/>
  <c r="V139" i="11" s="1"/>
  <c r="V161" i="11" s="1"/>
  <c r="R248" i="13"/>
  <c r="Y181" i="11"/>
  <c r="Y186" i="11" s="1"/>
  <c r="Y190" i="11" s="1"/>
  <c r="X186" i="11"/>
  <c r="X189" i="11" s="1"/>
  <c r="W135" i="11"/>
  <c r="W136" i="11" s="1"/>
  <c r="W164" i="11" s="1"/>
  <c r="W277" i="11" s="1"/>
  <c r="Q349" i="13"/>
  <c r="AB60" i="11" s="1"/>
  <c r="AB86" i="11" s="1"/>
  <c r="AN245" i="11"/>
  <c r="AN244" i="11"/>
  <c r="AN247" i="11"/>
  <c r="AD87" i="13"/>
  <c r="B146" i="11"/>
  <c r="AD90" i="13"/>
  <c r="AO246" i="11" s="1"/>
  <c r="B147" i="11"/>
  <c r="AI259" i="11"/>
  <c r="X121" i="13"/>
  <c r="AH78" i="13"/>
  <c r="AH79" i="13" s="1"/>
  <c r="AH120" i="13" s="1"/>
  <c r="AG79" i="13"/>
  <c r="AG120" i="13" s="1"/>
  <c r="N53" i="13"/>
  <c r="M60" i="13"/>
  <c r="N55" i="13"/>
  <c r="M59" i="13"/>
  <c r="N54" i="13"/>
  <c r="L65" i="13"/>
  <c r="L69" i="13" s="1"/>
  <c r="M61" i="13"/>
  <c r="M62" i="13"/>
  <c r="Z179" i="11"/>
  <c r="O49" i="13"/>
  <c r="Z185" i="11" s="1"/>
  <c r="V109" i="11"/>
  <c r="K71" i="13"/>
  <c r="AL173" i="11"/>
  <c r="AL175" i="11" s="1"/>
  <c r="T201" i="11"/>
  <c r="S281" i="11"/>
  <c r="V198" i="11"/>
  <c r="X54" i="11"/>
  <c r="X80" i="11" s="1"/>
  <c r="Y55" i="11"/>
  <c r="Y81" i="11" s="1"/>
  <c r="Z216" i="13"/>
  <c r="AJ56" i="11"/>
  <c r="AJ82" i="11" s="1"/>
  <c r="U200" i="11"/>
  <c r="U273" i="11" s="1"/>
  <c r="O277" i="13"/>
  <c r="Z58" i="11" s="1"/>
  <c r="Z84" i="11" s="1"/>
  <c r="Z102" i="11"/>
  <c r="Z115" i="11" s="1"/>
  <c r="R349" i="13"/>
  <c r="AC60" i="11" s="1"/>
  <c r="AC86" i="11" s="1"/>
  <c r="AC105" i="11"/>
  <c r="AC117" i="11" s="1"/>
  <c r="AA96" i="11"/>
  <c r="AA114" i="11" s="1"/>
  <c r="P240" i="13"/>
  <c r="AA57" i="11" s="1"/>
  <c r="AA83" i="11" s="1"/>
  <c r="O149" i="13"/>
  <c r="Z94" i="11"/>
  <c r="Z112" i="11" s="1"/>
  <c r="Z181" i="11"/>
  <c r="AA199" i="11"/>
  <c r="AA92" i="11"/>
  <c r="AJ267" i="11"/>
  <c r="AJ268" i="11" s="1"/>
  <c r="AJ269" i="11" s="1"/>
  <c r="W194" i="11"/>
  <c r="X191" i="11"/>
  <c r="AI269" i="11"/>
  <c r="AE262" i="11"/>
  <c r="AO205" i="11"/>
  <c r="AA104" i="13"/>
  <c r="AA102" i="13"/>
  <c r="AA103" i="13"/>
  <c r="Y137" i="11"/>
  <c r="X133" i="11"/>
  <c r="AL265" i="11"/>
  <c r="AF258" i="11"/>
  <c r="AG254" i="11"/>
  <c r="AG256" i="11"/>
  <c r="AG257" i="11"/>
  <c r="AG255" i="11"/>
  <c r="AH251" i="11"/>
  <c r="AH252" i="11"/>
  <c r="AH250" i="11"/>
  <c r="V274" i="11"/>
  <c r="Y260" i="11"/>
  <c r="Y261" i="11" s="1"/>
  <c r="V197" i="11"/>
  <c r="W193" i="11"/>
  <c r="W196" i="11"/>
  <c r="S160" i="11"/>
  <c r="S118" i="11"/>
  <c r="S119" i="11" s="1"/>
  <c r="W195" i="11"/>
  <c r="R160" i="11"/>
  <c r="R118" i="11"/>
  <c r="R119" i="11" s="1"/>
  <c r="U79" i="11"/>
  <c r="T61" i="11"/>
  <c r="T87" i="11" s="1"/>
  <c r="V163" i="11"/>
  <c r="V276" i="11" s="1"/>
  <c r="V162" i="11"/>
  <c r="V275" i="11" s="1"/>
  <c r="W132" i="11"/>
  <c r="W127" i="11"/>
  <c r="AA127" i="13"/>
  <c r="AA147" i="13" s="1"/>
  <c r="AA128" i="13"/>
  <c r="AA214" i="13" s="1"/>
  <c r="AL113" i="11" s="1"/>
  <c r="P50" i="13"/>
  <c r="Q140" i="13"/>
  <c r="P144" i="13"/>
  <c r="P148" i="13" s="1"/>
  <c r="Y114" i="13"/>
  <c r="Y119" i="13" s="1"/>
  <c r="Z109" i="13"/>
  <c r="Z110" i="13"/>
  <c r="Z108" i="13"/>
  <c r="Z111" i="13"/>
  <c r="AA265" i="13"/>
  <c r="AA266" i="13" s="1"/>
  <c r="AC45" i="13"/>
  <c r="AC82" i="13"/>
  <c r="AE86" i="13"/>
  <c r="AP211" i="11" s="1"/>
  <c r="AE94" i="13"/>
  <c r="AP229" i="11" s="1"/>
  <c r="AE92" i="13"/>
  <c r="AE85" i="13"/>
  <c r="AP208" i="11" s="1"/>
  <c r="AE91" i="13"/>
  <c r="AP220" i="11" s="1"/>
  <c r="AE95" i="13"/>
  <c r="AP232" i="11" s="1"/>
  <c r="AE97" i="13"/>
  <c r="AP238" i="11" s="1"/>
  <c r="AE93" i="13"/>
  <c r="AP226" i="11" s="1"/>
  <c r="AE88" i="13"/>
  <c r="AP214" i="11" s="1"/>
  <c r="AE84" i="13"/>
  <c r="AE96" i="13"/>
  <c r="AP235" i="11" s="1"/>
  <c r="AE89" i="13"/>
  <c r="AB48" i="13"/>
  <c r="AM176" i="11" s="1"/>
  <c r="AB47" i="13"/>
  <c r="AM182" i="11"/>
  <c r="AA229" i="13"/>
  <c r="AA235" i="13" s="1"/>
  <c r="AA238" i="13" s="1"/>
  <c r="S248" i="13"/>
  <c r="P261" i="13"/>
  <c r="P276" i="13" s="1"/>
  <c r="Q246" i="13"/>
  <c r="R39" i="13"/>
  <c r="R70" i="13" s="1"/>
  <c r="R23" i="13"/>
  <c r="Q222" i="13"/>
  <c r="Q224" i="13" s="1"/>
  <c r="Q239" i="13" s="1"/>
  <c r="M31" i="13"/>
  <c r="Z93" i="11"/>
  <c r="Z110" i="11" s="1"/>
  <c r="O24" i="13"/>
  <c r="O28" i="13" s="1"/>
  <c r="Z137" i="11" s="1"/>
  <c r="N30" i="13"/>
  <c r="N29" i="13"/>
  <c r="N27" i="13"/>
  <c r="AB14" i="13"/>
  <c r="AB228" i="13" s="1"/>
  <c r="W138" i="11" l="1"/>
  <c r="W139" i="11" s="1"/>
  <c r="W161" i="11" s="1"/>
  <c r="X190" i="11"/>
  <c r="X193" i="11" s="1"/>
  <c r="X135" i="11"/>
  <c r="AO245" i="11"/>
  <c r="AO247" i="11"/>
  <c r="AO244" i="11"/>
  <c r="C147" i="11"/>
  <c r="B148" i="11"/>
  <c r="C146" i="11"/>
  <c r="AE90" i="13"/>
  <c r="AP246" i="11" s="1"/>
  <c r="AE87" i="13"/>
  <c r="AJ259" i="11"/>
  <c r="Y121" i="13"/>
  <c r="N62" i="13"/>
  <c r="N61" i="13"/>
  <c r="N60" i="13"/>
  <c r="N59" i="13"/>
  <c r="M65" i="13"/>
  <c r="M69" i="13" s="1"/>
  <c r="O53" i="13"/>
  <c r="O54" i="13"/>
  <c r="O55" i="13"/>
  <c r="V200" i="11"/>
  <c r="V273" i="11" s="1"/>
  <c r="AM173" i="11"/>
  <c r="AM175" i="11" s="1"/>
  <c r="W109" i="11"/>
  <c r="L71" i="13"/>
  <c r="AA179" i="11"/>
  <c r="AA181" i="11" s="1"/>
  <c r="P49" i="13"/>
  <c r="AA185" i="11" s="1"/>
  <c r="U201" i="11"/>
  <c r="V53" i="11"/>
  <c r="V79" i="11" s="1"/>
  <c r="Z55" i="11"/>
  <c r="Z81" i="11" s="1"/>
  <c r="AK56" i="11"/>
  <c r="AK82" i="11" s="1"/>
  <c r="W198" i="11"/>
  <c r="Y54" i="11"/>
  <c r="Y80" i="11" s="1"/>
  <c r="AA216" i="13"/>
  <c r="S349" i="13"/>
  <c r="AD60" i="11" s="1"/>
  <c r="AD86" i="11" s="1"/>
  <c r="AD105" i="11"/>
  <c r="AD117" i="11" s="1"/>
  <c r="P277" i="13"/>
  <c r="AA58" i="11" s="1"/>
  <c r="AA84" i="11" s="1"/>
  <c r="AA102" i="11"/>
  <c r="AA115" i="11" s="1"/>
  <c r="P149" i="13"/>
  <c r="AA94" i="11"/>
  <c r="AA112" i="11" s="1"/>
  <c r="AB96" i="11"/>
  <c r="AB114" i="11" s="1"/>
  <c r="Q240" i="13"/>
  <c r="AB57" i="11" s="1"/>
  <c r="AB83" i="11" s="1"/>
  <c r="AB199" i="11"/>
  <c r="AB92" i="11"/>
  <c r="AK267" i="11"/>
  <c r="AK268" i="11" s="1"/>
  <c r="AK269" i="11" s="1"/>
  <c r="Y191" i="11"/>
  <c r="Y189" i="11"/>
  <c r="AF262" i="11"/>
  <c r="AP205" i="11"/>
  <c r="AB103" i="13"/>
  <c r="AB104" i="13"/>
  <c r="AB102" i="13"/>
  <c r="Y128" i="11"/>
  <c r="Y131" i="11" s="1"/>
  <c r="Y124" i="11"/>
  <c r="Y126" i="11" s="1"/>
  <c r="Y133" i="11"/>
  <c r="AM265" i="11"/>
  <c r="AH256" i="11"/>
  <c r="AH257" i="11"/>
  <c r="AG258" i="11"/>
  <c r="AH254" i="11"/>
  <c r="AH255" i="11"/>
  <c r="AI252" i="11"/>
  <c r="AI251" i="11"/>
  <c r="AI250" i="11"/>
  <c r="T281" i="11"/>
  <c r="W274" i="11"/>
  <c r="Z260" i="11"/>
  <c r="Z261" i="11" s="1"/>
  <c r="W197" i="11"/>
  <c r="U61" i="11"/>
  <c r="U87" i="11" s="1"/>
  <c r="T106" i="11"/>
  <c r="Z186" i="11"/>
  <c r="W163" i="11"/>
  <c r="W276" i="11" s="1"/>
  <c r="W162" i="11"/>
  <c r="W275" i="11" s="1"/>
  <c r="X127" i="11"/>
  <c r="X138" i="11"/>
  <c r="X139" i="11" s="1"/>
  <c r="X161" i="11" s="1"/>
  <c r="X132" i="11"/>
  <c r="AB128" i="13"/>
  <c r="AB214" i="13" s="1"/>
  <c r="AM113" i="11" s="1"/>
  <c r="AB127" i="13"/>
  <c r="AB147" i="13" s="1"/>
  <c r="Q50" i="13"/>
  <c r="R140" i="13"/>
  <c r="Q144" i="13"/>
  <c r="Q148" i="13" s="1"/>
  <c r="AA108" i="13"/>
  <c r="AA111" i="13"/>
  <c r="AA109" i="13"/>
  <c r="AA110" i="13"/>
  <c r="Z114" i="13"/>
  <c r="Z119" i="13" s="1"/>
  <c r="AB265" i="13"/>
  <c r="AB266" i="13" s="1"/>
  <c r="AD82" i="13"/>
  <c r="AD45" i="13"/>
  <c r="AF96" i="13"/>
  <c r="AQ235" i="11" s="1"/>
  <c r="AF88" i="13"/>
  <c r="AQ214" i="11" s="1"/>
  <c r="AF97" i="13"/>
  <c r="AQ238" i="11" s="1"/>
  <c r="AF91" i="13"/>
  <c r="AQ220" i="11" s="1"/>
  <c r="AF92" i="13"/>
  <c r="AF94" i="13"/>
  <c r="AQ229" i="11" s="1"/>
  <c r="AF89" i="13"/>
  <c r="AF84" i="13"/>
  <c r="AF93" i="13"/>
  <c r="AQ226" i="11" s="1"/>
  <c r="AF95" i="13"/>
  <c r="AQ232" i="11" s="1"/>
  <c r="AF85" i="13"/>
  <c r="AQ208" i="11" s="1"/>
  <c r="AF86" i="13"/>
  <c r="AQ211" i="11" s="1"/>
  <c r="AN182" i="11"/>
  <c r="AC48" i="13"/>
  <c r="AN176" i="11" s="1"/>
  <c r="AC47" i="13"/>
  <c r="AB229" i="13"/>
  <c r="AB235" i="13" s="1"/>
  <c r="AB238" i="13" s="1"/>
  <c r="T248" i="13"/>
  <c r="Q261" i="13"/>
  <c r="Q276" i="13" s="1"/>
  <c r="R246" i="13"/>
  <c r="S39" i="13"/>
  <c r="S70" i="13" s="1"/>
  <c r="N31" i="13"/>
  <c r="S23" i="13"/>
  <c r="R222" i="13"/>
  <c r="R224" i="13" s="1"/>
  <c r="R239" i="13" s="1"/>
  <c r="AA93" i="11"/>
  <c r="AA110" i="11" s="1"/>
  <c r="P24" i="13"/>
  <c r="P28" i="13" s="1"/>
  <c r="AA137" i="11" s="1"/>
  <c r="O30" i="13"/>
  <c r="O27" i="13"/>
  <c r="Z124" i="11" s="1"/>
  <c r="O29" i="13"/>
  <c r="Z128" i="11" s="1"/>
  <c r="AC14" i="13"/>
  <c r="AC228" i="13" s="1"/>
  <c r="X196" i="11" l="1"/>
  <c r="X195" i="11"/>
  <c r="X194" i="11"/>
  <c r="Y135" i="11"/>
  <c r="Y136" i="11" s="1"/>
  <c r="Y164" i="11" s="1"/>
  <c r="Y277" i="11" s="1"/>
  <c r="X136" i="11"/>
  <c r="X164" i="11" s="1"/>
  <c r="X277" i="11" s="1"/>
  <c r="AP247" i="11"/>
  <c r="AP245" i="11"/>
  <c r="AP244" i="11"/>
  <c r="AF87" i="13"/>
  <c r="AQ244" i="11" s="1"/>
  <c r="AF90" i="13"/>
  <c r="AK259" i="11"/>
  <c r="Z121" i="13"/>
  <c r="O59" i="13"/>
  <c r="N65" i="13"/>
  <c r="N69" i="13" s="1"/>
  <c r="P54" i="13"/>
  <c r="O62" i="13"/>
  <c r="P55" i="13"/>
  <c r="O60" i="13"/>
  <c r="P53" i="13"/>
  <c r="O61" i="13"/>
  <c r="V201" i="11"/>
  <c r="X109" i="11"/>
  <c r="M71" i="13"/>
  <c r="AN173" i="11"/>
  <c r="AN175" i="11" s="1"/>
  <c r="AB179" i="11"/>
  <c r="AB181" i="11" s="1"/>
  <c r="Q49" i="13"/>
  <c r="AB185" i="11" s="1"/>
  <c r="V61" i="11"/>
  <c r="V87" i="11" s="1"/>
  <c r="W53" i="11"/>
  <c r="W79" i="11" s="1"/>
  <c r="AA55" i="11"/>
  <c r="AA81" i="11" s="1"/>
  <c r="AB216" i="13"/>
  <c r="AL56" i="11"/>
  <c r="AL82" i="11" s="1"/>
  <c r="X198" i="11"/>
  <c r="W200" i="11"/>
  <c r="W273" i="11" s="1"/>
  <c r="Z54" i="11"/>
  <c r="Z80" i="11" s="1"/>
  <c r="Q277" i="13"/>
  <c r="AB58" i="11" s="1"/>
  <c r="AB84" i="11" s="1"/>
  <c r="AB102" i="11"/>
  <c r="AB115" i="11" s="1"/>
  <c r="T349" i="13"/>
  <c r="AE60" i="11" s="1"/>
  <c r="AE86" i="11" s="1"/>
  <c r="AE105" i="11"/>
  <c r="AE117" i="11" s="1"/>
  <c r="AC96" i="11"/>
  <c r="AC114" i="11" s="1"/>
  <c r="R240" i="13"/>
  <c r="AC57" i="11" s="1"/>
  <c r="AC83" i="11" s="1"/>
  <c r="Q149" i="13"/>
  <c r="AB94" i="11"/>
  <c r="AB112" i="11" s="1"/>
  <c r="AC199" i="11"/>
  <c r="AC92" i="11"/>
  <c r="AL267" i="11"/>
  <c r="AM267" i="11" s="1"/>
  <c r="AM268" i="11" s="1"/>
  <c r="Z126" i="11"/>
  <c r="Z189" i="11"/>
  <c r="Z191" i="11"/>
  <c r="Z190" i="11"/>
  <c r="AG262" i="11"/>
  <c r="Z131" i="11"/>
  <c r="AC104" i="13"/>
  <c r="AC102" i="13"/>
  <c r="AC103" i="13"/>
  <c r="AQ205" i="11"/>
  <c r="Z133" i="11"/>
  <c r="Z135" i="11" s="1"/>
  <c r="AN265" i="11"/>
  <c r="AH258" i="11"/>
  <c r="AI255" i="11"/>
  <c r="AI256" i="11"/>
  <c r="AI257" i="11"/>
  <c r="AJ251" i="11"/>
  <c r="AJ252" i="11"/>
  <c r="AJ250" i="11"/>
  <c r="AI254" i="11"/>
  <c r="U281" i="11"/>
  <c r="X274" i="11"/>
  <c r="AA260" i="11"/>
  <c r="AA261" i="11" s="1"/>
  <c r="U106" i="11"/>
  <c r="V106" i="11"/>
  <c r="T160" i="11"/>
  <c r="T118" i="11"/>
  <c r="T119" i="11" s="1"/>
  <c r="Y196" i="11"/>
  <c r="Y193" i="11"/>
  <c r="Y194" i="11"/>
  <c r="Y195" i="11"/>
  <c r="AA186" i="11"/>
  <c r="X163" i="11"/>
  <c r="X276" i="11" s="1"/>
  <c r="X162" i="11"/>
  <c r="X275" i="11" s="1"/>
  <c r="Y127" i="11"/>
  <c r="Y132" i="11"/>
  <c r="AC128" i="13"/>
  <c r="AC214" i="13" s="1"/>
  <c r="AN113" i="11" s="1"/>
  <c r="AC127" i="13"/>
  <c r="AC147" i="13" s="1"/>
  <c r="R50" i="13"/>
  <c r="S140" i="13"/>
  <c r="R144" i="13"/>
  <c r="R148" i="13" s="1"/>
  <c r="AA114" i="13"/>
  <c r="AA119" i="13" s="1"/>
  <c r="AB111" i="13"/>
  <c r="AB108" i="13"/>
  <c r="AB110" i="13"/>
  <c r="AB109" i="13"/>
  <c r="AC265" i="13"/>
  <c r="AC266" i="13" s="1"/>
  <c r="AE45" i="13"/>
  <c r="AE82" i="13"/>
  <c r="AG85" i="13"/>
  <c r="AR208" i="11" s="1"/>
  <c r="AG93" i="13"/>
  <c r="AR226" i="11" s="1"/>
  <c r="AG89" i="13"/>
  <c r="AG92" i="13"/>
  <c r="AG91" i="13"/>
  <c r="AR220" i="11" s="1"/>
  <c r="AG88" i="13"/>
  <c r="AR214" i="11" s="1"/>
  <c r="AG86" i="13"/>
  <c r="AR211" i="11" s="1"/>
  <c r="AG95" i="13"/>
  <c r="AR232" i="11" s="1"/>
  <c r="AG84" i="13"/>
  <c r="AG94" i="13"/>
  <c r="AR229" i="11" s="1"/>
  <c r="AG97" i="13"/>
  <c r="AR238" i="11" s="1"/>
  <c r="AG96" i="13"/>
  <c r="AR235" i="11" s="1"/>
  <c r="AD47" i="13"/>
  <c r="AO182" i="11"/>
  <c r="AD48" i="13"/>
  <c r="AO176" i="11" s="1"/>
  <c r="AC229" i="13"/>
  <c r="AC235" i="13" s="1"/>
  <c r="AC238" i="13" s="1"/>
  <c r="U248" i="13"/>
  <c r="R261" i="13"/>
  <c r="R276" i="13" s="1"/>
  <c r="S246" i="13"/>
  <c r="T39" i="13"/>
  <c r="T70" i="13" s="1"/>
  <c r="S222" i="13"/>
  <c r="S224" i="13" s="1"/>
  <c r="S239" i="13" s="1"/>
  <c r="T23" i="13"/>
  <c r="O31" i="13"/>
  <c r="P30" i="13"/>
  <c r="P27" i="13"/>
  <c r="AA124" i="11" s="1"/>
  <c r="P29" i="13"/>
  <c r="AA128" i="11" s="1"/>
  <c r="AB93" i="11"/>
  <c r="AB110" i="11" s="1"/>
  <c r="Q24" i="13"/>
  <c r="Q28" i="13" s="1"/>
  <c r="AD14" i="13"/>
  <c r="AD228" i="13" s="1"/>
  <c r="X197" i="11" l="1"/>
  <c r="X200" i="11" s="1"/>
  <c r="X273" i="11" s="1"/>
  <c r="Y138" i="11"/>
  <c r="Y139" i="11" s="1"/>
  <c r="Y161" i="11" s="1"/>
  <c r="AQ245" i="11"/>
  <c r="AQ247" i="11"/>
  <c r="AQ246" i="11"/>
  <c r="AG90" i="13"/>
  <c r="AR246" i="11" s="1"/>
  <c r="AG87" i="13"/>
  <c r="AR244" i="11" s="1"/>
  <c r="AL259" i="11"/>
  <c r="AA121" i="13"/>
  <c r="P61" i="13"/>
  <c r="P59" i="13"/>
  <c r="P62" i="13"/>
  <c r="P60" i="13"/>
  <c r="O65" i="13"/>
  <c r="O69" i="13" s="1"/>
  <c r="Q54" i="13"/>
  <c r="Q53" i="13"/>
  <c r="Q55" i="13"/>
  <c r="Y109" i="11"/>
  <c r="N71" i="13"/>
  <c r="AO173" i="11"/>
  <c r="AO175" i="11" s="1"/>
  <c r="AC179" i="11"/>
  <c r="AC181" i="11" s="1"/>
  <c r="R49" i="13"/>
  <c r="AC185" i="11" s="1"/>
  <c r="V281" i="11"/>
  <c r="W61" i="11"/>
  <c r="W87" i="11" s="1"/>
  <c r="AL268" i="11"/>
  <c r="AB137" i="11"/>
  <c r="B106" i="11"/>
  <c r="X53" i="11"/>
  <c r="X79" i="11" s="1"/>
  <c r="AA54" i="11"/>
  <c r="AA80" i="11" s="1"/>
  <c r="W201" i="11"/>
  <c r="AC216" i="13"/>
  <c r="Y198" i="11"/>
  <c r="AB55" i="11"/>
  <c r="AB81" i="11" s="1"/>
  <c r="AM56" i="11"/>
  <c r="AM82" i="11" s="1"/>
  <c r="R277" i="13"/>
  <c r="AC58" i="11" s="1"/>
  <c r="AC84" i="11" s="1"/>
  <c r="AC102" i="11"/>
  <c r="AC115" i="11" s="1"/>
  <c r="U349" i="13"/>
  <c r="AF60" i="11" s="1"/>
  <c r="AF86" i="11" s="1"/>
  <c r="AF105" i="11"/>
  <c r="AF117" i="11" s="1"/>
  <c r="AD96" i="11"/>
  <c r="AD114" i="11" s="1"/>
  <c r="S240" i="13"/>
  <c r="AD57" i="11" s="1"/>
  <c r="AD83" i="11" s="1"/>
  <c r="R149" i="13"/>
  <c r="AC94" i="11"/>
  <c r="AC112" i="11" s="1"/>
  <c r="AA126" i="11"/>
  <c r="AD199" i="11"/>
  <c r="AD92" i="11"/>
  <c r="AN267" i="11"/>
  <c r="AN268" i="11" s="1"/>
  <c r="Z196" i="11"/>
  <c r="AA191" i="11"/>
  <c r="AA189" i="11"/>
  <c r="AA190" i="11"/>
  <c r="AM269" i="11"/>
  <c r="AL269" i="11"/>
  <c r="AA131" i="11"/>
  <c r="AH262" i="11"/>
  <c r="AR205" i="11"/>
  <c r="AD104" i="13"/>
  <c r="AD103" i="13"/>
  <c r="AD102" i="13"/>
  <c r="AA133" i="11"/>
  <c r="AA135" i="11" s="1"/>
  <c r="AA136" i="11" s="1"/>
  <c r="AA164" i="11" s="1"/>
  <c r="AA277" i="11" s="1"/>
  <c r="AO265" i="11"/>
  <c r="AI258" i="11"/>
  <c r="AJ256" i="11"/>
  <c r="AJ255" i="11"/>
  <c r="AJ257" i="11"/>
  <c r="AJ254" i="11"/>
  <c r="AK252" i="11"/>
  <c r="AK250" i="11"/>
  <c r="AK251" i="11"/>
  <c r="Z136" i="11"/>
  <c r="Z164" i="11" s="1"/>
  <c r="Z277" i="11" s="1"/>
  <c r="Y274" i="11"/>
  <c r="AB260" i="11"/>
  <c r="AB261" i="11" s="1"/>
  <c r="Z195" i="11"/>
  <c r="Z193" i="11"/>
  <c r="Z194" i="11"/>
  <c r="V160" i="11"/>
  <c r="V118" i="11"/>
  <c r="V119" i="11" s="1"/>
  <c r="W106" i="11"/>
  <c r="U160" i="11"/>
  <c r="U118" i="11"/>
  <c r="U119" i="11" s="1"/>
  <c r="Y197" i="11"/>
  <c r="AB186" i="11"/>
  <c r="Y163" i="11"/>
  <c r="Y276" i="11" s="1"/>
  <c r="Y162" i="11"/>
  <c r="Y275" i="11" s="1"/>
  <c r="Z127" i="11"/>
  <c r="Z138" i="11"/>
  <c r="Z139" i="11" s="1"/>
  <c r="Z161" i="11" s="1"/>
  <c r="Z132" i="11"/>
  <c r="AD127" i="13"/>
  <c r="AD147" i="13" s="1"/>
  <c r="AD128" i="13"/>
  <c r="AD214" i="13" s="1"/>
  <c r="AO113" i="11" s="1"/>
  <c r="S50" i="13"/>
  <c r="S49" i="13" s="1"/>
  <c r="T140" i="13"/>
  <c r="S144" i="13"/>
  <c r="S148" i="13" s="1"/>
  <c r="AB114" i="13"/>
  <c r="AB119" i="13" s="1"/>
  <c r="AC110" i="13"/>
  <c r="AC111" i="13"/>
  <c r="AC109" i="13"/>
  <c r="AC108" i="13"/>
  <c r="AD265" i="13"/>
  <c r="AD266" i="13" s="1"/>
  <c r="AF82" i="13"/>
  <c r="AF45" i="13"/>
  <c r="AH97" i="13"/>
  <c r="AS238" i="11" s="1"/>
  <c r="AH94" i="13"/>
  <c r="AS229" i="11" s="1"/>
  <c r="AH95" i="13"/>
  <c r="AS232" i="11" s="1"/>
  <c r="AH86" i="13"/>
  <c r="AS211" i="11" s="1"/>
  <c r="AH91" i="13"/>
  <c r="AS220" i="11" s="1"/>
  <c r="AH89" i="13"/>
  <c r="AH85" i="13"/>
  <c r="AS208" i="11" s="1"/>
  <c r="AH96" i="13"/>
  <c r="AS235" i="11" s="1"/>
  <c r="AH84" i="13"/>
  <c r="AH88" i="13"/>
  <c r="AS214" i="11" s="1"/>
  <c r="AH92" i="13"/>
  <c r="AH93" i="13"/>
  <c r="AS226" i="11" s="1"/>
  <c r="AE47" i="13"/>
  <c r="AE48" i="13"/>
  <c r="AP176" i="11" s="1"/>
  <c r="AP182" i="11"/>
  <c r="AD229" i="13"/>
  <c r="AD235" i="13" s="1"/>
  <c r="AD238" i="13" s="1"/>
  <c r="V248" i="13"/>
  <c r="S261" i="13"/>
  <c r="S276" i="13" s="1"/>
  <c r="T246" i="13"/>
  <c r="U39" i="13"/>
  <c r="U70" i="13" s="1"/>
  <c r="P31" i="13"/>
  <c r="T222" i="13"/>
  <c r="T224" i="13" s="1"/>
  <c r="T239" i="13" s="1"/>
  <c r="U23" i="13"/>
  <c r="Q30" i="13"/>
  <c r="B105" i="11" s="1"/>
  <c r="Q27" i="13"/>
  <c r="Q29" i="13"/>
  <c r="AC93" i="11"/>
  <c r="AC110" i="11" s="1"/>
  <c r="R24" i="13"/>
  <c r="R28" i="13" s="1"/>
  <c r="AC137" i="11" s="1"/>
  <c r="AE14" i="13"/>
  <c r="AE228" i="13" s="1"/>
  <c r="AR247" i="11" l="1"/>
  <c r="AR245" i="11"/>
  <c r="X61" i="11"/>
  <c r="X87" i="11" s="1"/>
  <c r="AH87" i="13"/>
  <c r="AS244" i="11" s="1"/>
  <c r="AH90" i="13"/>
  <c r="AM259" i="11"/>
  <c r="AB121" i="13"/>
  <c r="P65" i="13"/>
  <c r="P69" i="13" s="1"/>
  <c r="R55" i="13"/>
  <c r="Q59" i="13"/>
  <c r="R54" i="13"/>
  <c r="Q61" i="13"/>
  <c r="R53" i="13"/>
  <c r="Q62" i="13"/>
  <c r="Q60" i="13"/>
  <c r="AD185" i="11"/>
  <c r="B126" i="11"/>
  <c r="Z109" i="11"/>
  <c r="O71" i="13"/>
  <c r="Z53" i="11" s="1"/>
  <c r="AP173" i="11"/>
  <c r="AP175" i="11" s="1"/>
  <c r="W281" i="11"/>
  <c r="X201" i="11"/>
  <c r="AB128" i="11"/>
  <c r="AB131" i="11" s="1"/>
  <c r="B104" i="11"/>
  <c r="AB124" i="11"/>
  <c r="AB126" i="11" s="1"/>
  <c r="B103" i="11"/>
  <c r="AD216" i="13"/>
  <c r="Z198" i="11"/>
  <c r="AB54" i="11"/>
  <c r="AB80" i="11" s="1"/>
  <c r="AN56" i="11"/>
  <c r="AN82" i="11" s="1"/>
  <c r="Y53" i="11"/>
  <c r="Y79" i="11" s="1"/>
  <c r="AC55" i="11"/>
  <c r="AC81" i="11" s="1"/>
  <c r="S277" i="13"/>
  <c r="AD58" i="11" s="1"/>
  <c r="AD84" i="11" s="1"/>
  <c r="AD102" i="11"/>
  <c r="AD115" i="11" s="1"/>
  <c r="V349" i="13"/>
  <c r="AG60" i="11" s="1"/>
  <c r="AG86" i="11" s="1"/>
  <c r="AG105" i="11"/>
  <c r="AG117" i="11" s="1"/>
  <c r="AE96" i="11"/>
  <c r="AE114" i="11" s="1"/>
  <c r="T240" i="13"/>
  <c r="AE57" i="11" s="1"/>
  <c r="AE83" i="11" s="1"/>
  <c r="S149" i="13"/>
  <c r="AD94" i="11"/>
  <c r="AD112" i="11" s="1"/>
  <c r="AE199" i="11"/>
  <c r="AE92" i="11"/>
  <c r="AO267" i="11"/>
  <c r="AO268" i="11" s="1"/>
  <c r="AB191" i="11"/>
  <c r="AB190" i="11"/>
  <c r="AB189" i="11"/>
  <c r="AN269" i="11"/>
  <c r="AI262" i="11"/>
  <c r="AE103" i="13"/>
  <c r="AE104" i="13"/>
  <c r="AE102" i="13"/>
  <c r="AS205" i="11"/>
  <c r="AD179" i="11"/>
  <c r="AD181" i="11" s="1"/>
  <c r="B124" i="11"/>
  <c r="AS246" i="11"/>
  <c r="AB133" i="11"/>
  <c r="AB135" i="11" s="1"/>
  <c r="AP265" i="11"/>
  <c r="AK255" i="11"/>
  <c r="AJ258" i="11"/>
  <c r="AK257" i="11"/>
  <c r="AK256" i="11"/>
  <c r="AK254" i="11"/>
  <c r="AL250" i="11"/>
  <c r="AL251" i="11"/>
  <c r="AL252" i="11"/>
  <c r="Z274" i="11"/>
  <c r="AC260" i="11"/>
  <c r="AC261" i="11" s="1"/>
  <c r="Z197" i="11"/>
  <c r="X106" i="11"/>
  <c r="Y200" i="11"/>
  <c r="AA194" i="11"/>
  <c r="AA195" i="11"/>
  <c r="AA196" i="11"/>
  <c r="AA193" i="11"/>
  <c r="W160" i="11"/>
  <c r="W118" i="11"/>
  <c r="W119" i="11" s="1"/>
  <c r="AC186" i="11"/>
  <c r="Z163" i="11"/>
  <c r="Z276" i="11" s="1"/>
  <c r="Z162" i="11"/>
  <c r="Z275" i="11" s="1"/>
  <c r="AA132" i="11"/>
  <c r="AA127" i="11"/>
  <c r="AA138" i="11"/>
  <c r="AA139" i="11" s="1"/>
  <c r="AA161" i="11" s="1"/>
  <c r="S54" i="13"/>
  <c r="S53" i="13"/>
  <c r="S55" i="13"/>
  <c r="AE127" i="13"/>
  <c r="AE147" i="13" s="1"/>
  <c r="AE128" i="13"/>
  <c r="AE214" i="13" s="1"/>
  <c r="AP113" i="11" s="1"/>
  <c r="T50" i="13"/>
  <c r="U140" i="13"/>
  <c r="T144" i="13"/>
  <c r="T148" i="13" s="1"/>
  <c r="AC114" i="13"/>
  <c r="AC119" i="13" s="1"/>
  <c r="AD109" i="13"/>
  <c r="AD110" i="13"/>
  <c r="AD111" i="13"/>
  <c r="AD108" i="13"/>
  <c r="AE265" i="13"/>
  <c r="AE266" i="13" s="1"/>
  <c r="AG45" i="13"/>
  <c r="AG82" i="13"/>
  <c r="AF48" i="13"/>
  <c r="AQ176" i="11" s="1"/>
  <c r="AQ182" i="11"/>
  <c r="AF47" i="13"/>
  <c r="AE229" i="13"/>
  <c r="AE235" i="13" s="1"/>
  <c r="AE238" i="13" s="1"/>
  <c r="W248" i="13"/>
  <c r="T261" i="13"/>
  <c r="T276" i="13" s="1"/>
  <c r="U246" i="13"/>
  <c r="V39" i="13"/>
  <c r="V70" i="13" s="1"/>
  <c r="U222" i="13"/>
  <c r="U224" i="13" s="1"/>
  <c r="U239" i="13" s="1"/>
  <c r="V23" i="13"/>
  <c r="Q31" i="13"/>
  <c r="R30" i="13"/>
  <c r="R27" i="13"/>
  <c r="AC124" i="11" s="1"/>
  <c r="R29" i="13"/>
  <c r="AC128" i="11" s="1"/>
  <c r="AD93" i="11"/>
  <c r="AD110" i="11" s="1"/>
  <c r="S24" i="13"/>
  <c r="AF14" i="13"/>
  <c r="AF228" i="13" s="1"/>
  <c r="X281" i="11" l="1"/>
  <c r="AS247" i="11"/>
  <c r="AS245" i="11"/>
  <c r="AN259" i="11"/>
  <c r="AC121" i="13"/>
  <c r="R60" i="13"/>
  <c r="R59" i="13"/>
  <c r="R61" i="13"/>
  <c r="R62" i="13"/>
  <c r="Q65" i="13"/>
  <c r="Q69" i="13" s="1"/>
  <c r="B127" i="11"/>
  <c r="AE179" i="11"/>
  <c r="AE181" i="11" s="1"/>
  <c r="T49" i="13"/>
  <c r="AE185" i="11" s="1"/>
  <c r="AA109" i="11"/>
  <c r="P71" i="13"/>
  <c r="AA53" i="11" s="1"/>
  <c r="AQ173" i="11"/>
  <c r="AQ175" i="11" s="1"/>
  <c r="Z200" i="11"/>
  <c r="Z273" i="11" s="1"/>
  <c r="B107" i="11"/>
  <c r="AC126" i="11"/>
  <c r="Y61" i="11"/>
  <c r="Y87" i="11" s="1"/>
  <c r="AE216" i="13"/>
  <c r="AA198" i="11"/>
  <c r="AC54" i="11"/>
  <c r="AC80" i="11" s="1"/>
  <c r="AD55" i="11"/>
  <c r="AD81" i="11" s="1"/>
  <c r="AO56" i="11"/>
  <c r="AO82" i="11" s="1"/>
  <c r="T277" i="13"/>
  <c r="AE58" i="11" s="1"/>
  <c r="AE84" i="11" s="1"/>
  <c r="AE102" i="11"/>
  <c r="AE115" i="11" s="1"/>
  <c r="W349" i="13"/>
  <c r="AH60" i="11" s="1"/>
  <c r="AH86" i="11" s="1"/>
  <c r="AH105" i="11"/>
  <c r="AH117" i="11" s="1"/>
  <c r="T149" i="13"/>
  <c r="AE94" i="11"/>
  <c r="AE112" i="11" s="1"/>
  <c r="AF96" i="11"/>
  <c r="AF114" i="11" s="1"/>
  <c r="U240" i="13"/>
  <c r="AF57" i="11" s="1"/>
  <c r="AF83" i="11" s="1"/>
  <c r="AF199" i="11"/>
  <c r="AF92" i="11"/>
  <c r="AC131" i="11"/>
  <c r="AP267" i="11"/>
  <c r="AP268" i="11" s="1"/>
  <c r="AC190" i="11"/>
  <c r="AC189" i="11"/>
  <c r="AC191" i="11"/>
  <c r="AO269" i="11"/>
  <c r="AJ262" i="11"/>
  <c r="AF103" i="13"/>
  <c r="AF104" i="13"/>
  <c r="AF102" i="13"/>
  <c r="S28" i="13"/>
  <c r="AD137" i="11" s="1"/>
  <c r="S27" i="13"/>
  <c r="AD124" i="11" s="1"/>
  <c r="AC133" i="11"/>
  <c r="AC135" i="11" s="1"/>
  <c r="AQ265" i="11"/>
  <c r="AL257" i="11"/>
  <c r="AL256" i="11"/>
  <c r="AK258" i="11"/>
  <c r="AL255" i="11"/>
  <c r="AM250" i="11"/>
  <c r="AM251" i="11"/>
  <c r="AM252" i="11"/>
  <c r="AL254" i="11"/>
  <c r="AB136" i="11"/>
  <c r="AB164" i="11" s="1"/>
  <c r="AB277" i="11" s="1"/>
  <c r="AA274" i="11"/>
  <c r="Y201" i="11"/>
  <c r="Y273" i="11"/>
  <c r="AD260" i="11"/>
  <c r="AD261" i="11" s="1"/>
  <c r="X160" i="11"/>
  <c r="X118" i="11"/>
  <c r="X119" i="11" s="1"/>
  <c r="Y106" i="11"/>
  <c r="AB196" i="11"/>
  <c r="AB195" i="11"/>
  <c r="AB194" i="11"/>
  <c r="Z79" i="11"/>
  <c r="AA197" i="11"/>
  <c r="AB193" i="11"/>
  <c r="AD186" i="11"/>
  <c r="AD190" i="11" s="1"/>
  <c r="AA163" i="11"/>
  <c r="AA276" i="11" s="1"/>
  <c r="AA162" i="11"/>
  <c r="AA275" i="11" s="1"/>
  <c r="AB127" i="11"/>
  <c r="AB138" i="11"/>
  <c r="AB139" i="11" s="1"/>
  <c r="AB161" i="11" s="1"/>
  <c r="AB132" i="11"/>
  <c r="S62" i="13"/>
  <c r="S59" i="13"/>
  <c r="S60" i="13"/>
  <c r="S61" i="13"/>
  <c r="AF128" i="13"/>
  <c r="AF214" i="13" s="1"/>
  <c r="AQ113" i="11" s="1"/>
  <c r="AF127" i="13"/>
  <c r="AF147" i="13" s="1"/>
  <c r="U50" i="13"/>
  <c r="V140" i="13"/>
  <c r="U144" i="13"/>
  <c r="U148" i="13" s="1"/>
  <c r="AD114" i="13"/>
  <c r="AD119" i="13" s="1"/>
  <c r="AE108" i="13"/>
  <c r="AE109" i="13"/>
  <c r="AE110" i="13"/>
  <c r="AE111" i="13"/>
  <c r="AF265" i="13"/>
  <c r="AF266" i="13" s="1"/>
  <c r="AH82" i="13"/>
  <c r="AH45" i="13"/>
  <c r="AG47" i="13"/>
  <c r="AR182" i="11"/>
  <c r="AG48" i="13"/>
  <c r="AR176" i="11" s="1"/>
  <c r="AF229" i="13"/>
  <c r="AF235" i="13" s="1"/>
  <c r="AF238" i="13" s="1"/>
  <c r="X248" i="13"/>
  <c r="U261" i="13"/>
  <c r="U276" i="13" s="1"/>
  <c r="V246" i="13"/>
  <c r="W39" i="13"/>
  <c r="W70" i="13" s="1"/>
  <c r="W23" i="13"/>
  <c r="V222" i="13"/>
  <c r="V224" i="13" s="1"/>
  <c r="V239" i="13" s="1"/>
  <c r="R31" i="13"/>
  <c r="S30" i="13"/>
  <c r="S29" i="13"/>
  <c r="AD128" i="11" s="1"/>
  <c r="AE93" i="11"/>
  <c r="AE110" i="11" s="1"/>
  <c r="T24" i="13"/>
  <c r="T28" i="13" s="1"/>
  <c r="AE137" i="11" s="1"/>
  <c r="AG14" i="13"/>
  <c r="AG228" i="13" s="1"/>
  <c r="AO259" i="11" l="1"/>
  <c r="AD121" i="13"/>
  <c r="R65" i="13"/>
  <c r="R69" i="13" s="1"/>
  <c r="Z201" i="11"/>
  <c r="T54" i="13"/>
  <c r="T55" i="13"/>
  <c r="T53" i="13"/>
  <c r="AD126" i="11"/>
  <c r="AF179" i="11"/>
  <c r="AF181" i="11" s="1"/>
  <c r="U49" i="13"/>
  <c r="AF185" i="11" s="1"/>
  <c r="AB109" i="11"/>
  <c r="Q71" i="13"/>
  <c r="AB53" i="11" s="1"/>
  <c r="AR173" i="11"/>
  <c r="AR175" i="11" s="1"/>
  <c r="Y281" i="11"/>
  <c r="AA200" i="11"/>
  <c r="AA273" i="11" s="1"/>
  <c r="AD54" i="11"/>
  <c r="AD80" i="11" s="1"/>
  <c r="AB198" i="11"/>
  <c r="AE55" i="11"/>
  <c r="AE81" i="11" s="1"/>
  <c r="AF216" i="13"/>
  <c r="AP56" i="11"/>
  <c r="AP82" i="11" s="1"/>
  <c r="U277" i="13"/>
  <c r="AF58" i="11" s="1"/>
  <c r="AF84" i="11" s="1"/>
  <c r="AF102" i="11"/>
  <c r="AF115" i="11" s="1"/>
  <c r="X349" i="13"/>
  <c r="AI60" i="11" s="1"/>
  <c r="AI86" i="11" s="1"/>
  <c r="AI105" i="11"/>
  <c r="AI117" i="11" s="1"/>
  <c r="AG96" i="11"/>
  <c r="AG114" i="11" s="1"/>
  <c r="V240" i="13"/>
  <c r="AG57" i="11" s="1"/>
  <c r="AG83" i="11" s="1"/>
  <c r="U149" i="13"/>
  <c r="AF94" i="11"/>
  <c r="AF112" i="11" s="1"/>
  <c r="AD131" i="11"/>
  <c r="AD132" i="11" s="1"/>
  <c r="AG199" i="11"/>
  <c r="AG92" i="11"/>
  <c r="AQ267" i="11"/>
  <c r="AD189" i="11"/>
  <c r="AD191" i="11"/>
  <c r="AP269" i="11"/>
  <c r="AK262" i="11"/>
  <c r="AG102" i="13"/>
  <c r="AG103" i="13"/>
  <c r="AG104" i="13"/>
  <c r="AC136" i="11"/>
  <c r="AC164" i="11" s="1"/>
  <c r="AC277" i="11" s="1"/>
  <c r="AD133" i="11"/>
  <c r="AD135" i="11" s="1"/>
  <c r="AR265" i="11"/>
  <c r="AL258" i="11"/>
  <c r="AM257" i="11"/>
  <c r="AM254" i="11"/>
  <c r="AM255" i="11"/>
  <c r="AM256" i="11"/>
  <c r="AN250" i="11"/>
  <c r="AN252" i="11"/>
  <c r="AN251" i="11"/>
  <c r="AB274" i="11"/>
  <c r="AE260" i="11"/>
  <c r="AE261" i="11" s="1"/>
  <c r="AB197" i="11"/>
  <c r="AA79" i="11"/>
  <c r="Z61" i="11"/>
  <c r="Z87" i="11" s="1"/>
  <c r="AC194" i="11"/>
  <c r="AC195" i="11"/>
  <c r="AC196" i="11"/>
  <c r="AC193" i="11"/>
  <c r="Y160" i="11"/>
  <c r="Y118" i="11"/>
  <c r="Y119" i="11" s="1"/>
  <c r="AE186" i="11"/>
  <c r="AE189" i="11" s="1"/>
  <c r="AB163" i="11"/>
  <c r="AB276" i="11" s="1"/>
  <c r="AB162" i="11"/>
  <c r="AB275" i="11" s="1"/>
  <c r="AC138" i="11"/>
  <c r="AC139" i="11" s="1"/>
  <c r="AC161" i="11" s="1"/>
  <c r="AC132" i="11"/>
  <c r="AC127" i="11"/>
  <c r="S65" i="13"/>
  <c r="AG128" i="13"/>
  <c r="AG214" i="13" s="1"/>
  <c r="AR113" i="11" s="1"/>
  <c r="AG127" i="13"/>
  <c r="AG147" i="13" s="1"/>
  <c r="V50" i="13"/>
  <c r="W140" i="13"/>
  <c r="V144" i="13"/>
  <c r="V148" i="13" s="1"/>
  <c r="AE114" i="13"/>
  <c r="AE119" i="13" s="1"/>
  <c r="AF111" i="13"/>
  <c r="AF110" i="13"/>
  <c r="AF108" i="13"/>
  <c r="AF109" i="13"/>
  <c r="AG265" i="13"/>
  <c r="AG266" i="13" s="1"/>
  <c r="AH48" i="13"/>
  <c r="AS176" i="11" s="1"/>
  <c r="AS182" i="11"/>
  <c r="AH47" i="13"/>
  <c r="AG229" i="13"/>
  <c r="AG235" i="13" s="1"/>
  <c r="AG238" i="13" s="1"/>
  <c r="Y248" i="13"/>
  <c r="V261" i="13"/>
  <c r="V276" i="13" s="1"/>
  <c r="W246" i="13"/>
  <c r="X39" i="13"/>
  <c r="X70" i="13" s="1"/>
  <c r="X23" i="13"/>
  <c r="W222" i="13"/>
  <c r="W224" i="13" s="1"/>
  <c r="W239" i="13" s="1"/>
  <c r="S31" i="13"/>
  <c r="T30" i="13"/>
  <c r="T27" i="13"/>
  <c r="AE124" i="11" s="1"/>
  <c r="T29" i="13"/>
  <c r="AE128" i="11" s="1"/>
  <c r="AF93" i="11"/>
  <c r="AF110" i="11" s="1"/>
  <c r="U24" i="13"/>
  <c r="U28" i="13" s="1"/>
  <c r="AF137" i="11" s="1"/>
  <c r="AH14" i="13"/>
  <c r="AH228" i="13" s="1"/>
  <c r="AE126" i="11" l="1"/>
  <c r="AP259" i="11"/>
  <c r="AE121" i="13"/>
  <c r="U55" i="13"/>
  <c r="T61" i="13"/>
  <c r="T60" i="13"/>
  <c r="T62" i="13"/>
  <c r="T59" i="13"/>
  <c r="U54" i="13"/>
  <c r="U53" i="13"/>
  <c r="AA201" i="11"/>
  <c r="AS173" i="11"/>
  <c r="AS175" i="11" s="1"/>
  <c r="AC109" i="11"/>
  <c r="R71" i="13"/>
  <c r="AG179" i="11"/>
  <c r="AG181" i="11" s="1"/>
  <c r="V49" i="13"/>
  <c r="AG185" i="11" s="1"/>
  <c r="AB200" i="11"/>
  <c r="AB273" i="11" s="1"/>
  <c r="AE131" i="11"/>
  <c r="AE54" i="11"/>
  <c r="AE80" i="11" s="1"/>
  <c r="AG216" i="13"/>
  <c r="AQ56" i="11"/>
  <c r="AQ82" i="11" s="1"/>
  <c r="AC198" i="11"/>
  <c r="AF55" i="11"/>
  <c r="AF81" i="11" s="1"/>
  <c r="V277" i="13"/>
  <c r="AG58" i="11" s="1"/>
  <c r="AG84" i="11" s="1"/>
  <c r="AG102" i="11"/>
  <c r="AG115" i="11" s="1"/>
  <c r="Y349" i="13"/>
  <c r="AJ60" i="11" s="1"/>
  <c r="AJ86" i="11" s="1"/>
  <c r="AJ105" i="11"/>
  <c r="AJ117" i="11" s="1"/>
  <c r="AH96" i="11"/>
  <c r="AH114" i="11" s="1"/>
  <c r="W240" i="13"/>
  <c r="AH57" i="11" s="1"/>
  <c r="AH83" i="11" s="1"/>
  <c r="V149" i="13"/>
  <c r="AG94" i="11"/>
  <c r="AG112" i="11" s="1"/>
  <c r="AH199" i="11"/>
  <c r="AH92" i="11"/>
  <c r="AR267" i="11"/>
  <c r="AR268" i="11" s="1"/>
  <c r="AE190" i="11"/>
  <c r="AE191" i="11"/>
  <c r="AL262" i="11"/>
  <c r="AH104" i="13"/>
  <c r="AH103" i="13"/>
  <c r="AD136" i="11"/>
  <c r="AD164" i="11" s="1"/>
  <c r="AD277" i="11" s="1"/>
  <c r="AQ268" i="11"/>
  <c r="AE133" i="11"/>
  <c r="AE135" i="11" s="1"/>
  <c r="AS265" i="11"/>
  <c r="AM258" i="11"/>
  <c r="AN255" i="11"/>
  <c r="AN256" i="11"/>
  <c r="AN257" i="11"/>
  <c r="AN254" i="11"/>
  <c r="AO250" i="11"/>
  <c r="AO252" i="11"/>
  <c r="AO251" i="11"/>
  <c r="Z281" i="11"/>
  <c r="AC274" i="11"/>
  <c r="AF260" i="11"/>
  <c r="AF261" i="11" s="1"/>
  <c r="AC197" i="11"/>
  <c r="S69" i="13"/>
  <c r="AA61" i="11"/>
  <c r="AA87" i="11" s="1"/>
  <c r="AD196" i="11"/>
  <c r="AD195" i="11"/>
  <c r="AD194" i="11"/>
  <c r="AD193" i="11"/>
  <c r="Z106" i="11"/>
  <c r="AB79" i="11"/>
  <c r="AF186" i="11"/>
  <c r="AF191" i="11" s="1"/>
  <c r="AC163" i="11"/>
  <c r="AC276" i="11" s="1"/>
  <c r="AC162" i="11"/>
  <c r="AC275" i="11" s="1"/>
  <c r="AD163" i="11"/>
  <c r="AD276" i="11" s="1"/>
  <c r="AD162" i="11"/>
  <c r="AD275" i="11" s="1"/>
  <c r="AD138" i="11"/>
  <c r="AD139" i="11" s="1"/>
  <c r="AD161" i="11" s="1"/>
  <c r="AD127" i="11"/>
  <c r="AH102" i="13"/>
  <c r="AH127" i="13"/>
  <c r="AH147" i="13" s="1"/>
  <c r="AH128" i="13"/>
  <c r="AH214" i="13" s="1"/>
  <c r="AS113" i="11" s="1"/>
  <c r="W50" i="13"/>
  <c r="X140" i="13"/>
  <c r="W144" i="13"/>
  <c r="W148" i="13" s="1"/>
  <c r="AF114" i="13"/>
  <c r="AF119" i="13" s="1"/>
  <c r="AG110" i="13"/>
  <c r="AG109" i="13"/>
  <c r="AG111" i="13"/>
  <c r="AG108" i="13"/>
  <c r="AH265" i="13"/>
  <c r="AH266" i="13" s="1"/>
  <c r="AH229" i="13"/>
  <c r="AH235" i="13" s="1"/>
  <c r="AH238" i="13" s="1"/>
  <c r="Z248" i="13"/>
  <c r="W261" i="13"/>
  <c r="W276" i="13" s="1"/>
  <c r="X246" i="13"/>
  <c r="Y39" i="13"/>
  <c r="Y70" i="13" s="1"/>
  <c r="T31" i="13"/>
  <c r="X222" i="13"/>
  <c r="X224" i="13" s="1"/>
  <c r="X239" i="13" s="1"/>
  <c r="Y23" i="13"/>
  <c r="AG93" i="11"/>
  <c r="AG110" i="11" s="1"/>
  <c r="V24" i="13"/>
  <c r="V28" i="13" s="1"/>
  <c r="AG137" i="11" s="1"/>
  <c r="U30" i="13"/>
  <c r="U27" i="13"/>
  <c r="AF124" i="11" s="1"/>
  <c r="U29" i="13"/>
  <c r="AF128" i="11" s="1"/>
  <c r="AF126" i="11" l="1"/>
  <c r="U62" i="13"/>
  <c r="AQ259" i="11"/>
  <c r="AF121" i="13"/>
  <c r="U60" i="13"/>
  <c r="T65" i="13"/>
  <c r="T69" i="13" s="1"/>
  <c r="U61" i="13"/>
  <c r="U59" i="13"/>
  <c r="V53" i="13"/>
  <c r="V55" i="13"/>
  <c r="V54" i="13"/>
  <c r="AF131" i="11"/>
  <c r="AB201" i="11"/>
  <c r="AD109" i="11"/>
  <c r="S71" i="13"/>
  <c r="AH179" i="11"/>
  <c r="AH181" i="11" s="1"/>
  <c r="W49" i="13"/>
  <c r="AH185" i="11" s="1"/>
  <c r="AC200" i="11"/>
  <c r="AC273" i="11" s="1"/>
  <c r="AD198" i="11"/>
  <c r="AF54" i="11"/>
  <c r="AF80" i="11" s="1"/>
  <c r="AR56" i="11"/>
  <c r="AR82" i="11" s="1"/>
  <c r="AC53" i="11"/>
  <c r="AC79" i="11" s="1"/>
  <c r="AG55" i="11"/>
  <c r="AG81" i="11" s="1"/>
  <c r="AH216" i="13"/>
  <c r="W277" i="13"/>
  <c r="AH58" i="11" s="1"/>
  <c r="AH84" i="11" s="1"/>
  <c r="AH102" i="11"/>
  <c r="AH115" i="11" s="1"/>
  <c r="Z349" i="13"/>
  <c r="AK60" i="11" s="1"/>
  <c r="AK86" i="11" s="1"/>
  <c r="AK105" i="11"/>
  <c r="AK117" i="11" s="1"/>
  <c r="W149" i="13"/>
  <c r="AH94" i="11"/>
  <c r="AH112" i="11" s="1"/>
  <c r="AI96" i="11"/>
  <c r="AI114" i="11" s="1"/>
  <c r="X240" i="13"/>
  <c r="AI57" i="11" s="1"/>
  <c r="AI83" i="11" s="1"/>
  <c r="AI199" i="11"/>
  <c r="AI92" i="11"/>
  <c r="AS267" i="11"/>
  <c r="AS268" i="11" s="1"/>
  <c r="B154" i="11"/>
  <c r="AF190" i="11"/>
  <c r="AF189" i="11"/>
  <c r="AQ269" i="11"/>
  <c r="AR269" i="11"/>
  <c r="AM262" i="11"/>
  <c r="AE136" i="11"/>
  <c r="AE164" i="11" s="1"/>
  <c r="AE277" i="11" s="1"/>
  <c r="AF133" i="11"/>
  <c r="AF135" i="11" s="1"/>
  <c r="AN258" i="11"/>
  <c r="AO255" i="11"/>
  <c r="AO257" i="11"/>
  <c r="AO254" i="11"/>
  <c r="AO256" i="11"/>
  <c r="AP251" i="11"/>
  <c r="AP250" i="11"/>
  <c r="AP252" i="11"/>
  <c r="AA281" i="11"/>
  <c r="AD274" i="11"/>
  <c r="AG260" i="11"/>
  <c r="AG261" i="11" s="1"/>
  <c r="Z160" i="11"/>
  <c r="Z118" i="11"/>
  <c r="Z119" i="11" s="1"/>
  <c r="AA106" i="11"/>
  <c r="AE194" i="11"/>
  <c r="AE195" i="11"/>
  <c r="AE196" i="11"/>
  <c r="AE193" i="11"/>
  <c r="AB61" i="11"/>
  <c r="AB87" i="11" s="1"/>
  <c r="AD197" i="11"/>
  <c r="AG186" i="11"/>
  <c r="AG191" i="11" s="1"/>
  <c r="AE138" i="11"/>
  <c r="AE139" i="11" s="1"/>
  <c r="AE161" i="11" s="1"/>
  <c r="AE132" i="11"/>
  <c r="AE127" i="11"/>
  <c r="X50" i="13"/>
  <c r="Y140" i="13"/>
  <c r="X144" i="13"/>
  <c r="X148" i="13" s="1"/>
  <c r="AG114" i="13"/>
  <c r="AG119" i="13" s="1"/>
  <c r="AH109" i="13"/>
  <c r="AH110" i="13"/>
  <c r="AH108" i="13"/>
  <c r="AH111" i="13"/>
  <c r="AA248" i="13"/>
  <c r="X261" i="13"/>
  <c r="X276" i="13" s="1"/>
  <c r="Y246" i="13"/>
  <c r="Z39" i="13"/>
  <c r="Z70" i="13" s="1"/>
  <c r="Y222" i="13"/>
  <c r="Y224" i="13" s="1"/>
  <c r="Y239" i="13" s="1"/>
  <c r="Z23" i="13"/>
  <c r="U31" i="13"/>
  <c r="V30" i="13"/>
  <c r="V27" i="13"/>
  <c r="AG124" i="11" s="1"/>
  <c r="AG126" i="11" s="1"/>
  <c r="V29" i="13"/>
  <c r="AG128" i="11" s="1"/>
  <c r="AH93" i="11"/>
  <c r="AH110" i="11" s="1"/>
  <c r="W24" i="13"/>
  <c r="W28" i="13" s="1"/>
  <c r="AH137" i="11" s="1"/>
  <c r="AR259" i="11" l="1"/>
  <c r="AG121" i="13"/>
  <c r="AG131" i="11"/>
  <c r="U65" i="13"/>
  <c r="U69" i="13" s="1"/>
  <c r="V60" i="13"/>
  <c r="V62" i="13"/>
  <c r="V59" i="13"/>
  <c r="V61" i="13"/>
  <c r="W55" i="13"/>
  <c r="AI179" i="11"/>
  <c r="AI181" i="11" s="1"/>
  <c r="X49" i="13"/>
  <c r="AI185" i="11" s="1"/>
  <c r="W54" i="13"/>
  <c r="AE109" i="11"/>
  <c r="T71" i="13"/>
  <c r="AE53" i="11" s="1"/>
  <c r="W53" i="13"/>
  <c r="AC201" i="11"/>
  <c r="AD200" i="11"/>
  <c r="AD273" i="11" s="1"/>
  <c r="AC61" i="11"/>
  <c r="AC87" i="11" s="1"/>
  <c r="AS56" i="11"/>
  <c r="AS82" i="11" s="1"/>
  <c r="AE198" i="11"/>
  <c r="AG54" i="11"/>
  <c r="AG80" i="11" s="1"/>
  <c r="AD53" i="11"/>
  <c r="AD79" i="11" s="1"/>
  <c r="AH55" i="11"/>
  <c r="AH81" i="11" s="1"/>
  <c r="AA349" i="13"/>
  <c r="AL60" i="11" s="1"/>
  <c r="AL86" i="11" s="1"/>
  <c r="AL105" i="11"/>
  <c r="AL117" i="11" s="1"/>
  <c r="X277" i="13"/>
  <c r="AI58" i="11" s="1"/>
  <c r="AI84" i="11" s="1"/>
  <c r="AI102" i="11"/>
  <c r="AI115" i="11" s="1"/>
  <c r="AJ96" i="11"/>
  <c r="AJ114" i="11" s="1"/>
  <c r="Y240" i="13"/>
  <c r="AJ57" i="11" s="1"/>
  <c r="AJ83" i="11" s="1"/>
  <c r="X149" i="13"/>
  <c r="AI94" i="11"/>
  <c r="AI112" i="11" s="1"/>
  <c r="AJ199" i="11"/>
  <c r="AJ92" i="11"/>
  <c r="AG189" i="11"/>
  <c r="AG190" i="11"/>
  <c r="AS269" i="11"/>
  <c r="AN262" i="11"/>
  <c r="AF136" i="11"/>
  <c r="AF164" i="11" s="1"/>
  <c r="AF277" i="11" s="1"/>
  <c r="AG133" i="11"/>
  <c r="AG135" i="11" s="1"/>
  <c r="AG136" i="11" s="1"/>
  <c r="AG164" i="11" s="1"/>
  <c r="AG277" i="11" s="1"/>
  <c r="AO258" i="11"/>
  <c r="AP257" i="11"/>
  <c r="AP254" i="11"/>
  <c r="AP256" i="11"/>
  <c r="AQ252" i="11"/>
  <c r="AQ250" i="11"/>
  <c r="AQ251" i="11"/>
  <c r="AP255" i="11"/>
  <c r="AB281" i="11"/>
  <c r="AE274" i="11"/>
  <c r="AH260" i="11"/>
  <c r="AH261" i="11" s="1"/>
  <c r="AE197" i="11"/>
  <c r="AF196" i="11"/>
  <c r="AF194" i="11"/>
  <c r="AF195" i="11"/>
  <c r="AC106" i="11"/>
  <c r="AB106" i="11"/>
  <c r="AA160" i="11"/>
  <c r="AA118" i="11"/>
  <c r="AA119" i="11" s="1"/>
  <c r="AF193" i="11"/>
  <c r="AH186" i="11"/>
  <c r="AE163" i="11"/>
  <c r="AE276" i="11" s="1"/>
  <c r="AE162" i="11"/>
  <c r="AE275" i="11" s="1"/>
  <c r="AF138" i="11"/>
  <c r="AF139" i="11" s="1"/>
  <c r="AF161" i="11" s="1"/>
  <c r="AF132" i="11"/>
  <c r="AF127" i="11"/>
  <c r="Y50" i="13"/>
  <c r="Z140" i="13"/>
  <c r="Y144" i="13"/>
  <c r="Y148" i="13" s="1"/>
  <c r="AH114" i="13"/>
  <c r="AH119" i="13" s="1"/>
  <c r="AB248" i="13"/>
  <c r="Y261" i="13"/>
  <c r="Y276" i="13" s="1"/>
  <c r="Z246" i="13"/>
  <c r="AA39" i="13"/>
  <c r="AA70" i="13" s="1"/>
  <c r="Z222" i="13"/>
  <c r="Z224" i="13" s="1"/>
  <c r="Z239" i="13" s="1"/>
  <c r="AA23" i="13"/>
  <c r="V31" i="13"/>
  <c r="AI93" i="11"/>
  <c r="AI110" i="11" s="1"/>
  <c r="X24" i="13"/>
  <c r="X28" i="13" s="1"/>
  <c r="AI137" i="11" s="1"/>
  <c r="W30" i="13"/>
  <c r="W27" i="13"/>
  <c r="AH124" i="11" s="1"/>
  <c r="AH126" i="11" s="1"/>
  <c r="W29" i="13"/>
  <c r="AH128" i="11" s="1"/>
  <c r="AS259" i="11" l="1"/>
  <c r="AH121" i="13"/>
  <c r="AH131" i="11"/>
  <c r="X54" i="13"/>
  <c r="X53" i="13"/>
  <c r="X55" i="13"/>
  <c r="V65" i="13"/>
  <c r="V69" i="13" s="1"/>
  <c r="W61" i="13"/>
  <c r="W60" i="13"/>
  <c r="W59" i="13"/>
  <c r="W62" i="13"/>
  <c r="AF109" i="11"/>
  <c r="U71" i="13"/>
  <c r="AJ179" i="11"/>
  <c r="Y49" i="13"/>
  <c r="AJ185" i="11" s="1"/>
  <c r="AC281" i="11"/>
  <c r="AE200" i="11"/>
  <c r="AE273" i="11" s="1"/>
  <c r="AD61" i="11"/>
  <c r="AD87" i="11" s="1"/>
  <c r="AD201" i="11"/>
  <c r="AH54" i="11"/>
  <c r="AH80" i="11" s="1"/>
  <c r="AF198" i="11"/>
  <c r="AJ181" i="11"/>
  <c r="AI55" i="11"/>
  <c r="AI81" i="11" s="1"/>
  <c r="AB349" i="13"/>
  <c r="AM60" i="11" s="1"/>
  <c r="AM86" i="11" s="1"/>
  <c r="AM105" i="11"/>
  <c r="AM117" i="11" s="1"/>
  <c r="Y277" i="13"/>
  <c r="AJ58" i="11" s="1"/>
  <c r="AJ84" i="11" s="1"/>
  <c r="AJ102" i="11"/>
  <c r="AJ115" i="11" s="1"/>
  <c r="Y149" i="13"/>
  <c r="AJ94" i="11"/>
  <c r="AJ112" i="11" s="1"/>
  <c r="AK96" i="11"/>
  <c r="AK114" i="11" s="1"/>
  <c r="Z240" i="13"/>
  <c r="AK57" i="11" s="1"/>
  <c r="AK83" i="11" s="1"/>
  <c r="AK199" i="11"/>
  <c r="AK92" i="11"/>
  <c r="AH189" i="11"/>
  <c r="AH190" i="11"/>
  <c r="AH191" i="11"/>
  <c r="AO262" i="11"/>
  <c r="AH133" i="11"/>
  <c r="AH135" i="11" s="1"/>
  <c r="AP258" i="11"/>
  <c r="AQ254" i="11"/>
  <c r="AQ255" i="11"/>
  <c r="AQ256" i="11"/>
  <c r="AR250" i="11"/>
  <c r="AR252" i="11"/>
  <c r="AR251" i="11"/>
  <c r="AQ257" i="11"/>
  <c r="AG194" i="11"/>
  <c r="AF274" i="11"/>
  <c r="AI260" i="11"/>
  <c r="AI261" i="11" s="1"/>
  <c r="AG193" i="11"/>
  <c r="AF197" i="11"/>
  <c r="AE79" i="11"/>
  <c r="AG196" i="11"/>
  <c r="AB160" i="11"/>
  <c r="AB118" i="11"/>
  <c r="AB119" i="11" s="1"/>
  <c r="AG195" i="11"/>
  <c r="AC160" i="11"/>
  <c r="AC118" i="11"/>
  <c r="AC119" i="11" s="1"/>
  <c r="AD106" i="11"/>
  <c r="AI186" i="11"/>
  <c r="AF163" i="11"/>
  <c r="AF276" i="11" s="1"/>
  <c r="AF162" i="11"/>
  <c r="AF275" i="11" s="1"/>
  <c r="AG138" i="11"/>
  <c r="AG139" i="11" s="1"/>
  <c r="AG161" i="11" s="1"/>
  <c r="AG132" i="11"/>
  <c r="AG127" i="11"/>
  <c r="Z50" i="13"/>
  <c r="AA140" i="13"/>
  <c r="Z144" i="13"/>
  <c r="Z148" i="13" s="1"/>
  <c r="AC248" i="13"/>
  <c r="Z261" i="13"/>
  <c r="Z276" i="13" s="1"/>
  <c r="AA246" i="13"/>
  <c r="AB39" i="13"/>
  <c r="AB70" i="13" s="1"/>
  <c r="AB23" i="13"/>
  <c r="AA222" i="13"/>
  <c r="AA224" i="13" s="1"/>
  <c r="AA239" i="13" s="1"/>
  <c r="W31" i="13"/>
  <c r="AJ93" i="11"/>
  <c r="AJ110" i="11" s="1"/>
  <c r="Y24" i="13"/>
  <c r="Y28" i="13" s="1"/>
  <c r="AJ137" i="11" s="1"/>
  <c r="X30" i="13"/>
  <c r="X27" i="13"/>
  <c r="AI124" i="11" s="1"/>
  <c r="AI126" i="11" s="1"/>
  <c r="X29" i="13"/>
  <c r="AI128" i="11" s="1"/>
  <c r="AI131" i="11" l="1"/>
  <c r="X59" i="13"/>
  <c r="X61" i="13"/>
  <c r="X60" i="13"/>
  <c r="X62" i="13"/>
  <c r="W65" i="13"/>
  <c r="W69" i="13" s="1"/>
  <c r="Y54" i="13"/>
  <c r="Y53" i="13"/>
  <c r="Y55" i="13"/>
  <c r="AK179" i="11"/>
  <c r="AK181" i="11" s="1"/>
  <c r="Z49" i="13"/>
  <c r="AK185" i="11" s="1"/>
  <c r="AG109" i="11"/>
  <c r="V71" i="13"/>
  <c r="AG53" i="11" s="1"/>
  <c r="AD281" i="11"/>
  <c r="AE201" i="11"/>
  <c r="AF200" i="11"/>
  <c r="AF273" i="11" s="1"/>
  <c r="AF53" i="11"/>
  <c r="AF79" i="11" s="1"/>
  <c r="AG198" i="11"/>
  <c r="AI54" i="11"/>
  <c r="AI80" i="11" s="1"/>
  <c r="AJ55" i="11"/>
  <c r="AJ81" i="11" s="1"/>
  <c r="Z277" i="13"/>
  <c r="AK58" i="11" s="1"/>
  <c r="AK84" i="11" s="1"/>
  <c r="AK102" i="11"/>
  <c r="AK115" i="11" s="1"/>
  <c r="AC349" i="13"/>
  <c r="AN60" i="11" s="1"/>
  <c r="AN86" i="11" s="1"/>
  <c r="AN105" i="11"/>
  <c r="AN117" i="11" s="1"/>
  <c r="AL96" i="11"/>
  <c r="AL114" i="11" s="1"/>
  <c r="AA240" i="13"/>
  <c r="AL57" i="11" s="1"/>
  <c r="AL83" i="11" s="1"/>
  <c r="Z149" i="13"/>
  <c r="AK94" i="11"/>
  <c r="AK112" i="11" s="1"/>
  <c r="AL199" i="11"/>
  <c r="AL92" i="11"/>
  <c r="AH195" i="11"/>
  <c r="AI191" i="11"/>
  <c r="AI189" i="11"/>
  <c r="AI190" i="11"/>
  <c r="AP262" i="11"/>
  <c r="AH136" i="11"/>
  <c r="AH164" i="11" s="1"/>
  <c r="AH277" i="11" s="1"/>
  <c r="AI133" i="11"/>
  <c r="AI135" i="11" s="1"/>
  <c r="AI136" i="11" s="1"/>
  <c r="AI164" i="11" s="1"/>
  <c r="AI277" i="11" s="1"/>
  <c r="AQ258" i="11"/>
  <c r="AR255" i="11"/>
  <c r="AS251" i="11"/>
  <c r="AS250" i="11"/>
  <c r="AS252" i="11"/>
  <c r="AR254" i="11"/>
  <c r="AR256" i="11"/>
  <c r="AR257" i="11"/>
  <c r="AG274" i="11"/>
  <c r="AJ260" i="11"/>
  <c r="AJ261" i="11" s="1"/>
  <c r="AH196" i="11"/>
  <c r="AH193" i="11"/>
  <c r="AH194" i="11"/>
  <c r="AG197" i="11"/>
  <c r="AD160" i="11"/>
  <c r="AD118" i="11"/>
  <c r="AD119" i="11" s="1"/>
  <c r="AE61" i="11"/>
  <c r="AE87" i="11" s="1"/>
  <c r="AJ186" i="11"/>
  <c r="AG163" i="11"/>
  <c r="AG276" i="11" s="1"/>
  <c r="AG162" i="11"/>
  <c r="AG275" i="11" s="1"/>
  <c r="AH132" i="11"/>
  <c r="AH138" i="11"/>
  <c r="AH139" i="11" s="1"/>
  <c r="AH161" i="11" s="1"/>
  <c r="AH127" i="11"/>
  <c r="AA50" i="13"/>
  <c r="AB140" i="13"/>
  <c r="AA144" i="13"/>
  <c r="AA148" i="13" s="1"/>
  <c r="AD248" i="13"/>
  <c r="AA261" i="13"/>
  <c r="AA276" i="13" s="1"/>
  <c r="AB246" i="13"/>
  <c r="AC39" i="13"/>
  <c r="AC70" i="13" s="1"/>
  <c r="AC23" i="13"/>
  <c r="AB222" i="13"/>
  <c r="AB224" i="13" s="1"/>
  <c r="AB239" i="13" s="1"/>
  <c r="AK93" i="11"/>
  <c r="AK110" i="11" s="1"/>
  <c r="Z24" i="13"/>
  <c r="Z28" i="13" s="1"/>
  <c r="AK137" i="11" s="1"/>
  <c r="X31" i="13"/>
  <c r="Y30" i="13"/>
  <c r="Y27" i="13"/>
  <c r="AJ124" i="11" s="1"/>
  <c r="AJ126" i="11" s="1"/>
  <c r="Y29" i="13"/>
  <c r="AJ128" i="11" s="1"/>
  <c r="AJ131" i="11" l="1"/>
  <c r="AJ132" i="11" s="1"/>
  <c r="X65" i="13"/>
  <c r="X69" i="13" s="1"/>
  <c r="Y61" i="13"/>
  <c r="Y62" i="13"/>
  <c r="Y60" i="13"/>
  <c r="Z55" i="13"/>
  <c r="Z54" i="13"/>
  <c r="Z53" i="13"/>
  <c r="AH109" i="11"/>
  <c r="W71" i="13"/>
  <c r="Y59" i="13"/>
  <c r="AL179" i="11"/>
  <c r="AL181" i="11" s="1"/>
  <c r="AA49" i="13"/>
  <c r="AL185" i="11" s="1"/>
  <c r="AF201" i="11"/>
  <c r="AF61" i="11"/>
  <c r="AF87" i="11" s="1"/>
  <c r="AK55" i="11"/>
  <c r="AK81" i="11" s="1"/>
  <c r="AG200" i="11"/>
  <c r="AG273" i="11" s="1"/>
  <c r="AJ54" i="11"/>
  <c r="AJ80" i="11" s="1"/>
  <c r="AH198" i="11"/>
  <c r="AA277" i="13"/>
  <c r="AL58" i="11" s="1"/>
  <c r="AL84" i="11" s="1"/>
  <c r="AL102" i="11"/>
  <c r="AL115" i="11" s="1"/>
  <c r="AD349" i="13"/>
  <c r="AO60" i="11" s="1"/>
  <c r="AO86" i="11" s="1"/>
  <c r="AO105" i="11"/>
  <c r="AO117" i="11" s="1"/>
  <c r="AA149" i="13"/>
  <c r="AL94" i="11"/>
  <c r="AL112" i="11" s="1"/>
  <c r="AM96" i="11"/>
  <c r="AM114" i="11" s="1"/>
  <c r="AB240" i="13"/>
  <c r="AM57" i="11" s="1"/>
  <c r="AM83" i="11" s="1"/>
  <c r="AM199" i="11"/>
  <c r="AM92" i="11"/>
  <c r="AJ189" i="11"/>
  <c r="AJ190" i="11"/>
  <c r="AJ191" i="11"/>
  <c r="AQ262" i="11"/>
  <c r="AJ133" i="11"/>
  <c r="AJ135" i="11" s="1"/>
  <c r="AS254" i="11"/>
  <c r="AS257" i="11"/>
  <c r="AR258" i="11"/>
  <c r="AS255" i="11"/>
  <c r="AS256" i="11"/>
  <c r="AE281" i="11"/>
  <c r="AH274" i="11"/>
  <c r="AK260" i="11"/>
  <c r="AK261" i="11" s="1"/>
  <c r="AH197" i="11"/>
  <c r="AE106" i="11"/>
  <c r="AI195" i="11"/>
  <c r="AI196" i="11"/>
  <c r="AI194" i="11"/>
  <c r="AI193" i="11"/>
  <c r="AF106" i="11"/>
  <c r="AG79" i="11"/>
  <c r="AK186" i="11"/>
  <c r="AH163" i="11"/>
  <c r="AH276" i="11" s="1"/>
  <c r="AH162" i="11"/>
  <c r="AH275" i="11" s="1"/>
  <c r="AI138" i="11"/>
  <c r="AI139" i="11" s="1"/>
  <c r="AI161" i="11" s="1"/>
  <c r="AI132" i="11"/>
  <c r="AI127" i="11"/>
  <c r="AB50" i="13"/>
  <c r="AC140" i="13"/>
  <c r="AB144" i="13"/>
  <c r="AB148" i="13" s="1"/>
  <c r="AE248" i="13"/>
  <c r="AB261" i="13"/>
  <c r="AB276" i="13" s="1"/>
  <c r="AC246" i="13"/>
  <c r="AD39" i="13"/>
  <c r="AD70" i="13" s="1"/>
  <c r="AD23" i="13"/>
  <c r="AC222" i="13"/>
  <c r="AC224" i="13" s="1"/>
  <c r="AC239" i="13" s="1"/>
  <c r="Y31" i="13"/>
  <c r="Z30" i="13"/>
  <c r="Z27" i="13"/>
  <c r="AK124" i="11" s="1"/>
  <c r="AK126" i="11" s="1"/>
  <c r="Z29" i="13"/>
  <c r="AK128" i="11" s="1"/>
  <c r="AL93" i="11"/>
  <c r="AL110" i="11" s="1"/>
  <c r="AA24" i="13"/>
  <c r="AA28" i="13" s="1"/>
  <c r="AL137" i="11" s="1"/>
  <c r="AK131" i="11" l="1"/>
  <c r="AA54" i="13"/>
  <c r="Y65" i="13"/>
  <c r="Y69" i="13" s="1"/>
  <c r="Z59" i="13"/>
  <c r="Z62" i="13"/>
  <c r="Z61" i="13"/>
  <c r="Z60" i="13"/>
  <c r="AA53" i="13"/>
  <c r="AA55" i="13"/>
  <c r="AM179" i="11"/>
  <c r="AM181" i="11" s="1"/>
  <c r="AB49" i="13"/>
  <c r="AM185" i="11" s="1"/>
  <c r="AI109" i="11"/>
  <c r="X71" i="13"/>
  <c r="AF281" i="11"/>
  <c r="AG201" i="11"/>
  <c r="AH200" i="11"/>
  <c r="AH273" i="11" s="1"/>
  <c r="AK54" i="11"/>
  <c r="AK80" i="11" s="1"/>
  <c r="AH53" i="11"/>
  <c r="AH61" i="11" s="1"/>
  <c r="AH87" i="11" s="1"/>
  <c r="AI198" i="11"/>
  <c r="AL55" i="11"/>
  <c r="AL81" i="11" s="1"/>
  <c r="AB277" i="13"/>
  <c r="AM58" i="11" s="1"/>
  <c r="AM84" i="11" s="1"/>
  <c r="AM102" i="11"/>
  <c r="AM115" i="11" s="1"/>
  <c r="AE349" i="13"/>
  <c r="AP60" i="11" s="1"/>
  <c r="AP86" i="11" s="1"/>
  <c r="AP105" i="11"/>
  <c r="AP117" i="11" s="1"/>
  <c r="AB149" i="13"/>
  <c r="AM94" i="11"/>
  <c r="AM112" i="11" s="1"/>
  <c r="AN96" i="11"/>
  <c r="AN114" i="11" s="1"/>
  <c r="AC240" i="13"/>
  <c r="AN57" i="11" s="1"/>
  <c r="AN83" i="11" s="1"/>
  <c r="AN199" i="11"/>
  <c r="AN92" i="11"/>
  <c r="AJ193" i="11"/>
  <c r="AK189" i="11"/>
  <c r="AK191" i="11"/>
  <c r="AK190" i="11"/>
  <c r="AR262" i="11"/>
  <c r="AJ136" i="11"/>
  <c r="AJ164" i="11" s="1"/>
  <c r="AJ277" i="11" s="1"/>
  <c r="AK133" i="11"/>
  <c r="AK135" i="11" s="1"/>
  <c r="AK136" i="11" s="1"/>
  <c r="AK164" i="11" s="1"/>
  <c r="AK277" i="11" s="1"/>
  <c r="AS258" i="11"/>
  <c r="AI274" i="11"/>
  <c r="AJ194" i="11"/>
  <c r="AL260" i="11"/>
  <c r="AL261" i="11" s="1"/>
  <c r="AJ196" i="11"/>
  <c r="AJ195" i="11"/>
  <c r="AF160" i="11"/>
  <c r="AF118" i="11"/>
  <c r="AF119" i="11" s="1"/>
  <c r="AI197" i="11"/>
  <c r="AE160" i="11"/>
  <c r="AE118" i="11"/>
  <c r="AE119" i="11" s="1"/>
  <c r="AG61" i="11"/>
  <c r="AG87" i="11" s="1"/>
  <c r="AL186" i="11"/>
  <c r="AI163" i="11"/>
  <c r="AI276" i="11" s="1"/>
  <c r="AI162" i="11"/>
  <c r="AI275" i="11" s="1"/>
  <c r="AJ163" i="11"/>
  <c r="AJ276" i="11" s="1"/>
  <c r="AJ162" i="11"/>
  <c r="AJ275" i="11" s="1"/>
  <c r="AJ138" i="11"/>
  <c r="AJ139" i="11" s="1"/>
  <c r="AJ161" i="11" s="1"/>
  <c r="AJ127" i="11"/>
  <c r="AC50" i="13"/>
  <c r="AD140" i="13"/>
  <c r="AC144" i="13"/>
  <c r="AC148" i="13" s="1"/>
  <c r="AF248" i="13"/>
  <c r="AC261" i="13"/>
  <c r="AC276" i="13" s="1"/>
  <c r="AD246" i="13"/>
  <c r="AE39" i="13"/>
  <c r="AE70" i="13" s="1"/>
  <c r="AE23" i="13"/>
  <c r="AD222" i="13"/>
  <c r="AD224" i="13" s="1"/>
  <c r="AD239" i="13" s="1"/>
  <c r="AA30" i="13"/>
  <c r="AA29" i="13"/>
  <c r="AL128" i="11" s="1"/>
  <c r="AL131" i="11" s="1"/>
  <c r="AA27" i="13"/>
  <c r="AL124" i="11" s="1"/>
  <c r="AL126" i="11" s="1"/>
  <c r="Z31" i="13"/>
  <c r="AM93" i="11"/>
  <c r="AM110" i="11" s="1"/>
  <c r="AB24" i="13"/>
  <c r="AB28" i="13" s="1"/>
  <c r="AM137" i="11" s="1"/>
  <c r="AA59" i="13" l="1"/>
  <c r="Z65" i="13"/>
  <c r="Z69" i="13" s="1"/>
  <c r="AA60" i="13"/>
  <c r="AA62" i="13"/>
  <c r="AA61" i="13"/>
  <c r="AB55" i="13"/>
  <c r="AB53" i="13"/>
  <c r="AB54" i="13"/>
  <c r="AN179" i="11"/>
  <c r="AN181" i="11" s="1"/>
  <c r="AC49" i="13"/>
  <c r="AN185" i="11" s="1"/>
  <c r="AJ109" i="11"/>
  <c r="Y71" i="13"/>
  <c r="AJ53" i="11" s="1"/>
  <c r="AH201" i="11"/>
  <c r="AI200" i="11"/>
  <c r="AI201" i="11" s="1"/>
  <c r="AI53" i="11"/>
  <c r="AI79" i="11" s="1"/>
  <c r="AH79" i="11"/>
  <c r="AJ198" i="11"/>
  <c r="AL54" i="11"/>
  <c r="AL80" i="11" s="1"/>
  <c r="AM55" i="11"/>
  <c r="AM81" i="11" s="1"/>
  <c r="AF349" i="13"/>
  <c r="AQ60" i="11" s="1"/>
  <c r="AQ86" i="11" s="1"/>
  <c r="AQ105" i="11"/>
  <c r="AQ117" i="11" s="1"/>
  <c r="AC277" i="13"/>
  <c r="AN58" i="11" s="1"/>
  <c r="AN84" i="11" s="1"/>
  <c r="AN102" i="11"/>
  <c r="AN115" i="11" s="1"/>
  <c r="AC149" i="13"/>
  <c r="AN94" i="11"/>
  <c r="AN112" i="11" s="1"/>
  <c r="AO96" i="11"/>
  <c r="AO114" i="11" s="1"/>
  <c r="AD240" i="13"/>
  <c r="AO57" i="11" s="1"/>
  <c r="AO83" i="11" s="1"/>
  <c r="AO199" i="11"/>
  <c r="AO92" i="11"/>
  <c r="AL191" i="11"/>
  <c r="AL190" i="11"/>
  <c r="AL189" i="11"/>
  <c r="AS262" i="11"/>
  <c r="AL133" i="11"/>
  <c r="AL135" i="11" s="1"/>
  <c r="AG281" i="11"/>
  <c r="AH281" i="11"/>
  <c r="AJ274" i="11"/>
  <c r="AM260" i="11"/>
  <c r="AM261" i="11" s="1"/>
  <c r="AJ197" i="11"/>
  <c r="AH106" i="11"/>
  <c r="AG106" i="11"/>
  <c r="AK194" i="11"/>
  <c r="AK195" i="11"/>
  <c r="AK196" i="11"/>
  <c r="AK193" i="11"/>
  <c r="AM186" i="11"/>
  <c r="AL132" i="11"/>
  <c r="AK132" i="11"/>
  <c r="AK138" i="11"/>
  <c r="AK139" i="11" s="1"/>
  <c r="AK161" i="11" s="1"/>
  <c r="AK127" i="11"/>
  <c r="AD50" i="13"/>
  <c r="AE140" i="13"/>
  <c r="AD144" i="13"/>
  <c r="AD148" i="13" s="1"/>
  <c r="AG248" i="13"/>
  <c r="AD261" i="13"/>
  <c r="AD276" i="13" s="1"/>
  <c r="AE246" i="13"/>
  <c r="AF39" i="13"/>
  <c r="AF70" i="13" s="1"/>
  <c r="AA31" i="13"/>
  <c r="AF23" i="13"/>
  <c r="AE222" i="13"/>
  <c r="AE224" i="13" s="1"/>
  <c r="AE239" i="13" s="1"/>
  <c r="AN93" i="11"/>
  <c r="AN110" i="11" s="1"/>
  <c r="AC24" i="13"/>
  <c r="AC28" i="13" s="1"/>
  <c r="AN137" i="11" s="1"/>
  <c r="AB30" i="13"/>
  <c r="AB27" i="13"/>
  <c r="AM124" i="11" s="1"/>
  <c r="AM126" i="11" s="1"/>
  <c r="AB29" i="13"/>
  <c r="AM128" i="11" s="1"/>
  <c r="AM131" i="11" s="1"/>
  <c r="AC54" i="13" l="1"/>
  <c r="AC53" i="13"/>
  <c r="AB61" i="13"/>
  <c r="AA65" i="13"/>
  <c r="AA69" i="13" s="1"/>
  <c r="AC55" i="13"/>
  <c r="AC61" i="13" s="1"/>
  <c r="AB60" i="13"/>
  <c r="AB59" i="13"/>
  <c r="AB62" i="13"/>
  <c r="AO179" i="11"/>
  <c r="AO181" i="11" s="1"/>
  <c r="AD49" i="13"/>
  <c r="AO185" i="11" s="1"/>
  <c r="AK109" i="11"/>
  <c r="Z71" i="13"/>
  <c r="AK53" i="11" s="1"/>
  <c r="AI273" i="11"/>
  <c r="AI61" i="11"/>
  <c r="AI87" i="11" s="1"/>
  <c r="AJ200" i="11"/>
  <c r="AJ273" i="11" s="1"/>
  <c r="AN55" i="11"/>
  <c r="AN81" i="11" s="1"/>
  <c r="AK198" i="11"/>
  <c r="AM54" i="11"/>
  <c r="AM80" i="11" s="1"/>
  <c r="AD277" i="13"/>
  <c r="AO58" i="11" s="1"/>
  <c r="AO84" i="11" s="1"/>
  <c r="AO102" i="11"/>
  <c r="AO115" i="11" s="1"/>
  <c r="AG349" i="13"/>
  <c r="AR60" i="11" s="1"/>
  <c r="AR86" i="11" s="1"/>
  <c r="AR105" i="11"/>
  <c r="AR117" i="11" s="1"/>
  <c r="AP96" i="11"/>
  <c r="AP114" i="11" s="1"/>
  <c r="AE240" i="13"/>
  <c r="AP57" i="11" s="1"/>
  <c r="AP83" i="11" s="1"/>
  <c r="AD149" i="13"/>
  <c r="AO94" i="11"/>
  <c r="AO112" i="11" s="1"/>
  <c r="AP199" i="11"/>
  <c r="AP92" i="11"/>
  <c r="AM189" i="11"/>
  <c r="AM190" i="11"/>
  <c r="AM191" i="11"/>
  <c r="AL136" i="11"/>
  <c r="AL164" i="11" s="1"/>
  <c r="AL277" i="11" s="1"/>
  <c r="AM133" i="11"/>
  <c r="AM135" i="11" s="1"/>
  <c r="AI281" i="11"/>
  <c r="AK274" i="11"/>
  <c r="AN260" i="11"/>
  <c r="AN261" i="11" s="1"/>
  <c r="AJ79" i="11"/>
  <c r="AK197" i="11"/>
  <c r="AI106" i="11"/>
  <c r="AL194" i="11"/>
  <c r="AL195" i="11"/>
  <c r="AL196" i="11"/>
  <c r="AL193" i="11"/>
  <c r="AG160" i="11"/>
  <c r="AG118" i="11"/>
  <c r="AG119" i="11" s="1"/>
  <c r="AH160" i="11"/>
  <c r="AH118" i="11"/>
  <c r="AH119" i="11" s="1"/>
  <c r="AN186" i="11"/>
  <c r="AK163" i="11"/>
  <c r="AK276" i="11" s="1"/>
  <c r="AK162" i="11"/>
  <c r="AK275" i="11" s="1"/>
  <c r="AL163" i="11"/>
  <c r="AL276" i="11" s="1"/>
  <c r="AL162" i="11"/>
  <c r="AL275" i="11" s="1"/>
  <c r="AL138" i="11"/>
  <c r="AL139" i="11" s="1"/>
  <c r="AL161" i="11" s="1"/>
  <c r="AL127" i="11"/>
  <c r="AE50" i="13"/>
  <c r="AF140" i="13"/>
  <c r="AE144" i="13"/>
  <c r="AE148" i="13" s="1"/>
  <c r="AH248" i="13"/>
  <c r="AE261" i="13"/>
  <c r="AE276" i="13" s="1"/>
  <c r="AF246" i="13"/>
  <c r="AG39" i="13"/>
  <c r="AG70" i="13" s="1"/>
  <c r="AH39" i="13"/>
  <c r="AH70" i="13" s="1"/>
  <c r="AG23" i="13"/>
  <c r="AF222" i="13"/>
  <c r="AF224" i="13" s="1"/>
  <c r="AF239" i="13" s="1"/>
  <c r="AO93" i="11"/>
  <c r="AO110" i="11" s="1"/>
  <c r="AD24" i="13"/>
  <c r="AD28" i="13" s="1"/>
  <c r="AO137" i="11" s="1"/>
  <c r="AB31" i="13"/>
  <c r="AC30" i="13"/>
  <c r="AC27" i="13"/>
  <c r="AN124" i="11" s="1"/>
  <c r="AN126" i="11" s="1"/>
  <c r="AC29" i="13"/>
  <c r="AN128" i="11" s="1"/>
  <c r="AN131" i="11" s="1"/>
  <c r="AC60" i="13" l="1"/>
  <c r="AC59" i="13"/>
  <c r="AC62" i="13"/>
  <c r="AD54" i="13"/>
  <c r="AB65" i="13"/>
  <c r="AB69" i="13" s="1"/>
  <c r="AD53" i="13"/>
  <c r="AD55" i="13"/>
  <c r="AL109" i="11"/>
  <c r="AA71" i="13"/>
  <c r="AL53" i="11" s="1"/>
  <c r="AP179" i="11"/>
  <c r="AP181" i="11" s="1"/>
  <c r="AE49" i="13"/>
  <c r="AP185" i="11" s="1"/>
  <c r="AJ201" i="11"/>
  <c r="AK200" i="11"/>
  <c r="AK273" i="11" s="1"/>
  <c r="AO55" i="11"/>
  <c r="AO81" i="11" s="1"/>
  <c r="AL198" i="11"/>
  <c r="AN54" i="11"/>
  <c r="AN80" i="11" s="1"/>
  <c r="AE277" i="13"/>
  <c r="AP58" i="11" s="1"/>
  <c r="AP84" i="11" s="1"/>
  <c r="AP102" i="11"/>
  <c r="AP115" i="11" s="1"/>
  <c r="AH349" i="13"/>
  <c r="AS60" i="11" s="1"/>
  <c r="AS86" i="11" s="1"/>
  <c r="AS105" i="11"/>
  <c r="AS117" i="11" s="1"/>
  <c r="AE149" i="13"/>
  <c r="AP94" i="11"/>
  <c r="AP112" i="11" s="1"/>
  <c r="AQ96" i="11"/>
  <c r="AQ114" i="11" s="1"/>
  <c r="AF240" i="13"/>
  <c r="AQ57" i="11" s="1"/>
  <c r="AQ83" i="11" s="1"/>
  <c r="AQ199" i="11"/>
  <c r="AQ92" i="11"/>
  <c r="AN189" i="11"/>
  <c r="AN191" i="11"/>
  <c r="AN190" i="11"/>
  <c r="AM136" i="11"/>
  <c r="AM164" i="11" s="1"/>
  <c r="AM277" i="11" s="1"/>
  <c r="AN133" i="11"/>
  <c r="AN135" i="11" s="1"/>
  <c r="AL274" i="11"/>
  <c r="AO260" i="11"/>
  <c r="AO261" i="11" s="1"/>
  <c r="AM194" i="11"/>
  <c r="AM193" i="11"/>
  <c r="AL197" i="11"/>
  <c r="AM196" i="11"/>
  <c r="AJ61" i="11"/>
  <c r="AJ87" i="11" s="1"/>
  <c r="AI160" i="11"/>
  <c r="AI118" i="11"/>
  <c r="AI119" i="11" s="1"/>
  <c r="AM195" i="11"/>
  <c r="AK79" i="11"/>
  <c r="AO186" i="11"/>
  <c r="AM138" i="11"/>
  <c r="AM139" i="11" s="1"/>
  <c r="AM161" i="11" s="1"/>
  <c r="AM132" i="11"/>
  <c r="AM127" i="11"/>
  <c r="AF50" i="13"/>
  <c r="AG140" i="13"/>
  <c r="AF144" i="13"/>
  <c r="AF148" i="13" s="1"/>
  <c r="AF261" i="13"/>
  <c r="AF276" i="13" s="1"/>
  <c r="AG246" i="13"/>
  <c r="AG222" i="13"/>
  <c r="AG224" i="13" s="1"/>
  <c r="AG239" i="13" s="1"/>
  <c r="AH23" i="13"/>
  <c r="AH222" i="13" s="1"/>
  <c r="AH224" i="13" s="1"/>
  <c r="AH239" i="13" s="1"/>
  <c r="AC31" i="13"/>
  <c r="AD30" i="13"/>
  <c r="AD29" i="13"/>
  <c r="AO128" i="11" s="1"/>
  <c r="AO131" i="11" s="1"/>
  <c r="AD27" i="13"/>
  <c r="AO124" i="11" s="1"/>
  <c r="AO126" i="11" s="1"/>
  <c r="AP93" i="11"/>
  <c r="AP110" i="11" s="1"/>
  <c r="AE24" i="13"/>
  <c r="AE28" i="13" s="1"/>
  <c r="AP137" i="11" s="1"/>
  <c r="AC65" i="13" l="1"/>
  <c r="AC69" i="13" s="1"/>
  <c r="AD61" i="13"/>
  <c r="AD59" i="13"/>
  <c r="AD60" i="13"/>
  <c r="AD62" i="13"/>
  <c r="AE55" i="13"/>
  <c r="AE54" i="13"/>
  <c r="AQ179" i="11"/>
  <c r="AQ181" i="11" s="1"/>
  <c r="AF49" i="13"/>
  <c r="AQ185" i="11" s="1"/>
  <c r="AE53" i="13"/>
  <c r="AM109" i="11"/>
  <c r="AB71" i="13"/>
  <c r="AM53" i="11" s="1"/>
  <c r="AK201" i="11"/>
  <c r="AL200" i="11"/>
  <c r="AL273" i="11" s="1"/>
  <c r="AM198" i="11"/>
  <c r="AO54" i="11"/>
  <c r="AO80" i="11" s="1"/>
  <c r="AP55" i="11"/>
  <c r="AP81" i="11" s="1"/>
  <c r="AF277" i="13"/>
  <c r="AQ58" i="11" s="1"/>
  <c r="AQ84" i="11" s="1"/>
  <c r="AQ102" i="11"/>
  <c r="AQ115" i="11" s="1"/>
  <c r="AR96" i="11"/>
  <c r="AR114" i="11" s="1"/>
  <c r="AG240" i="13"/>
  <c r="AR57" i="11" s="1"/>
  <c r="AR83" i="11" s="1"/>
  <c r="AS96" i="11"/>
  <c r="AS114" i="11" s="1"/>
  <c r="AH240" i="13"/>
  <c r="AS57" i="11" s="1"/>
  <c r="AS83" i="11" s="1"/>
  <c r="AF149" i="13"/>
  <c r="AQ94" i="11"/>
  <c r="AQ112" i="11" s="1"/>
  <c r="AR199" i="11"/>
  <c r="AR92" i="11"/>
  <c r="AS199" i="11"/>
  <c r="AS92" i="11"/>
  <c r="AO190" i="11"/>
  <c r="AO189" i="11"/>
  <c r="AO191" i="11"/>
  <c r="AN136" i="11"/>
  <c r="AN164" i="11" s="1"/>
  <c r="AN277" i="11" s="1"/>
  <c r="AO133" i="11"/>
  <c r="AO135" i="11" s="1"/>
  <c r="AJ281" i="11"/>
  <c r="AN274" i="11"/>
  <c r="AM274" i="11"/>
  <c r="AP260" i="11"/>
  <c r="AP261" i="11" s="1"/>
  <c r="AM197" i="11"/>
  <c r="AN193" i="11"/>
  <c r="AN195" i="11"/>
  <c r="AN196" i="11"/>
  <c r="AN194" i="11"/>
  <c r="AJ106" i="11"/>
  <c r="AL79" i="11"/>
  <c r="AK61" i="11"/>
  <c r="AK87" i="11" s="1"/>
  <c r="AP186" i="11"/>
  <c r="AM163" i="11"/>
  <c r="AM276" i="11" s="1"/>
  <c r="AM162" i="11"/>
  <c r="AM275" i="11" s="1"/>
  <c r="AO132" i="11"/>
  <c r="AN138" i="11"/>
  <c r="AN139" i="11" s="1"/>
  <c r="AN161" i="11" s="1"/>
  <c r="AN132" i="11"/>
  <c r="AN127" i="11"/>
  <c r="AG50" i="13"/>
  <c r="AH140" i="13"/>
  <c r="AH144" i="13" s="1"/>
  <c r="AH148" i="13" s="1"/>
  <c r="AG144" i="13"/>
  <c r="AG148" i="13" s="1"/>
  <c r="AG261" i="13"/>
  <c r="AG276" i="13" s="1"/>
  <c r="AH246" i="13"/>
  <c r="AD31" i="13"/>
  <c r="AQ93" i="11"/>
  <c r="AQ110" i="11" s="1"/>
  <c r="AF24" i="13"/>
  <c r="AF28" i="13" s="1"/>
  <c r="AQ137" i="11" s="1"/>
  <c r="AE30" i="13"/>
  <c r="AE27" i="13"/>
  <c r="AP124" i="11" s="1"/>
  <c r="AP126" i="11" s="1"/>
  <c r="AE29" i="13"/>
  <c r="AP128" i="11" s="1"/>
  <c r="AP131" i="11" s="1"/>
  <c r="AE62" i="13" l="1"/>
  <c r="AD65" i="13"/>
  <c r="AD69" i="13" s="1"/>
  <c r="AE61" i="13"/>
  <c r="AE59" i="13"/>
  <c r="AE60" i="13"/>
  <c r="AF55" i="13"/>
  <c r="AN109" i="11"/>
  <c r="AC71" i="13"/>
  <c r="AR179" i="11"/>
  <c r="AR181" i="11" s="1"/>
  <c r="AG49" i="13"/>
  <c r="AR185" i="11" s="1"/>
  <c r="AF53" i="13"/>
  <c r="AF54" i="13"/>
  <c r="AL201" i="11"/>
  <c r="AM200" i="11"/>
  <c r="AM273" i="11" s="1"/>
  <c r="AQ55" i="11"/>
  <c r="AQ81" i="11" s="1"/>
  <c r="AP54" i="11"/>
  <c r="AP80" i="11" s="1"/>
  <c r="AN198" i="11"/>
  <c r="AG277" i="13"/>
  <c r="AR58" i="11" s="1"/>
  <c r="AR84" i="11" s="1"/>
  <c r="AR102" i="11"/>
  <c r="AR115" i="11" s="1"/>
  <c r="AG149" i="13"/>
  <c r="AR94" i="11"/>
  <c r="AR112" i="11" s="1"/>
  <c r="AH149" i="13"/>
  <c r="AS94" i="11"/>
  <c r="AS112" i="11" s="1"/>
  <c r="AP190" i="11"/>
  <c r="AP191" i="11"/>
  <c r="AP189" i="11"/>
  <c r="AO136" i="11"/>
  <c r="AO164" i="11" s="1"/>
  <c r="AO277" i="11" s="1"/>
  <c r="AP133" i="11"/>
  <c r="AP135" i="11" s="1"/>
  <c r="AP136" i="11" s="1"/>
  <c r="AP164" i="11" s="1"/>
  <c r="AP277" i="11" s="1"/>
  <c r="AK281" i="11"/>
  <c r="AQ260" i="11"/>
  <c r="AQ261" i="11" s="1"/>
  <c r="AN197" i="11"/>
  <c r="AJ160" i="11"/>
  <c r="AJ118" i="11"/>
  <c r="AJ119" i="11" s="1"/>
  <c r="AM79" i="11"/>
  <c r="AK106" i="11"/>
  <c r="AL61" i="11"/>
  <c r="AL87" i="11" s="1"/>
  <c r="AO194" i="11"/>
  <c r="AO195" i="11"/>
  <c r="AO196" i="11"/>
  <c r="AO193" i="11"/>
  <c r="AQ186" i="11"/>
  <c r="AN163" i="11"/>
  <c r="AN276" i="11" s="1"/>
  <c r="AN162" i="11"/>
  <c r="AN275" i="11" s="1"/>
  <c r="AO163" i="11"/>
  <c r="AO276" i="11" s="1"/>
  <c r="AO162" i="11"/>
  <c r="AO275" i="11" s="1"/>
  <c r="AO138" i="11"/>
  <c r="AO139" i="11" s="1"/>
  <c r="AO161" i="11" s="1"/>
  <c r="AO127" i="11"/>
  <c r="AH50" i="13"/>
  <c r="AH261" i="13"/>
  <c r="AH276" i="13" s="1"/>
  <c r="AR93" i="11"/>
  <c r="AR110" i="11" s="1"/>
  <c r="AG24" i="13"/>
  <c r="AG28" i="13" s="1"/>
  <c r="AR137" i="11" s="1"/>
  <c r="AE31" i="13"/>
  <c r="AF30" i="13"/>
  <c r="AF27" i="13"/>
  <c r="AQ124" i="11" s="1"/>
  <c r="AQ126" i="11" s="1"/>
  <c r="AF29" i="13"/>
  <c r="AQ128" i="11" s="1"/>
  <c r="AQ131" i="11" s="1"/>
  <c r="AE65" i="13" l="1"/>
  <c r="AE69" i="13" s="1"/>
  <c r="AG55" i="13"/>
  <c r="AG54" i="13"/>
  <c r="AG53" i="13"/>
  <c r="AF61" i="13"/>
  <c r="AF59" i="13"/>
  <c r="AF60" i="13"/>
  <c r="AF62" i="13"/>
  <c r="AO109" i="11"/>
  <c r="AD71" i="13"/>
  <c r="AO53" i="11" s="1"/>
  <c r="AS179" i="11"/>
  <c r="AS181" i="11" s="1"/>
  <c r="AH49" i="13"/>
  <c r="AS185" i="11" s="1"/>
  <c r="AM201" i="11"/>
  <c r="AN200" i="11"/>
  <c r="AN273" i="11" s="1"/>
  <c r="AN53" i="11"/>
  <c r="AN79" i="11" s="1"/>
  <c r="AR55" i="11"/>
  <c r="AR81" i="11" s="1"/>
  <c r="AO198" i="11"/>
  <c r="AQ54" i="11"/>
  <c r="AQ80" i="11" s="1"/>
  <c r="AS55" i="11"/>
  <c r="AS81" i="11" s="1"/>
  <c r="AH277" i="13"/>
  <c r="AS58" i="11" s="1"/>
  <c r="AS84" i="11" s="1"/>
  <c r="AS102" i="11"/>
  <c r="AS115" i="11" s="1"/>
  <c r="AQ189" i="11"/>
  <c r="AQ191" i="11"/>
  <c r="AQ190" i="11"/>
  <c r="AQ133" i="11"/>
  <c r="AL281" i="11"/>
  <c r="AO274" i="11"/>
  <c r="AR260" i="11"/>
  <c r="AR261" i="11" s="1"/>
  <c r="AK160" i="11"/>
  <c r="AK118" i="11"/>
  <c r="AK119" i="11" s="1"/>
  <c r="AP194" i="11"/>
  <c r="AP195" i="11"/>
  <c r="AP196" i="11"/>
  <c r="AP193" i="11"/>
  <c r="AO197" i="11"/>
  <c r="AL106" i="11"/>
  <c r="AM61" i="11"/>
  <c r="AM87" i="11" s="1"/>
  <c r="AR186" i="11"/>
  <c r="AQ132" i="11"/>
  <c r="AP138" i="11"/>
  <c r="AP139" i="11" s="1"/>
  <c r="AP161" i="11" s="1"/>
  <c r="AP132" i="11"/>
  <c r="AP127" i="11"/>
  <c r="AS93" i="11"/>
  <c r="AS110" i="11" s="1"/>
  <c r="AH24" i="13"/>
  <c r="AH28" i="13" s="1"/>
  <c r="AS137" i="11" s="1"/>
  <c r="AF31" i="13"/>
  <c r="AG30" i="13"/>
  <c r="AG27" i="13"/>
  <c r="AR124" i="11" s="1"/>
  <c r="AR126" i="11" s="1"/>
  <c r="AG29" i="13"/>
  <c r="AR128" i="11" s="1"/>
  <c r="AR131" i="11" s="1"/>
  <c r="AG62" i="13" l="1"/>
  <c r="AG61" i="13"/>
  <c r="AG59" i="13"/>
  <c r="AG60" i="13"/>
  <c r="AF65" i="13"/>
  <c r="AF69" i="13" s="1"/>
  <c r="AH55" i="13"/>
  <c r="AN201" i="11"/>
  <c r="AH53" i="13"/>
  <c r="AH54" i="13"/>
  <c r="AP109" i="11"/>
  <c r="AE71" i="13"/>
  <c r="AN61" i="11"/>
  <c r="AN87" i="11" s="1"/>
  <c r="AO200" i="11"/>
  <c r="AO273" i="11" s="1"/>
  <c r="AP198" i="11"/>
  <c r="AR54" i="11"/>
  <c r="AR80" i="11" s="1"/>
  <c r="AQ194" i="11"/>
  <c r="AR191" i="11"/>
  <c r="AR189" i="11"/>
  <c r="AR190" i="11"/>
  <c r="AQ135" i="11"/>
  <c r="AR133" i="11"/>
  <c r="AM281" i="11"/>
  <c r="AP274" i="11"/>
  <c r="AS260" i="11"/>
  <c r="AS261" i="11" s="1"/>
  <c r="AP197" i="11"/>
  <c r="AQ193" i="11"/>
  <c r="AQ196" i="11"/>
  <c r="AL160" i="11"/>
  <c r="AL118" i="11"/>
  <c r="AL119" i="11" s="1"/>
  <c r="AN106" i="11"/>
  <c r="AQ195" i="11"/>
  <c r="AM106" i="11"/>
  <c r="AO79" i="11"/>
  <c r="AS186" i="11"/>
  <c r="AP163" i="11"/>
  <c r="AP276" i="11" s="1"/>
  <c r="AP162" i="11"/>
  <c r="AP275" i="11" s="1"/>
  <c r="AQ163" i="11"/>
  <c r="AQ276" i="11" s="1"/>
  <c r="AQ162" i="11"/>
  <c r="AQ275" i="11" s="1"/>
  <c r="AQ127" i="11"/>
  <c r="AG31" i="13"/>
  <c r="AH30" i="13"/>
  <c r="AH27" i="13"/>
  <c r="AS124" i="11" s="1"/>
  <c r="AS126" i="11" s="1"/>
  <c r="AH29" i="13"/>
  <c r="AS128" i="11" s="1"/>
  <c r="AS131" i="11" s="1"/>
  <c r="AG65" i="13" l="1"/>
  <c r="AG69" i="13" s="1"/>
  <c r="AH59" i="13"/>
  <c r="AH60" i="13"/>
  <c r="AH62" i="13"/>
  <c r="AH61" i="13"/>
  <c r="AQ109" i="11"/>
  <c r="AF71" i="13"/>
  <c r="AQ53" i="11" s="1"/>
  <c r="AN281" i="11"/>
  <c r="AO201" i="11"/>
  <c r="AP200" i="11"/>
  <c r="AP273" i="11" s="1"/>
  <c r="AQ198" i="11"/>
  <c r="AP53" i="11"/>
  <c r="AP79" i="11" s="1"/>
  <c r="AS54" i="11"/>
  <c r="AS80" i="11" s="1"/>
  <c r="AS189" i="11"/>
  <c r="AS191" i="11"/>
  <c r="AS190" i="11"/>
  <c r="AR135" i="11"/>
  <c r="AR136" i="11" s="1"/>
  <c r="AR164" i="11" s="1"/>
  <c r="AR277" i="11" s="1"/>
  <c r="AQ136" i="11"/>
  <c r="AQ164" i="11" s="1"/>
  <c r="AQ277" i="11" s="1"/>
  <c r="AQ138" i="11"/>
  <c r="AQ139" i="11" s="1"/>
  <c r="AQ161" i="11" s="1"/>
  <c r="AS133" i="11"/>
  <c r="AQ274" i="11"/>
  <c r="AR193" i="11"/>
  <c r="AM160" i="11"/>
  <c r="AM118" i="11"/>
  <c r="AM119" i="11" s="1"/>
  <c r="AN118" i="11"/>
  <c r="AN119" i="11" s="1"/>
  <c r="AN160" i="11"/>
  <c r="AR196" i="11"/>
  <c r="AR194" i="11"/>
  <c r="AR195" i="11"/>
  <c r="AO61" i="11"/>
  <c r="AO87" i="11" s="1"/>
  <c r="AQ197" i="11"/>
  <c r="AR132" i="11"/>
  <c r="AR127" i="11"/>
  <c r="AH31" i="13"/>
  <c r="AH65" i="13" l="1"/>
  <c r="AH69" i="13" s="1"/>
  <c r="AR109" i="11"/>
  <c r="AG71" i="13"/>
  <c r="AP201" i="11"/>
  <c r="AQ200" i="11"/>
  <c r="AQ273" i="11" s="1"/>
  <c r="AP61" i="11"/>
  <c r="AP87" i="11" s="1"/>
  <c r="AR198" i="11"/>
  <c r="AR138" i="11"/>
  <c r="AR139" i="11" s="1"/>
  <c r="AR161" i="11" s="1"/>
  <c r="AS135" i="11"/>
  <c r="AS136" i="11" s="1"/>
  <c r="AS164" i="11" s="1"/>
  <c r="AS277" i="11" s="1"/>
  <c r="AO281" i="11"/>
  <c r="AR274" i="11"/>
  <c r="AS193" i="11"/>
  <c r="AS195" i="11"/>
  <c r="AS196" i="11"/>
  <c r="AR197" i="11"/>
  <c r="AS194" i="11"/>
  <c r="AP106" i="11"/>
  <c r="AO106" i="11"/>
  <c r="AQ79" i="11"/>
  <c r="AR163" i="11"/>
  <c r="AR276" i="11" s="1"/>
  <c r="AR162" i="11"/>
  <c r="AR275" i="11" s="1"/>
  <c r="AS127" i="11"/>
  <c r="AS132" i="11"/>
  <c r="D247" i="13"/>
  <c r="E247" i="13" s="1"/>
  <c r="AS109" i="11" l="1"/>
  <c r="AH71" i="13"/>
  <c r="AP281" i="11"/>
  <c r="AR200" i="11"/>
  <c r="AR273" i="11" s="1"/>
  <c r="AQ201" i="11"/>
  <c r="AR53" i="11"/>
  <c r="AR79" i="11" s="1"/>
  <c r="AS198" i="11"/>
  <c r="AS138" i="11"/>
  <c r="AS139" i="11" s="1"/>
  <c r="AS161" i="11" s="1"/>
  <c r="AS274" i="11"/>
  <c r="AS197" i="11"/>
  <c r="AO160" i="11"/>
  <c r="AO118" i="11"/>
  <c r="AO119" i="11" s="1"/>
  <c r="AQ61" i="11"/>
  <c r="AQ87" i="11" s="1"/>
  <c r="AP160" i="11"/>
  <c r="AP118" i="11"/>
  <c r="AP119" i="11" s="1"/>
  <c r="AS163" i="11"/>
  <c r="AS276" i="11" s="1"/>
  <c r="AS162" i="11"/>
  <c r="AS275" i="11" s="1"/>
  <c r="F247" i="13"/>
  <c r="E249" i="13"/>
  <c r="D249" i="13"/>
  <c r="D253" i="13" s="1"/>
  <c r="C249" i="13"/>
  <c r="AR201" i="11" l="1"/>
  <c r="AS200" i="11"/>
  <c r="AS273" i="11" s="1"/>
  <c r="AR61" i="11"/>
  <c r="AR87" i="11" s="1"/>
  <c r="AS53" i="11"/>
  <c r="AS61" i="11" s="1"/>
  <c r="AS87" i="11" s="1"/>
  <c r="AQ281" i="11"/>
  <c r="AR106" i="11"/>
  <c r="AQ106" i="11"/>
  <c r="E253" i="13"/>
  <c r="C252" i="13"/>
  <c r="C254" i="13"/>
  <c r="C253" i="13"/>
  <c r="E254" i="13"/>
  <c r="E252" i="13"/>
  <c r="G247" i="13"/>
  <c r="F249" i="13"/>
  <c r="D254" i="13"/>
  <c r="D252" i="13"/>
  <c r="AS201" i="11" l="1"/>
  <c r="AR281" i="11"/>
  <c r="AS79" i="11"/>
  <c r="AS281" i="11"/>
  <c r="AQ160" i="11"/>
  <c r="AQ118" i="11"/>
  <c r="AQ119" i="11" s="1"/>
  <c r="AS106" i="11"/>
  <c r="AR160" i="11"/>
  <c r="AR118" i="11"/>
  <c r="AR119" i="11" s="1"/>
  <c r="P152" i="11"/>
  <c r="P143" i="11"/>
  <c r="P145" i="11" s="1"/>
  <c r="P147" i="11"/>
  <c r="P149" i="11" s="1"/>
  <c r="E255" i="13"/>
  <c r="D255" i="13"/>
  <c r="C255" i="13"/>
  <c r="G249" i="13"/>
  <c r="G253" i="13" s="1"/>
  <c r="R152" i="11" s="1"/>
  <c r="H247" i="13"/>
  <c r="B61" i="11"/>
  <c r="F254" i="13"/>
  <c r="Q147" i="11" s="1"/>
  <c r="F252" i="13"/>
  <c r="Q143" i="11" s="1"/>
  <c r="F253" i="13"/>
  <c r="Q152" i="11" s="1"/>
  <c r="Q145" i="11" l="1"/>
  <c r="Q146" i="11" s="1"/>
  <c r="Q165" i="11" s="1"/>
  <c r="Q278" i="11" s="1"/>
  <c r="Q149" i="11"/>
  <c r="Q150" i="11" s="1"/>
  <c r="Q167" i="11" s="1"/>
  <c r="Q280" i="11" s="1"/>
  <c r="AS160" i="11"/>
  <c r="AS118" i="11"/>
  <c r="AS119" i="11" s="1"/>
  <c r="P146" i="11"/>
  <c r="P153" i="11"/>
  <c r="P150" i="11"/>
  <c r="P167" i="11" s="1"/>
  <c r="P280" i="11" s="1"/>
  <c r="F255" i="13"/>
  <c r="G252" i="13"/>
  <c r="R143" i="11" s="1"/>
  <c r="G254" i="13"/>
  <c r="R147" i="11" s="1"/>
  <c r="H249" i="13"/>
  <c r="I247" i="13"/>
  <c r="P165" i="11" l="1"/>
  <c r="P278" i="11" s="1"/>
  <c r="R145" i="11"/>
  <c r="R146" i="11" s="1"/>
  <c r="R165" i="11" s="1"/>
  <c r="R278" i="11" s="1"/>
  <c r="R149" i="11"/>
  <c r="R150" i="11" s="1"/>
  <c r="R167" i="11" s="1"/>
  <c r="R280" i="11" s="1"/>
  <c r="Q153" i="11"/>
  <c r="Q154" i="11" s="1"/>
  <c r="Q166" i="11" s="1"/>
  <c r="Q279" i="11" s="1"/>
  <c r="P154" i="11"/>
  <c r="G255" i="13"/>
  <c r="H254" i="13"/>
  <c r="S147" i="11" s="1"/>
  <c r="T148" i="11" s="1"/>
  <c r="U148" i="11" s="1"/>
  <c r="V148" i="11" s="1"/>
  <c r="W148" i="11" s="1"/>
  <c r="X148" i="11" s="1"/>
  <c r="Y148" i="11" s="1"/>
  <c r="Z148" i="11" s="1"/>
  <c r="AA148" i="11" s="1"/>
  <c r="AB148" i="11" s="1"/>
  <c r="AC148" i="11" s="1"/>
  <c r="AD148" i="11" s="1"/>
  <c r="AE148" i="11" s="1"/>
  <c r="AF148" i="11" s="1"/>
  <c r="AG148" i="11" s="1"/>
  <c r="AH148" i="11" s="1"/>
  <c r="AI148" i="11" s="1"/>
  <c r="AJ148" i="11" s="1"/>
  <c r="AK148" i="11" s="1"/>
  <c r="AL148" i="11" s="1"/>
  <c r="AM148" i="11" s="1"/>
  <c r="AN148" i="11" s="1"/>
  <c r="AO148" i="11" s="1"/>
  <c r="AP148" i="11" s="1"/>
  <c r="AQ148" i="11" s="1"/>
  <c r="AR148" i="11" s="1"/>
  <c r="AS148" i="11" s="1"/>
  <c r="H252" i="13"/>
  <c r="S143" i="11" s="1"/>
  <c r="T144" i="11" s="1"/>
  <c r="U144" i="11" s="1"/>
  <c r="V144" i="11" s="1"/>
  <c r="W144" i="11" s="1"/>
  <c r="X144" i="11" s="1"/>
  <c r="Y144" i="11" s="1"/>
  <c r="Z144" i="11" s="1"/>
  <c r="AA144" i="11" s="1"/>
  <c r="AB144" i="11" s="1"/>
  <c r="AC144" i="11" s="1"/>
  <c r="AD144" i="11" s="1"/>
  <c r="AE144" i="11" s="1"/>
  <c r="AF144" i="11" s="1"/>
  <c r="AG144" i="11" s="1"/>
  <c r="AH144" i="11" s="1"/>
  <c r="AI144" i="11" s="1"/>
  <c r="AJ144" i="11" s="1"/>
  <c r="AK144" i="11" s="1"/>
  <c r="AL144" i="11" s="1"/>
  <c r="AM144" i="11" s="1"/>
  <c r="AN144" i="11" s="1"/>
  <c r="AO144" i="11" s="1"/>
  <c r="AP144" i="11" s="1"/>
  <c r="AQ144" i="11" s="1"/>
  <c r="AR144" i="11" s="1"/>
  <c r="AS144" i="11" s="1"/>
  <c r="H253" i="13"/>
  <c r="S152" i="11" s="1"/>
  <c r="I249" i="13"/>
  <c r="I253" i="13" s="1"/>
  <c r="T152" i="11" s="1"/>
  <c r="J247" i="13"/>
  <c r="P166" i="11" l="1"/>
  <c r="P279" i="11" s="1"/>
  <c r="P282" i="11" s="1"/>
  <c r="P283" i="11" s="1"/>
  <c r="R153" i="11"/>
  <c r="R154" i="11" s="1"/>
  <c r="R166" i="11" s="1"/>
  <c r="R279" i="11" s="1"/>
  <c r="S145" i="11"/>
  <c r="S149" i="11"/>
  <c r="T149" i="11" s="1"/>
  <c r="U149" i="11" s="1"/>
  <c r="Q168" i="11"/>
  <c r="Q169" i="11" s="1"/>
  <c r="Q282" i="11"/>
  <c r="Q283" i="11" s="1"/>
  <c r="H255" i="13"/>
  <c r="K247" i="13"/>
  <c r="J249" i="13"/>
  <c r="J253" i="13" s="1"/>
  <c r="U152" i="11" s="1"/>
  <c r="I252" i="13"/>
  <c r="T143" i="11" s="1"/>
  <c r="I254" i="13"/>
  <c r="T147" i="11" s="1"/>
  <c r="P168" i="11" l="1"/>
  <c r="P169" i="11" s="1"/>
  <c r="S150" i="11"/>
  <c r="S167" i="11" s="1"/>
  <c r="S280" i="11" s="1"/>
  <c r="T145" i="11"/>
  <c r="T146" i="11" s="1"/>
  <c r="T165" i="11" s="1"/>
  <c r="T278" i="11" s="1"/>
  <c r="S153" i="11"/>
  <c r="S154" i="11" s="1"/>
  <c r="S166" i="11" s="1"/>
  <c r="S279" i="11" s="1"/>
  <c r="S146" i="11"/>
  <c r="S165" i="11" s="1"/>
  <c r="S278" i="11" s="1"/>
  <c r="R168" i="11"/>
  <c r="R169" i="11" s="1"/>
  <c r="R282" i="11"/>
  <c r="R283" i="11" s="1"/>
  <c r="T150" i="11"/>
  <c r="T167" i="11" s="1"/>
  <c r="T280" i="11" s="1"/>
  <c r="I255" i="13"/>
  <c r="J254" i="13"/>
  <c r="U147" i="11" s="1"/>
  <c r="J252" i="13"/>
  <c r="U143" i="11" s="1"/>
  <c r="K249" i="13"/>
  <c r="K253" i="13" s="1"/>
  <c r="V152" i="11" s="1"/>
  <c r="L247" i="13"/>
  <c r="U145" i="11" l="1"/>
  <c r="T153" i="11"/>
  <c r="T154" i="11" s="1"/>
  <c r="T166" i="11" s="1"/>
  <c r="T279" i="11" s="1"/>
  <c r="S168" i="11"/>
  <c r="S169" i="11" s="1"/>
  <c r="S282" i="11"/>
  <c r="S283" i="11" s="1"/>
  <c r="U150" i="11"/>
  <c r="U167" i="11" s="1"/>
  <c r="U280" i="11" s="1"/>
  <c r="J255" i="13"/>
  <c r="L249" i="13"/>
  <c r="M247" i="13"/>
  <c r="K254" i="13"/>
  <c r="V147" i="11" s="1"/>
  <c r="V149" i="11" s="1"/>
  <c r="K252" i="13"/>
  <c r="V143" i="11" s="1"/>
  <c r="V145" i="11" l="1"/>
  <c r="V146" i="11" s="1"/>
  <c r="V165" i="11" s="1"/>
  <c r="V278" i="11" s="1"/>
  <c r="U146" i="11"/>
  <c r="U165" i="11" s="1"/>
  <c r="U278" i="11" s="1"/>
  <c r="U153" i="11"/>
  <c r="U154" i="11" s="1"/>
  <c r="U166" i="11" s="1"/>
  <c r="U279" i="11" s="1"/>
  <c r="T168" i="11"/>
  <c r="T169" i="11" s="1"/>
  <c r="T282" i="11"/>
  <c r="T283" i="11" s="1"/>
  <c r="V150" i="11"/>
  <c r="V167" i="11" s="1"/>
  <c r="V280" i="11" s="1"/>
  <c r="L252" i="13"/>
  <c r="W143" i="11" s="1"/>
  <c r="L254" i="13"/>
  <c r="W147" i="11" s="1"/>
  <c r="W149" i="11" s="1"/>
  <c r="K255" i="13"/>
  <c r="L253" i="13"/>
  <c r="W152" i="11" s="1"/>
  <c r="M249" i="13"/>
  <c r="N247" i="13"/>
  <c r="V153" i="11" l="1"/>
  <c r="V154" i="11" s="1"/>
  <c r="V166" i="11" s="1"/>
  <c r="V279" i="11" s="1"/>
  <c r="W145" i="11"/>
  <c r="X145" i="11" s="1"/>
  <c r="U168" i="11"/>
  <c r="U169" i="11" s="1"/>
  <c r="U282" i="11"/>
  <c r="U283" i="11" s="1"/>
  <c r="W150" i="11"/>
  <c r="W167" i="11" s="1"/>
  <c r="W280" i="11" s="1"/>
  <c r="N249" i="13"/>
  <c r="N253" i="13" s="1"/>
  <c r="Y152" i="11" s="1"/>
  <c r="O247" i="13"/>
  <c r="M254" i="13"/>
  <c r="X147" i="11" s="1"/>
  <c r="X149" i="11" s="1"/>
  <c r="M252" i="13"/>
  <c r="X143" i="11" s="1"/>
  <c r="M253" i="13"/>
  <c r="X152" i="11" s="1"/>
  <c r="L255" i="13"/>
  <c r="W153" i="11" l="1"/>
  <c r="W154" i="11" s="1"/>
  <c r="W166" i="11" s="1"/>
  <c r="W279" i="11" s="1"/>
  <c r="W146" i="11"/>
  <c r="W165" i="11" s="1"/>
  <c r="W278" i="11" s="1"/>
  <c r="V168" i="11"/>
  <c r="V169" i="11" s="1"/>
  <c r="V282" i="11"/>
  <c r="V283" i="11" s="1"/>
  <c r="X146" i="11"/>
  <c r="X165" i="11" s="1"/>
  <c r="X278" i="11" s="1"/>
  <c r="X153" i="11"/>
  <c r="X150" i="11"/>
  <c r="X167" i="11" s="1"/>
  <c r="X280" i="11" s="1"/>
  <c r="O249" i="13"/>
  <c r="P247" i="13"/>
  <c r="N254" i="13"/>
  <c r="Y147" i="11" s="1"/>
  <c r="Y149" i="11" s="1"/>
  <c r="N252" i="13"/>
  <c r="Y143" i="11" s="1"/>
  <c r="Y145" i="11" s="1"/>
  <c r="M255" i="13"/>
  <c r="W168" i="11" l="1"/>
  <c r="W169" i="11" s="1"/>
  <c r="W282" i="11"/>
  <c r="W283" i="11" s="1"/>
  <c r="Y146" i="11"/>
  <c r="Y165" i="11" s="1"/>
  <c r="Y278" i="11" s="1"/>
  <c r="Y153" i="11"/>
  <c r="Y150" i="11"/>
  <c r="Y167" i="11" s="1"/>
  <c r="Y280" i="11" s="1"/>
  <c r="X154" i="11"/>
  <c r="X166" i="11" s="1"/>
  <c r="X279" i="11" s="1"/>
  <c r="N255" i="13"/>
  <c r="P249" i="13"/>
  <c r="Q247" i="13"/>
  <c r="O254" i="13"/>
  <c r="Z147" i="11" s="1"/>
  <c r="Z149" i="11" s="1"/>
  <c r="O252" i="13"/>
  <c r="Z143" i="11" s="1"/>
  <c r="Z145" i="11" s="1"/>
  <c r="O253" i="13"/>
  <c r="Z152" i="11" s="1"/>
  <c r="X168" i="11" l="1"/>
  <c r="X169" i="11" s="1"/>
  <c r="X282" i="11"/>
  <c r="X283" i="11" s="1"/>
  <c r="Z146" i="11"/>
  <c r="Z165" i="11" s="1"/>
  <c r="Z278" i="11" s="1"/>
  <c r="Z153" i="11"/>
  <c r="Z150" i="11"/>
  <c r="Z167" i="11" s="1"/>
  <c r="Z280" i="11" s="1"/>
  <c r="Y154" i="11"/>
  <c r="Y166" i="11" s="1"/>
  <c r="Y279" i="11" s="1"/>
  <c r="Q249" i="13"/>
  <c r="R247" i="13"/>
  <c r="P254" i="13"/>
  <c r="AA147" i="11" s="1"/>
  <c r="AA149" i="11" s="1"/>
  <c r="P252" i="13"/>
  <c r="AA143" i="11" s="1"/>
  <c r="AA145" i="11" s="1"/>
  <c r="O255" i="13"/>
  <c r="P253" i="13"/>
  <c r="AA152" i="11" s="1"/>
  <c r="Y168" i="11" l="1"/>
  <c r="Y169" i="11" s="1"/>
  <c r="Y282" i="11"/>
  <c r="Y283" i="11" s="1"/>
  <c r="AA146" i="11"/>
  <c r="AA165" i="11" s="1"/>
  <c r="AA278" i="11" s="1"/>
  <c r="AA153" i="11"/>
  <c r="AA150" i="11"/>
  <c r="AA167" i="11" s="1"/>
  <c r="AA280" i="11" s="1"/>
  <c r="Z154" i="11"/>
  <c r="Z166" i="11" s="1"/>
  <c r="Z279" i="11" s="1"/>
  <c r="P255" i="13"/>
  <c r="Q252" i="13"/>
  <c r="AB143" i="11" s="1"/>
  <c r="AB145" i="11" s="1"/>
  <c r="Q254" i="13"/>
  <c r="AB147" i="11" s="1"/>
  <c r="AB149" i="11" s="1"/>
  <c r="Q253" i="13"/>
  <c r="AB152" i="11" s="1"/>
  <c r="S247" i="13"/>
  <c r="R249" i="13"/>
  <c r="R253" i="13" s="1"/>
  <c r="AC152" i="11" s="1"/>
  <c r="Z168" i="11" l="1"/>
  <c r="Z169" i="11" s="1"/>
  <c r="Z282" i="11"/>
  <c r="Z283" i="11" s="1"/>
  <c r="AB146" i="11"/>
  <c r="AB165" i="11" s="1"/>
  <c r="AB278" i="11" s="1"/>
  <c r="AB153" i="11"/>
  <c r="AB150" i="11"/>
  <c r="AB167" i="11" s="1"/>
  <c r="AB280" i="11" s="1"/>
  <c r="AA154" i="11"/>
  <c r="AA166" i="11" s="1"/>
  <c r="AA279" i="11" s="1"/>
  <c r="R254" i="13"/>
  <c r="AC147" i="11" s="1"/>
  <c r="AC149" i="11" s="1"/>
  <c r="R252" i="13"/>
  <c r="AC143" i="11" s="1"/>
  <c r="AC145" i="11" s="1"/>
  <c r="T247" i="13"/>
  <c r="S249" i="13"/>
  <c r="Q255" i="13"/>
  <c r="AA168" i="11" l="1"/>
  <c r="AA169" i="11" s="1"/>
  <c r="AA282" i="11"/>
  <c r="AA283" i="11" s="1"/>
  <c r="AC146" i="11"/>
  <c r="AC165" i="11" s="1"/>
  <c r="AC278" i="11" s="1"/>
  <c r="AC153" i="11"/>
  <c r="AC150" i="11"/>
  <c r="AC167" i="11" s="1"/>
  <c r="AC280" i="11" s="1"/>
  <c r="AB154" i="11"/>
  <c r="AB166" i="11" s="1"/>
  <c r="AB279" i="11" s="1"/>
  <c r="R255" i="13"/>
  <c r="S254" i="13"/>
  <c r="AD147" i="11" s="1"/>
  <c r="AD149" i="11" s="1"/>
  <c r="S252" i="13"/>
  <c r="AD143" i="11" s="1"/>
  <c r="AD145" i="11" s="1"/>
  <c r="T249" i="13"/>
  <c r="U247" i="13"/>
  <c r="S253" i="13"/>
  <c r="AD152" i="11" s="1"/>
  <c r="AB168" i="11" l="1"/>
  <c r="AB169" i="11" s="1"/>
  <c r="AB282" i="11"/>
  <c r="AB283" i="11" s="1"/>
  <c r="AD146" i="11"/>
  <c r="AD165" i="11" s="1"/>
  <c r="AD278" i="11" s="1"/>
  <c r="AD153" i="11"/>
  <c r="AC154" i="11"/>
  <c r="AC166" i="11" s="1"/>
  <c r="AC279" i="11" s="1"/>
  <c r="AD150" i="11"/>
  <c r="AD167" i="11" s="1"/>
  <c r="AD280" i="11" s="1"/>
  <c r="U249" i="13"/>
  <c r="V247" i="13"/>
  <c r="S255" i="13"/>
  <c r="T254" i="13"/>
  <c r="AE147" i="11" s="1"/>
  <c r="AE149" i="11" s="1"/>
  <c r="T252" i="13"/>
  <c r="AE143" i="11" s="1"/>
  <c r="AE145" i="11" s="1"/>
  <c r="T253" i="13"/>
  <c r="AE152" i="11" s="1"/>
  <c r="AC168" i="11" l="1"/>
  <c r="AC169" i="11" s="1"/>
  <c r="AC282" i="11"/>
  <c r="AC283" i="11" s="1"/>
  <c r="AE146" i="11"/>
  <c r="AE165" i="11" s="1"/>
  <c r="AE278" i="11" s="1"/>
  <c r="AE153" i="11"/>
  <c r="AE150" i="11"/>
  <c r="AE167" i="11" s="1"/>
  <c r="AE280" i="11" s="1"/>
  <c r="AD154" i="11"/>
  <c r="AD166" i="11" s="1"/>
  <c r="AD279" i="11" s="1"/>
  <c r="T255" i="13"/>
  <c r="U252" i="13"/>
  <c r="AF143" i="11" s="1"/>
  <c r="AF145" i="11" s="1"/>
  <c r="U254" i="13"/>
  <c r="AF147" i="11" s="1"/>
  <c r="AF149" i="11" s="1"/>
  <c r="V249" i="13"/>
  <c r="V253" i="13" s="1"/>
  <c r="AG152" i="11" s="1"/>
  <c r="W247" i="13"/>
  <c r="U253" i="13"/>
  <c r="AF152" i="11" s="1"/>
  <c r="AD168" i="11" l="1"/>
  <c r="AD169" i="11" s="1"/>
  <c r="AD282" i="11"/>
  <c r="AD283" i="11" s="1"/>
  <c r="AF146" i="11"/>
  <c r="AF165" i="11" s="1"/>
  <c r="AF278" i="11" s="1"/>
  <c r="AF153" i="11"/>
  <c r="AF150" i="11"/>
  <c r="AF167" i="11" s="1"/>
  <c r="AF280" i="11" s="1"/>
  <c r="AE154" i="11"/>
  <c r="AE166" i="11" s="1"/>
  <c r="AE279" i="11" s="1"/>
  <c r="U255" i="13"/>
  <c r="V252" i="13"/>
  <c r="AG143" i="11" s="1"/>
  <c r="AG145" i="11" s="1"/>
  <c r="V254" i="13"/>
  <c r="AG147" i="11" s="1"/>
  <c r="AG149" i="11" s="1"/>
  <c r="X247" i="13"/>
  <c r="W249" i="13"/>
  <c r="W253" i="13" s="1"/>
  <c r="AH152" i="11" s="1"/>
  <c r="AE168" i="11" l="1"/>
  <c r="AE169" i="11" s="1"/>
  <c r="AE282" i="11"/>
  <c r="AE283" i="11" s="1"/>
  <c r="AG146" i="11"/>
  <c r="AG165" i="11" s="1"/>
  <c r="AG278" i="11" s="1"/>
  <c r="AG153" i="11"/>
  <c r="AG150" i="11"/>
  <c r="AG167" i="11" s="1"/>
  <c r="AG280" i="11" s="1"/>
  <c r="AF154" i="11"/>
  <c r="AF166" i="11" s="1"/>
  <c r="AF279" i="11" s="1"/>
  <c r="W254" i="13"/>
  <c r="AH147" i="11" s="1"/>
  <c r="AH149" i="11" s="1"/>
  <c r="W252" i="13"/>
  <c r="AH143" i="11" s="1"/>
  <c r="AH145" i="11" s="1"/>
  <c r="V255" i="13"/>
  <c r="Y247" i="13"/>
  <c r="X249" i="13"/>
  <c r="X253" i="13" s="1"/>
  <c r="AI152" i="11" s="1"/>
  <c r="AF168" i="11" l="1"/>
  <c r="AF169" i="11" s="1"/>
  <c r="AF282" i="11"/>
  <c r="AF283" i="11" s="1"/>
  <c r="AH146" i="11"/>
  <c r="AH165" i="11" s="1"/>
  <c r="AH278" i="11" s="1"/>
  <c r="AH153" i="11"/>
  <c r="AH150" i="11"/>
  <c r="AH167" i="11" s="1"/>
  <c r="AH280" i="11" s="1"/>
  <c r="AG154" i="11"/>
  <c r="AG166" i="11" s="1"/>
  <c r="AG279" i="11" s="1"/>
  <c r="W255" i="13"/>
  <c r="Z247" i="13"/>
  <c r="Y249" i="13"/>
  <c r="X254" i="13"/>
  <c r="AI147" i="11" s="1"/>
  <c r="AI149" i="11" s="1"/>
  <c r="X252" i="13"/>
  <c r="AI143" i="11" s="1"/>
  <c r="AI145" i="11" s="1"/>
  <c r="AG168" i="11" l="1"/>
  <c r="AG169" i="11" s="1"/>
  <c r="AG282" i="11"/>
  <c r="AG283" i="11" s="1"/>
  <c r="AI146" i="11"/>
  <c r="AI165" i="11" s="1"/>
  <c r="AI278" i="11" s="1"/>
  <c r="AI153" i="11"/>
  <c r="AH154" i="11"/>
  <c r="AH166" i="11" s="1"/>
  <c r="AH279" i="11" s="1"/>
  <c r="AI150" i="11"/>
  <c r="AI167" i="11" s="1"/>
  <c r="AI280" i="11" s="1"/>
  <c r="X255" i="13"/>
  <c r="Z249" i="13"/>
  <c r="AA247" i="13"/>
  <c r="Y254" i="13"/>
  <c r="AJ147" i="11" s="1"/>
  <c r="AJ149" i="11" s="1"/>
  <c r="Y252" i="13"/>
  <c r="AJ143" i="11" s="1"/>
  <c r="AJ145" i="11" s="1"/>
  <c r="Y253" i="13"/>
  <c r="AJ152" i="11" s="1"/>
  <c r="AH168" i="11" l="1"/>
  <c r="AH169" i="11" s="1"/>
  <c r="AH282" i="11"/>
  <c r="AH283" i="11" s="1"/>
  <c r="AJ146" i="11"/>
  <c r="AJ165" i="11" s="1"/>
  <c r="AJ278" i="11" s="1"/>
  <c r="AJ153" i="11"/>
  <c r="AJ150" i="11"/>
  <c r="AJ167" i="11" s="1"/>
  <c r="AJ280" i="11" s="1"/>
  <c r="AI154" i="11"/>
  <c r="AI166" i="11" s="1"/>
  <c r="AI279" i="11" s="1"/>
  <c r="Z254" i="13"/>
  <c r="AK147" i="11" s="1"/>
  <c r="AK149" i="11" s="1"/>
  <c r="Z252" i="13"/>
  <c r="AK143" i="11" s="1"/>
  <c r="AK145" i="11" s="1"/>
  <c r="AA249" i="13"/>
  <c r="AB247" i="13"/>
  <c r="Y255" i="13"/>
  <c r="Z253" i="13"/>
  <c r="AK152" i="11" s="1"/>
  <c r="AI168" i="11" l="1"/>
  <c r="AI169" i="11" s="1"/>
  <c r="AI282" i="11"/>
  <c r="AI283" i="11" s="1"/>
  <c r="AK150" i="11"/>
  <c r="AK167" i="11" s="1"/>
  <c r="AK280" i="11" s="1"/>
  <c r="AJ154" i="11"/>
  <c r="AJ166" i="11" s="1"/>
  <c r="AJ279" i="11" s="1"/>
  <c r="AB249" i="13"/>
  <c r="AB253" i="13" s="1"/>
  <c r="AM152" i="11" s="1"/>
  <c r="AC247" i="13"/>
  <c r="AA254" i="13"/>
  <c r="AL147" i="11" s="1"/>
  <c r="AL149" i="11" s="1"/>
  <c r="AA252" i="13"/>
  <c r="AL143" i="11" s="1"/>
  <c r="AL145" i="11" s="1"/>
  <c r="Z255" i="13"/>
  <c r="AA253" i="13"/>
  <c r="AL152" i="11" s="1"/>
  <c r="AL153" i="11" l="1"/>
  <c r="AK153" i="11"/>
  <c r="AK154" i="11" s="1"/>
  <c r="AK166" i="11" s="1"/>
  <c r="AK279" i="11" s="1"/>
  <c r="AK146" i="11"/>
  <c r="AK165" i="11" s="1"/>
  <c r="AK278" i="11" s="1"/>
  <c r="AJ168" i="11"/>
  <c r="AJ169" i="11" s="1"/>
  <c r="AJ282" i="11"/>
  <c r="AJ283" i="11" s="1"/>
  <c r="AL150" i="11"/>
  <c r="AL167" i="11" s="1"/>
  <c r="AL280" i="11" s="1"/>
  <c r="AA255" i="13"/>
  <c r="AB254" i="13"/>
  <c r="AM147" i="11" s="1"/>
  <c r="AM149" i="11" s="1"/>
  <c r="AB252" i="13"/>
  <c r="AM143" i="11" s="1"/>
  <c r="AM145" i="11" s="1"/>
  <c r="AC249" i="13"/>
  <c r="AC253" i="13" s="1"/>
  <c r="AN152" i="11" s="1"/>
  <c r="AD247" i="13"/>
  <c r="AL146" i="11" l="1"/>
  <c r="AL165" i="11" s="1"/>
  <c r="AL278" i="11" s="1"/>
  <c r="AM146" i="11"/>
  <c r="AM165" i="11" s="1"/>
  <c r="AM278" i="11" s="1"/>
  <c r="AK168" i="11"/>
  <c r="AK169" i="11" s="1"/>
  <c r="AK282" i="11"/>
  <c r="AK283" i="11" s="1"/>
  <c r="AL154" i="11"/>
  <c r="AL166" i="11" s="1"/>
  <c r="AL279" i="11" s="1"/>
  <c r="AM150" i="11"/>
  <c r="AM167" i="11" s="1"/>
  <c r="AM280" i="11" s="1"/>
  <c r="AB255" i="13"/>
  <c r="AC252" i="13"/>
  <c r="AN143" i="11" s="1"/>
  <c r="AN145" i="11" s="1"/>
  <c r="AC254" i="13"/>
  <c r="AN147" i="11" s="1"/>
  <c r="AN149" i="11" s="1"/>
  <c r="AD249" i="13"/>
  <c r="AD253" i="13" s="1"/>
  <c r="AO152" i="11" s="1"/>
  <c r="AE247" i="13"/>
  <c r="AM153" i="11" l="1"/>
  <c r="AM154" i="11" s="1"/>
  <c r="AM166" i="11" s="1"/>
  <c r="AM279" i="11" s="1"/>
  <c r="AN146" i="11"/>
  <c r="AN165" i="11" s="1"/>
  <c r="AN278" i="11" s="1"/>
  <c r="AL168" i="11"/>
  <c r="AL169" i="11" s="1"/>
  <c r="AL282" i="11"/>
  <c r="AL283" i="11" s="1"/>
  <c r="AN150" i="11"/>
  <c r="AN167" i="11" s="1"/>
  <c r="AN280" i="11" s="1"/>
  <c r="AF247" i="13"/>
  <c r="AE249" i="13"/>
  <c r="AE253" i="13" s="1"/>
  <c r="AP152" i="11" s="1"/>
  <c r="AD254" i="13"/>
  <c r="AO147" i="11" s="1"/>
  <c r="AO149" i="11" s="1"/>
  <c r="AD252" i="13"/>
  <c r="AO143" i="11" s="1"/>
  <c r="AO145" i="11" s="1"/>
  <c r="AC255" i="13"/>
  <c r="AN153" i="11" l="1"/>
  <c r="AN154" i="11" s="1"/>
  <c r="AN166" i="11" s="1"/>
  <c r="AN279" i="11" s="1"/>
  <c r="AM168" i="11"/>
  <c r="AM169" i="11" s="1"/>
  <c r="AM282" i="11"/>
  <c r="AM283" i="11" s="1"/>
  <c r="AO150" i="11"/>
  <c r="AO167" i="11" s="1"/>
  <c r="AO280" i="11" s="1"/>
  <c r="AD255" i="13"/>
  <c r="AE254" i="13"/>
  <c r="AP147" i="11" s="1"/>
  <c r="AP149" i="11" s="1"/>
  <c r="AE252" i="13"/>
  <c r="AP143" i="11" s="1"/>
  <c r="AP145" i="11" s="1"/>
  <c r="AG247" i="13"/>
  <c r="AF249" i="13"/>
  <c r="AF253" i="13" s="1"/>
  <c r="AQ152" i="11" s="1"/>
  <c r="AP153" i="11" l="1"/>
  <c r="AO153" i="11"/>
  <c r="AO154" i="11" s="1"/>
  <c r="AO166" i="11" s="1"/>
  <c r="AO279" i="11" s="1"/>
  <c r="AO146" i="11"/>
  <c r="AO165" i="11" s="1"/>
  <c r="AO278" i="11" s="1"/>
  <c r="AN168" i="11"/>
  <c r="AN169" i="11" s="1"/>
  <c r="AN282" i="11"/>
  <c r="AN283" i="11" s="1"/>
  <c r="AP150" i="11"/>
  <c r="AP167" i="11" s="1"/>
  <c r="AP280" i="11" s="1"/>
  <c r="AE255" i="13"/>
  <c r="AF254" i="13"/>
  <c r="AQ147" i="11" s="1"/>
  <c r="AQ149" i="11" s="1"/>
  <c r="AF252" i="13"/>
  <c r="AQ143" i="11" s="1"/>
  <c r="AQ145" i="11" s="1"/>
  <c r="AH247" i="13"/>
  <c r="AG249" i="13"/>
  <c r="AG253" i="13" s="1"/>
  <c r="AR152" i="11" s="1"/>
  <c r="AP146" i="11" l="1"/>
  <c r="AP165" i="11" s="1"/>
  <c r="AP278" i="11" s="1"/>
  <c r="AQ146" i="11"/>
  <c r="AQ165" i="11" s="1"/>
  <c r="AQ278" i="11" s="1"/>
  <c r="AO168" i="11"/>
  <c r="AO169" i="11" s="1"/>
  <c r="AO282" i="11"/>
  <c r="AO283" i="11" s="1"/>
  <c r="AP154" i="11"/>
  <c r="AP166" i="11" s="1"/>
  <c r="AP279" i="11" s="1"/>
  <c r="AQ150" i="11"/>
  <c r="AQ167" i="11" s="1"/>
  <c r="AQ280" i="11" s="1"/>
  <c r="AF255" i="13"/>
  <c r="AH249" i="13"/>
  <c r="AH253" i="13" s="1"/>
  <c r="AG254" i="13"/>
  <c r="AR147" i="11" s="1"/>
  <c r="AR149" i="11" s="1"/>
  <c r="AG252" i="13"/>
  <c r="AR143" i="11" s="1"/>
  <c r="AR145" i="11" s="1"/>
  <c r="AS152" i="11" l="1"/>
  <c r="B115" i="11"/>
  <c r="AR146" i="11"/>
  <c r="AR165" i="11" s="1"/>
  <c r="AR278" i="11" s="1"/>
  <c r="AQ153" i="11"/>
  <c r="AQ154" i="11" s="1"/>
  <c r="AQ166" i="11" s="1"/>
  <c r="AQ279" i="11" s="1"/>
  <c r="AP168" i="11"/>
  <c r="AP169" i="11" s="1"/>
  <c r="AP282" i="11"/>
  <c r="AP283" i="11" s="1"/>
  <c r="AR150" i="11"/>
  <c r="AR167" i="11" s="1"/>
  <c r="AR280" i="11" s="1"/>
  <c r="AG255" i="13"/>
  <c r="AH252" i="13"/>
  <c r="AH254" i="13"/>
  <c r="AS147" i="11" l="1"/>
  <c r="AS149" i="11" s="1"/>
  <c r="AS150" i="11" s="1"/>
  <c r="AS167" i="11" s="1"/>
  <c r="AS280" i="11" s="1"/>
  <c r="B114" i="11"/>
  <c r="AS143" i="11"/>
  <c r="AS145" i="11" s="1"/>
  <c r="B113" i="11"/>
  <c r="AR153" i="11"/>
  <c r="AR154" i="11" s="1"/>
  <c r="AR166" i="11" s="1"/>
  <c r="AR279" i="11" s="1"/>
  <c r="AQ168" i="11"/>
  <c r="AQ169" i="11" s="1"/>
  <c r="AQ282" i="11"/>
  <c r="AQ283" i="11" s="1"/>
  <c r="AH255" i="13"/>
  <c r="A82" i="11"/>
  <c r="B116" i="11" l="1"/>
  <c r="AS153" i="11"/>
  <c r="AS154" i="11" s="1"/>
  <c r="AS166" i="11" s="1"/>
  <c r="AS279" i="11" s="1"/>
  <c r="AS146" i="11"/>
  <c r="AS165" i="11" s="1"/>
  <c r="AS278" i="11" s="1"/>
  <c r="AR168" i="11"/>
  <c r="AR169" i="11" s="1"/>
  <c r="AR282" i="11"/>
  <c r="AR283" i="11" s="1"/>
  <c r="AS168" i="11" l="1"/>
  <c r="AS169" i="11" s="1"/>
  <c r="AS282" i="11"/>
  <c r="AS283" i="11" s="1"/>
</calcChain>
</file>

<file path=xl/comments1.xml><?xml version="1.0" encoding="utf-8"?>
<comments xmlns="http://schemas.openxmlformats.org/spreadsheetml/2006/main">
  <authors>
    <author>Omistaja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Omistaja:</t>
        </r>
        <r>
          <rPr>
            <sz val="9"/>
            <color indexed="81"/>
            <rFont val="Tahoma"/>
            <family val="2"/>
          </rPr>
          <t xml:space="preserve">
two drop-down menus(?)
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Omistaja:</t>
        </r>
        <r>
          <rPr>
            <sz val="9"/>
            <color indexed="81"/>
            <rFont val="Tahoma"/>
            <family val="2"/>
          </rPr>
          <t xml:space="preserve">
three first inputs are common to all modules</t>
        </r>
      </text>
    </comment>
  </commentList>
</comments>
</file>

<file path=xl/sharedStrings.xml><?xml version="1.0" encoding="utf-8"?>
<sst xmlns="http://schemas.openxmlformats.org/spreadsheetml/2006/main" count="4744" uniqueCount="781">
  <si>
    <t>share (%)</t>
  </si>
  <si>
    <t>source:</t>
  </si>
  <si>
    <t>Finland</t>
  </si>
  <si>
    <t>Diesel</t>
  </si>
  <si>
    <t>Austria</t>
  </si>
  <si>
    <t>Belgium</t>
  </si>
  <si>
    <t>Bulgaria</t>
  </si>
  <si>
    <t>Cyprus</t>
  </si>
  <si>
    <t>Czechia</t>
  </si>
  <si>
    <t>Denmark</t>
  </si>
  <si>
    <t>Estonia</t>
  </si>
  <si>
    <t>Spain</t>
  </si>
  <si>
    <t>France</t>
  </si>
  <si>
    <t>Greece</t>
  </si>
  <si>
    <t>Hungary</t>
  </si>
  <si>
    <t>Croatia</t>
  </si>
  <si>
    <t>Ireland</t>
  </si>
  <si>
    <t>Italy</t>
  </si>
  <si>
    <t>Lithuania</t>
  </si>
  <si>
    <t>Luxembourg</t>
  </si>
  <si>
    <t>Latvia</t>
  </si>
  <si>
    <t>Malta</t>
  </si>
  <si>
    <t>Netherlands</t>
  </si>
  <si>
    <t>Poland</t>
  </si>
  <si>
    <t>Portugal</t>
  </si>
  <si>
    <t>Romania</t>
  </si>
  <si>
    <t>Sweden</t>
  </si>
  <si>
    <t>Slovenia</t>
  </si>
  <si>
    <t>Slovakia</t>
  </si>
  <si>
    <t>Norway</t>
  </si>
  <si>
    <t>Germany</t>
  </si>
  <si>
    <t>UK</t>
  </si>
  <si>
    <t>Trains</t>
  </si>
  <si>
    <t>Other</t>
  </si>
  <si>
    <t>Roads</t>
  </si>
  <si>
    <t>Inland waterways</t>
  </si>
  <si>
    <t>Railways</t>
  </si>
  <si>
    <t>sources:</t>
  </si>
  <si>
    <t>fuel type description</t>
  </si>
  <si>
    <t>Bio-diesel</t>
  </si>
  <si>
    <t>Liquefied Petroleum Gas (LPG)</t>
  </si>
  <si>
    <t>FREIGHT TRANSPORT</t>
  </si>
  <si>
    <t>year of data origin:</t>
  </si>
  <si>
    <t>Passenger cars</t>
  </si>
  <si>
    <t>Motor coaches, buses and trolley buses</t>
  </si>
  <si>
    <t>Iceland</t>
  </si>
  <si>
    <t>Switzerland</t>
  </si>
  <si>
    <t>EU-27 (2020-)</t>
  </si>
  <si>
    <t>EU-28 (2013-20)</t>
  </si>
  <si>
    <t>column B, Emission factors: EN16258 table A.1-Tranport fuels. Hybrid and EV added.</t>
  </si>
  <si>
    <t>Population of the assessment area</t>
  </si>
  <si>
    <t/>
  </si>
  <si>
    <t>Eurostat, Modal split of freight transport 2019</t>
  </si>
  <si>
    <t>Eurostat, Population on 1 January by age and sex</t>
  </si>
  <si>
    <r>
      <t>kgCO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e/l</t>
    </r>
  </si>
  <si>
    <r>
      <t>kgCO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e/km</t>
    </r>
  </si>
  <si>
    <r>
      <t>average gCO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e/km</t>
    </r>
  </si>
  <si>
    <t>l/km</t>
  </si>
  <si>
    <t>column C, Consumption of fuel (l/km): Greenhouse gas emissions indicator, https://ec.europa.eu/transport/themes/greenhouse-gas-emissions-indicator_en</t>
  </si>
  <si>
    <t>Electricity</t>
  </si>
  <si>
    <t>Petrol (excluding hybrids)</t>
  </si>
  <si>
    <t>Hybrid electric-petrol</t>
  </si>
  <si>
    <t>Plug-in hybrid petrol-electric</t>
  </si>
  <si>
    <t>Diesel (excluding hybrids)</t>
  </si>
  <si>
    <t>Hybrid diesel-electric</t>
  </si>
  <si>
    <t>Plug-in hybrid diesel-electric</t>
  </si>
  <si>
    <t>Hydrogen and fuel cells</t>
  </si>
  <si>
    <t>Bioethanol</t>
  </si>
  <si>
    <t>Alternative Energy</t>
  </si>
  <si>
    <t>Bi-fuel</t>
  </si>
  <si>
    <t>Natural Gas (Compressed Natural Gas)</t>
  </si>
  <si>
    <t>Slovakia and Greece: ACEA report: Vehicles in use Europe, January 2021. European Automobile Manufacturers Association (ACEA) 2021.</t>
  </si>
  <si>
    <t>n/a</t>
  </si>
  <si>
    <t>Petroleum products</t>
  </si>
  <si>
    <t>national data: Eurostat, Motor coaches, buses and trolley buses, by type of motor energy 2019; UK and Austria 2018</t>
  </si>
  <si>
    <t>Natural Gas (CNG)</t>
  </si>
  <si>
    <t>Eurostat, Freight transport vehicle-km</t>
  </si>
  <si>
    <t>million vehicle-km/a</t>
  </si>
  <si>
    <t>VOLUME OF PASSENGER TRANSPORT</t>
  </si>
  <si>
    <t>TRAINS / PASSENGER TRANSPORT</t>
  </si>
  <si>
    <t>total freight transport in million vehicle-km</t>
  </si>
  <si>
    <t>annual change (%)</t>
  </si>
  <si>
    <t>EU-28</t>
  </si>
  <si>
    <t>2020-30</t>
  </si>
  <si>
    <t>2000-10</t>
  </si>
  <si>
    <t>2010-20</t>
  </si>
  <si>
    <t>EU Reference Scenario 2016. Energy, transport and GHG emissions. Trends to 2050. European Commission.</t>
  </si>
  <si>
    <t>2030-40</t>
  </si>
  <si>
    <t>2040-50</t>
  </si>
  <si>
    <t>0.3</t>
  </si>
  <si>
    <r>
      <t>EMISSION FACTOR PER ENGINE TYPE  (gCO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/km)</t>
    </r>
  </si>
  <si>
    <t>LORRIES / FREIGHT TRANSPORT</t>
  </si>
  <si>
    <t>ACEA Report. Vehicles in use Europe. January 2021.</t>
  </si>
  <si>
    <t>Average age (a)</t>
  </si>
  <si>
    <t>INLAND WATERWAYS / FREIGHT TRANSPORT</t>
  </si>
  <si>
    <t>EU</t>
  </si>
  <si>
    <t xml:space="preserve">Transport in Figures 2020. Part 2: Transport. Chapter 2.3: Performance of Passenger Transport expressed in passenger-kilometers. European Commission, Directorate-General for Mobility and Transport in co-operation with Eurostat. </t>
  </si>
  <si>
    <t>-</t>
  </si>
  <si>
    <t>Tram and metro</t>
  </si>
  <si>
    <t>This is the default dataset with national-level data which can be updated by the owner of the tool.</t>
  </si>
  <si>
    <t>Total</t>
  </si>
  <si>
    <t>EEA</t>
  </si>
  <si>
    <t>Year</t>
  </si>
  <si>
    <t>Conversion from person-km to vehicle-km</t>
  </si>
  <si>
    <t>billion vehicle-km</t>
  </si>
  <si>
    <t>electricity consumption (kWh/vehicle-km)</t>
  </si>
  <si>
    <r>
      <t>average gCO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e/vehicle-km</t>
    </r>
  </si>
  <si>
    <t>The default emission factor for electric trains is for the national grid electricity.</t>
  </si>
  <si>
    <r>
      <t>gCO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e/vkm</t>
    </r>
  </si>
  <si>
    <t>Fuel type description</t>
  </si>
  <si>
    <r>
      <t>Average gCO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e/vehicle-km</t>
    </r>
  </si>
  <si>
    <t>Engine type</t>
  </si>
  <si>
    <t>TÄMÄ ARVO ON HATUSTA VEDETTY!</t>
  </si>
  <si>
    <t>Expected decarbonization rate / annual change (%)</t>
  </si>
  <si>
    <r>
      <t>Carbon intensity of grid electricity (gCO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e/kWh)</t>
    </r>
  </si>
  <si>
    <t>TÄMÄ LUKU ON HATUSTA VEDETTY</t>
  </si>
  <si>
    <t>%</t>
  </si>
  <si>
    <t>Average occupancy</t>
  </si>
  <si>
    <t>TRANSPORT CO2e EMISSIONS 2021</t>
  </si>
  <si>
    <t>average car occupancy</t>
  </si>
  <si>
    <t>Passenger trains</t>
  </si>
  <si>
    <t>average bus occupancy</t>
  </si>
  <si>
    <t>MENU OPTIONS</t>
  </si>
  <si>
    <r>
      <t>BASELINE - TRANSPORT CO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e EMISSIONS 2021</t>
    </r>
  </si>
  <si>
    <t>Rail freight</t>
  </si>
  <si>
    <t>Road freight</t>
  </si>
  <si>
    <t>Inland waterways freight</t>
  </si>
  <si>
    <t>Electric</t>
  </si>
  <si>
    <t>average train occupancy</t>
  </si>
  <si>
    <t xml:space="preserve">Fill in local data on white cells and write over the default values on grey tone. Default values (passenger-km etc.) are scaled down from national data, based on the specifications on the "User input" site. Emission factors are based on national level European data. </t>
  </si>
  <si>
    <t>EU Reference Scenario 2016. Energy, transport and GHG emissions. Trends to 2050. European Commission, pp. 143-201.</t>
  </si>
  <si>
    <t>Average occupancy 2018</t>
  </si>
  <si>
    <t xml:space="preserve">Methodology for GHG Efficiency of Transport Modes. Final Report. Fraunhofer-Institute for Systems and Innovation Research ISI, p. 22. </t>
  </si>
  <si>
    <t xml:space="preserve">Methodology for GHG Efficiency of Transport Modes. Final Report. Fraunhofer-Institute for Systems and Innovation Research ISI, p. 28. </t>
  </si>
  <si>
    <t>kg/train-km</t>
  </si>
  <si>
    <t>kWh/train-km</t>
  </si>
  <si>
    <t xml:space="preserve">Methodology for GHG Efficiency of Transport Modes. Final Report. Fraunhofer-Institute for Systems and Innovation Research ISI, p. 30. </t>
  </si>
  <si>
    <t>COLUMN B, year of data origin:</t>
  </si>
  <si>
    <r>
      <t>kgCO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e/kWh</t>
    </r>
  </si>
  <si>
    <r>
      <t>kgCO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e/kg</t>
    </r>
  </si>
  <si>
    <t>according to country grid</t>
  </si>
  <si>
    <r>
      <t>gCO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e/train-km</t>
    </r>
  </si>
  <si>
    <t>from the table above</t>
  </si>
  <si>
    <t>electricity emission factor (gCO2e/kWh) + transmission losses 17%</t>
  </si>
  <si>
    <r>
      <t>average gCO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e/train-km 2019</t>
    </r>
  </si>
  <si>
    <t>electricity consumption (kWh/train-km)</t>
  </si>
  <si>
    <t>Conversion from person-km to train-km</t>
  </si>
  <si>
    <r>
      <t>average gCO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e/electric train-km</t>
    </r>
  </si>
  <si>
    <t>public road transport, annual change (%)</t>
  </si>
  <si>
    <t>Rail, annual change (%)</t>
  </si>
  <si>
    <t>fuel type description, share (%)</t>
  </si>
  <si>
    <t>Rail, change (%)</t>
  </si>
  <si>
    <t>Heavy goods and light commercial vehicles, change (%)</t>
  </si>
  <si>
    <t>Inland navigation, change (%)</t>
  </si>
  <si>
    <t>Liechtenstein</t>
  </si>
  <si>
    <t>COUNTRIES</t>
  </si>
  <si>
    <t>YEARS</t>
  </si>
  <si>
    <t>Freight transport on rails</t>
  </si>
  <si>
    <t>Freight transport on inland waterways</t>
  </si>
  <si>
    <t>no metro</t>
  </si>
  <si>
    <t>Country</t>
  </si>
  <si>
    <t xml:space="preserve">PASSENGER TRANSPORT   </t>
  </si>
  <si>
    <t>low intensity</t>
  </si>
  <si>
    <t>high intensity</t>
  </si>
  <si>
    <t>all national road freight included</t>
  </si>
  <si>
    <t>no freight transport on rails</t>
  </si>
  <si>
    <t>all national rail freight included</t>
  </si>
  <si>
    <t>no freight transport on water</t>
  </si>
  <si>
    <t>all inland waterways freight included</t>
  </si>
  <si>
    <t>Freight transport on wheels</t>
  </si>
  <si>
    <t>freight for residents only</t>
  </si>
  <si>
    <r>
      <t>tnCO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e/resident, a</t>
    </r>
  </si>
  <si>
    <t>factor, default=1</t>
  </si>
  <si>
    <t>population growth prognosis, change (%)</t>
  </si>
  <si>
    <t xml:space="preserve">population  </t>
  </si>
  <si>
    <t>residents moving in</t>
  </si>
  <si>
    <t>=Romania</t>
  </si>
  <si>
    <t>=Netherlands</t>
  </si>
  <si>
    <t>=Cyprus</t>
  </si>
  <si>
    <t>=Norway</t>
  </si>
  <si>
    <t>=Latvia</t>
  </si>
  <si>
    <t>=Czechia</t>
  </si>
  <si>
    <t>Eurostat 2018</t>
  </si>
  <si>
    <t>national data: Eurostat, Passenger cars by type of motor energy 2019</t>
  </si>
  <si>
    <t>accorging to the country selection ("User input")</t>
  </si>
  <si>
    <t>=Greece</t>
  </si>
  <si>
    <t>=Germany</t>
  </si>
  <si>
    <t>AVERAGE</t>
  </si>
  <si>
    <t>URBAN</t>
  </si>
  <si>
    <t>RURAL</t>
  </si>
  <si>
    <t>Scope 2</t>
  </si>
  <si>
    <t>Scope 1</t>
  </si>
  <si>
    <t>kWh/km</t>
  </si>
  <si>
    <t>LIPASTO database</t>
  </si>
  <si>
    <t>share of fuels (%)</t>
  </si>
  <si>
    <t>driving profile (%)</t>
  </si>
  <si>
    <r>
      <t>kgCO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e/vehicle-km</t>
    </r>
  </si>
  <si>
    <r>
      <t>average kgCO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e/vehicle-km</t>
    </r>
  </si>
  <si>
    <t>tn CO2e/a</t>
  </si>
  <si>
    <t>kgCO2e/vehicle-km</t>
  </si>
  <si>
    <t>breakdown</t>
  </si>
  <si>
    <t>(million v-km)</t>
  </si>
  <si>
    <t>area type</t>
  </si>
  <si>
    <t>transport activity total (million vehicle-km)</t>
  </si>
  <si>
    <t>average CO2e emission factor for the whole area</t>
  </si>
  <si>
    <t>baseline passenger car CO2e emissions</t>
  </si>
  <si>
    <t>ACEA 2021</t>
  </si>
  <si>
    <t>Average occupancy 2010</t>
  </si>
  <si>
    <t>share of transport activity (%)</t>
  </si>
  <si>
    <t>Vienna</t>
  </si>
  <si>
    <t>Brussels</t>
  </si>
  <si>
    <t>Sofia</t>
  </si>
  <si>
    <t>Prague</t>
  </si>
  <si>
    <t>Copenhagen</t>
  </si>
  <si>
    <t>Helsinki</t>
  </si>
  <si>
    <t>Lille</t>
  </si>
  <si>
    <t>Berlin</t>
  </si>
  <si>
    <t>Athens</t>
  </si>
  <si>
    <t>Budapest</t>
  </si>
  <si>
    <t>Brescia</t>
  </si>
  <si>
    <t>Amsterdam</t>
  </si>
  <si>
    <t>Oslo</t>
  </si>
  <si>
    <t>Warsaw</t>
  </si>
  <si>
    <t>Lisbon</t>
  </si>
  <si>
    <t>Bucharest</t>
  </si>
  <si>
    <t>Barcelona</t>
  </si>
  <si>
    <t>Stockholm</t>
  </si>
  <si>
    <t>Lausanne</t>
  </si>
  <si>
    <t>Glasgow</t>
  </si>
  <si>
    <t>Lyon</t>
  </si>
  <si>
    <t>Hamburg</t>
  </si>
  <si>
    <t>Catania</t>
  </si>
  <si>
    <t>Rotterdam</t>
  </si>
  <si>
    <t>Bilbao</t>
  </si>
  <si>
    <t>London Underground</t>
  </si>
  <si>
    <t>Marseille</t>
  </si>
  <si>
    <t>Munich</t>
  </si>
  <si>
    <t>Genoa</t>
  </si>
  <si>
    <t>Madrid</t>
  </si>
  <si>
    <t>Paris</t>
  </si>
  <si>
    <t>Nuremberg</t>
  </si>
  <si>
    <t>Milan</t>
  </si>
  <si>
    <t>Rennes</t>
  </si>
  <si>
    <t>Naples</t>
  </si>
  <si>
    <t>Toulouse</t>
  </si>
  <si>
    <t>Rome</t>
  </si>
  <si>
    <t>Turin</t>
  </si>
  <si>
    <t>Shares in total national vehicle-kilometers (%), estimate</t>
  </si>
  <si>
    <t>Estimate is based on the track length and the annual volume of passengers</t>
  </si>
  <si>
    <t>share of transport</t>
  </si>
  <si>
    <t>100 %=whole metro system of the city included</t>
  </si>
  <si>
    <t>0 %=metro system of the city excluded from the study</t>
  </si>
  <si>
    <t>total, million vehicle-km</t>
  </si>
  <si>
    <t>UK: Light rail and tram statistics, Table LRT0105, Vehicle kilometers on light rail and trams and undergrounds, 2020/21</t>
  </si>
  <si>
    <t>Estimate is based on the total track length and the annual volume of passengers</t>
  </si>
  <si>
    <t>black numbers are confirmed</t>
  </si>
  <si>
    <t>Gmunden</t>
  </si>
  <si>
    <t>Antwerp</t>
  </si>
  <si>
    <t>Osijek</t>
  </si>
  <si>
    <t>no trams</t>
  </si>
  <si>
    <t>Brno</t>
  </si>
  <si>
    <t>Aarhus</t>
  </si>
  <si>
    <t>Tallinn</t>
  </si>
  <si>
    <t>Angers</t>
  </si>
  <si>
    <t>Augsburg</t>
  </si>
  <si>
    <t>Dublin</t>
  </si>
  <si>
    <t>Bergamo–Albino light rail</t>
  </si>
  <si>
    <t>Daugavpils</t>
  </si>
  <si>
    <t>Bergen Light Rail</t>
  </si>
  <si>
    <t>Bydgoszcz</t>
  </si>
  <si>
    <t>Almada-Seixal</t>
  </si>
  <si>
    <t>Arad</t>
  </si>
  <si>
    <t>Bratislava</t>
  </si>
  <si>
    <t>Alicante</t>
  </si>
  <si>
    <t>Gothenburg</t>
  </si>
  <si>
    <t>Basel</t>
  </si>
  <si>
    <t>Birmingham, West Midlands Metro</t>
  </si>
  <si>
    <t>Graz</t>
  </si>
  <si>
    <t xml:space="preserve">Coast Tram </t>
  </si>
  <si>
    <t>Zagreb</t>
  </si>
  <si>
    <t>Liberec–Jablonec</t>
  </si>
  <si>
    <t>Tampere</t>
  </si>
  <si>
    <t>Aubagne</t>
  </si>
  <si>
    <t>Bad Schandau</t>
  </si>
  <si>
    <t>Debrecen</t>
  </si>
  <si>
    <t>Cagliari light rail</t>
  </si>
  <si>
    <t>Liepāja</t>
  </si>
  <si>
    <t>Częstochowa</t>
  </si>
  <si>
    <t>Botoșani</t>
  </si>
  <si>
    <t>Košice</t>
  </si>
  <si>
    <t>Lund</t>
  </si>
  <si>
    <t>Bern</t>
  </si>
  <si>
    <t>Blackpool tramway</t>
  </si>
  <si>
    <t>Innsbruck</t>
  </si>
  <si>
    <t>Most-Litvínov</t>
  </si>
  <si>
    <t>Avignon</t>
  </si>
  <si>
    <t>Miskolc</t>
  </si>
  <si>
    <t>Florence</t>
  </si>
  <si>
    <t>Riga</t>
  </si>
  <si>
    <t>The Hague</t>
  </si>
  <si>
    <t>Trondheim</t>
  </si>
  <si>
    <t>Elbląg</t>
  </si>
  <si>
    <t>Porto Metro</t>
  </si>
  <si>
    <t>Brăila</t>
  </si>
  <si>
    <t>Trenčianske Teplice</t>
  </si>
  <si>
    <t>Norrköping</t>
  </si>
  <si>
    <t>Geneva</t>
  </si>
  <si>
    <t>Edinburgh</t>
  </si>
  <si>
    <t>Linz</t>
  </si>
  <si>
    <t>Charleroi</t>
  </si>
  <si>
    <t>Olomouc</t>
  </si>
  <si>
    <t>Besançon</t>
  </si>
  <si>
    <t>Bielefeld</t>
  </si>
  <si>
    <t>Szeged</t>
  </si>
  <si>
    <t>Messina</t>
  </si>
  <si>
    <t>Utrecht sneltram</t>
  </si>
  <si>
    <t>Gdańsk</t>
  </si>
  <si>
    <t>Porto</t>
  </si>
  <si>
    <t>Granada</t>
  </si>
  <si>
    <t>London Tramlink</t>
  </si>
  <si>
    <t>Vienna tram</t>
  </si>
  <si>
    <t>Ghent</t>
  </si>
  <si>
    <t>Ostrava</t>
  </si>
  <si>
    <t>Bordeaux</t>
  </si>
  <si>
    <t>Bochum Stadtbahn</t>
  </si>
  <si>
    <t>Mestre</t>
  </si>
  <si>
    <t>Gorzów Wielkopolski</t>
  </si>
  <si>
    <t>Sintra</t>
  </si>
  <si>
    <t>Cluj-Napoca</t>
  </si>
  <si>
    <t>Neuchâtel</t>
  </si>
  <si>
    <t>Manchester Metrolink</t>
  </si>
  <si>
    <t>Wiener Lokalbahn</t>
  </si>
  <si>
    <t>Pilsen</t>
  </si>
  <si>
    <t>Brest</t>
  </si>
  <si>
    <t>Bochum/Gelsenkirchen</t>
  </si>
  <si>
    <t>Grudziądz</t>
  </si>
  <si>
    <t>Craiova</t>
  </si>
  <si>
    <t>Murcia</t>
  </si>
  <si>
    <t>Zürich</t>
  </si>
  <si>
    <t>Newcastle, Tyne and Wear Metro</t>
  </si>
  <si>
    <t>Bonn Stadtbahn</t>
  </si>
  <si>
    <t>Katowice</t>
  </si>
  <si>
    <t>Galați</t>
  </si>
  <si>
    <t>Parla</t>
  </si>
  <si>
    <t>Nottingham Express Transit</t>
  </si>
  <si>
    <t>Bonn</t>
  </si>
  <si>
    <t>Padua</t>
  </si>
  <si>
    <t>Kraków</t>
  </si>
  <si>
    <t>Iași (RATP Iași)</t>
  </si>
  <si>
    <t>Santa Cruz de Tenerife</t>
  </si>
  <si>
    <t>Sheffield Supertram</t>
  </si>
  <si>
    <t>Brandenburg  and der Havel</t>
  </si>
  <si>
    <t>Palermo</t>
  </si>
  <si>
    <t>Kraków Fast Tram</t>
  </si>
  <si>
    <t>Oradea</t>
  </si>
  <si>
    <t>Seville</t>
  </si>
  <si>
    <t>Docklands Light Railway</t>
  </si>
  <si>
    <t>Braunschweig</t>
  </si>
  <si>
    <t>Łódź</t>
  </si>
  <si>
    <t>Ploiești</t>
  </si>
  <si>
    <t>Sóller, Mallorca</t>
  </si>
  <si>
    <t>Bremen</t>
  </si>
  <si>
    <t>Sassari</t>
  </si>
  <si>
    <t>Olsztyn</t>
  </si>
  <si>
    <t>Timișoara</t>
  </si>
  <si>
    <t>Valencia</t>
  </si>
  <si>
    <t>Chemnitz</t>
  </si>
  <si>
    <t>Poznań</t>
  </si>
  <si>
    <t>Vitoria-Gasteiz</t>
  </si>
  <si>
    <t>Cologne</t>
  </si>
  <si>
    <t>Trieste–Opicina</t>
  </si>
  <si>
    <t>Poznań Fast Tram</t>
  </si>
  <si>
    <t>Zaragoza</t>
  </si>
  <si>
    <t>Cottbus</t>
  </si>
  <si>
    <t>Szczecin</t>
  </si>
  <si>
    <t>Darmstadt</t>
  </si>
  <si>
    <t>Toruń</t>
  </si>
  <si>
    <t>Dessau</t>
  </si>
  <si>
    <t>Dortmund</t>
  </si>
  <si>
    <t>Wrocław</t>
  </si>
  <si>
    <t>Dresden</t>
  </si>
  <si>
    <t>Duisburg</t>
  </si>
  <si>
    <t>Düsseldorf Stadtbahn</t>
  </si>
  <si>
    <t>Düsseldorf</t>
  </si>
  <si>
    <t>Erfurt</t>
  </si>
  <si>
    <t>Essen Stadtbahn</t>
  </si>
  <si>
    <t>Essen trams</t>
  </si>
  <si>
    <t>Frankfurt am Main U-Bahn</t>
  </si>
  <si>
    <t>Frankfurt am Main</t>
  </si>
  <si>
    <t>Frankfurt (Oder)</t>
  </si>
  <si>
    <t>Freiburg im Breisgau</t>
  </si>
  <si>
    <t>Gera</t>
  </si>
  <si>
    <t>Görlitz</t>
  </si>
  <si>
    <t>Gotha</t>
  </si>
  <si>
    <t>Halberstadt</t>
  </si>
  <si>
    <t>Halle (Saale)</t>
  </si>
  <si>
    <t>Heidelberg</t>
  </si>
  <si>
    <t>Hanover</t>
  </si>
  <si>
    <t>Jena</t>
  </si>
  <si>
    <t>Karlsruhe Stadtbahn</t>
  </si>
  <si>
    <t>Karlsruhe</t>
  </si>
  <si>
    <t>Kassel RegioTram</t>
  </si>
  <si>
    <t>Kassel</t>
  </si>
  <si>
    <t>Krefeld</t>
  </si>
  <si>
    <t>Leipzig</t>
  </si>
  <si>
    <t>Magdeburg</t>
  </si>
  <si>
    <t>Mainz</t>
  </si>
  <si>
    <t>Mannheim/Ludwigshafen</t>
  </si>
  <si>
    <t>Mülheim/Oberhausen</t>
  </si>
  <si>
    <t>Naumburg (Saale)</t>
  </si>
  <si>
    <t>Nordhausen</t>
  </si>
  <si>
    <t>Plauen</t>
  </si>
  <si>
    <t>Potsdam</t>
  </si>
  <si>
    <t>Rostock</t>
  </si>
  <si>
    <t>Saarbahn</t>
  </si>
  <si>
    <t>Schwerin</t>
  </si>
  <si>
    <t>Strausberg</t>
  </si>
  <si>
    <t>Stuttgart</t>
  </si>
  <si>
    <t>Ulm</t>
  </si>
  <si>
    <t>Metro, tram and light rail</t>
  </si>
  <si>
    <t>grey=tram 50% - metro 50%</t>
  </si>
  <si>
    <t>data source if missing from the actual dataset:</t>
  </si>
  <si>
    <t>Petrol, according to country selection</t>
  </si>
  <si>
    <t>Diesel, according to country selection</t>
  </si>
  <si>
    <t>Passenger cars, by type of motor energy and size of engine [ROAD_EQS_CARMOT$DEFAULTVIEW], petroleum products</t>
  </si>
  <si>
    <t>data source if missing from the original dataset:</t>
  </si>
  <si>
    <t>E1.1 POPULATION 2021</t>
  </si>
  <si>
    <t>E1.2 POPULATION CHANGE PROGNOSIS</t>
  </si>
  <si>
    <t>DEFRA Conversion factors 2021, full set advanced users, business travel - land</t>
  </si>
  <si>
    <t>emissions (gCO2e/km) weighted by engine sizes in the national car fleet</t>
  </si>
  <si>
    <t>Passenger cars, by type of motor energy and size of engine [ROAD_EQS_CARMOT$DEFAULTVIEW], diesel products</t>
  </si>
  <si>
    <t>=2018</t>
  </si>
  <si>
    <t>=DEFRA UK average</t>
  </si>
  <si>
    <t>=Switzerland</t>
  </si>
  <si>
    <t>DEFRA AVERAGE 2019</t>
  </si>
  <si>
    <t>trams, million vehicle-km / a</t>
  </si>
  <si>
    <t>metros, million vehicle-km / a</t>
  </si>
  <si>
    <t>trams, million vehicle-km/a</t>
  </si>
  <si>
    <t>prognosis of metro and tram transport activity countrywide</t>
  </si>
  <si>
    <t>grid loss (%)</t>
  </si>
  <si>
    <t>metro, grid electricity</t>
  </si>
  <si>
    <t>tram, grid electricity</t>
  </si>
  <si>
    <t>included (user input)</t>
  </si>
  <si>
    <t>metros in total, million vehicle-km/a</t>
  </si>
  <si>
    <t>All trams and metros are expected to run on grid electricity. The default emission factor is for the national grid electricity.</t>
  </si>
  <si>
    <t>L1 GENERAL</t>
  </si>
  <si>
    <t>L2 VOLUMES OF PASSENGER TRANSPORT as scaled down from national data by number of population</t>
  </si>
  <si>
    <t>Annual change (%)</t>
  </si>
  <si>
    <t>L1.1 POPULATION / COUNTRY</t>
  </si>
  <si>
    <t>L1.2 POPULATION / REGION TO BE QUANTIFIED</t>
  </si>
  <si>
    <t>L1.3 GRID ELECTRICITY EMISSION FACTOR (gCO2e/kWh)</t>
  </si>
  <si>
    <t>L3.1 TRANSPORT ACTIVITY</t>
  </si>
  <si>
    <t>transport activity</t>
  </si>
  <si>
    <t>CO2e emission factor</t>
  </si>
  <si>
    <t>L4 PASSENGER TRANSPORT - PASSENGER CARS</t>
  </si>
  <si>
    <t>L4.1 TRANSPORT ACTIVITY</t>
  </si>
  <si>
    <t>L4.3 DRIVING PROFILE</t>
  </si>
  <si>
    <t>L 4.4 PASSENGER CAR EMISSIONS / BASELINE SCENARIO</t>
  </si>
  <si>
    <t>L5 PASSENGER TRANSPORT - METROS AND TRAMS</t>
  </si>
  <si>
    <t>L5.2 TOTAL TRANSPORT ACTIVITY PER COUNTRY</t>
  </si>
  <si>
    <t>L5.3 BREAKDOWN OF VEHICLE-KM PER METRO SYSTEM</t>
  </si>
  <si>
    <t>L6 PASSENGER TRANSPORT - PASSENGER TRAINS</t>
  </si>
  <si>
    <t>L6.1 TRANSPORT ACTIVITY</t>
  </si>
  <si>
    <r>
      <t>L6.2 EMISSION FACTOR FOR ELECTRIC TRAINS  (gCO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/train-km)</t>
    </r>
  </si>
  <si>
    <r>
      <t>L6.3 AVERAGE EMISSION FACTOR FOR PASSENGER TRAINS  (gCO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/train-km)</t>
    </r>
  </si>
  <si>
    <t>L7 VOLUMES OF FREIGHT TRANSPORT as scaled down from national data</t>
  </si>
  <si>
    <t>L7.1 TRANSPORT ACTIVITY (billion vehicle-km)</t>
  </si>
  <si>
    <t>L7.2 MODAL SHARES (%)</t>
  </si>
  <si>
    <t>this table explains the default data - no inputs</t>
  </si>
  <si>
    <t>L8 FREIGHT TRANSPORT - RAILWAYS</t>
  </si>
  <si>
    <t>L8.1 TRANSPORT ACTIVITY</t>
  </si>
  <si>
    <r>
      <t>L8.2 EMISSION FACTOR FOR ELECTRIC ENGINES  (gCO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/vehicle-km)</t>
    </r>
  </si>
  <si>
    <r>
      <t>L8.3 SHARE AND EMISSION FACTOR PER ENGINE TYPE  (gCO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/vehicle-km)</t>
    </r>
  </si>
  <si>
    <t>L9 FREIGHT TRANSPORT - ROAD TRANSPORT</t>
  </si>
  <si>
    <t>L9.1 TRANSPORT ACTIVITY</t>
  </si>
  <si>
    <t>L10 FREIGHT TRANSPORT - INLAND WATER TRANSPORT</t>
  </si>
  <si>
    <r>
      <t>L10.2 SHARE AND EMISSION FACTOR PER ENGINE TYPE  (gCO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/vehicle-km)</t>
    </r>
  </si>
  <si>
    <t>E1 GENERAL DATA</t>
  </si>
  <si>
    <r>
      <t>E1.3 GRID ELECTRICITY EMISSION FACTOR (gCO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e/kWh)</t>
    </r>
  </si>
  <si>
    <t>E1.4 DECARBONISATION OF ELECTRICITY GRID</t>
  </si>
  <si>
    <t>E2 VOLUMES OF PASSENGER TRANSPORT PER COUNTRY</t>
  </si>
  <si>
    <t>E2.1 PASSENGER TRANSPORT (billion passenger-km) 2018</t>
  </si>
  <si>
    <t>E3 PASSENGER TRANSPORT - MOTOR COACHES, BUSES, TROLLEY BUSES</t>
  </si>
  <si>
    <t>E3.2 BUS TRANSPORT, FUTURE PROJECTION ON TRANSPORT VOLUME</t>
  </si>
  <si>
    <t>E3.3 BUS OCCUPANCY</t>
  </si>
  <si>
    <t>E4 PASSENGER TRANSPORT - PASSENGER CARS</t>
  </si>
  <si>
    <t>E5 PASSENGER TRANSPORT - TRAMS AND METROS</t>
  </si>
  <si>
    <t>E5.1 TRAMS AND METROS / PASSENGER TRANSPORT VOLUME</t>
  </si>
  <si>
    <t>E5.2 TRAM / METRO OCCUPANCY</t>
  </si>
  <si>
    <t>E5.3 METRO SYSTEMS IN EUROPE</t>
  </si>
  <si>
    <t>E5.4 METRO VEHICLE KILOMETERS, ESTIMATE</t>
  </si>
  <si>
    <t>E5.6 TRAM SYSTEMS IN EUROPE</t>
  </si>
  <si>
    <t>E5.7 TRAM VEHICLE KILOMETERS, ESTIMATE</t>
  </si>
  <si>
    <t>E5.8 CITY SHARES IN THE TOTAL NATIONAL TRAM TRANSPORT</t>
  </si>
  <si>
    <t>E6 PASSENGER TRANSPORT - PASSENGER TRAINS</t>
  </si>
  <si>
    <t>E6.2 TRAINS / PASSENGER TRANSPORT, FUTURE PROJECTION ON VOLUME</t>
  </si>
  <si>
    <t>E6.3 TRAIN OCCUPANCY</t>
  </si>
  <si>
    <t>E7 VOLUMES OF FREIGHT TRANSPORT PER COUNTRY</t>
  </si>
  <si>
    <t>E7.1 VOLUME OF FREIGHT TRANSPORT</t>
  </si>
  <si>
    <t>E7.2 MODAL SHARE / FREIGHT TRANSPORT (%)</t>
  </si>
  <si>
    <t>E9 FREIGHT TRANSPORT - ROAD</t>
  </si>
  <si>
    <t>E10 FREIGHT TRANSPORT - INLAND WATER TRANSPORT</t>
  </si>
  <si>
    <t>E10.2 INLAND WATERWAYS / FREIGHT TRANSPORT, FUTURE PROJECTION ON VOLUME</t>
  </si>
  <si>
    <t>kWh/vkm</t>
  </si>
  <si>
    <t>U1 PLANNER USER INPUT 1: BASELINE</t>
  </si>
  <si>
    <t>U2.1 New residents</t>
  </si>
  <si>
    <t>existing environment</t>
  </si>
  <si>
    <t>new development</t>
  </si>
  <si>
    <t>POLICY QUANTIFICATION</t>
  </si>
  <si>
    <t>policy impact</t>
  </si>
  <si>
    <t>U3 POLICY QUANTIFICATION</t>
  </si>
  <si>
    <t>U2 NEW DEVELOPMENT</t>
  </si>
  <si>
    <t>L2.1 PASSENGER TRANSPORT (billion passenger-km)</t>
  </si>
  <si>
    <t>L2.2 MODAL SHARES (%), based on passenger-km</t>
  </si>
  <si>
    <t>total</t>
  </si>
  <si>
    <t>0=no new developments to be quantified</t>
  </si>
  <si>
    <t>U3.5 SHARES OF FUEL TYPES / BUS TRANSPORT</t>
  </si>
  <si>
    <t>Passenger road transport by non-residents</t>
  </si>
  <si>
    <t>very limited</t>
  </si>
  <si>
    <t>very intensive</t>
  </si>
  <si>
    <t>national average intensity</t>
  </si>
  <si>
    <r>
      <t>L5.1 EMISSION FACTORS  (kgCO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/vehicle-km)</t>
    </r>
  </si>
  <si>
    <t>CSO Table 8.10</t>
  </si>
  <si>
    <t>baseline bus CO2e emissions</t>
  </si>
  <si>
    <t>L3 PASSENGER TRANSPORT - BUS</t>
  </si>
  <si>
    <t>LIPASTO. Keskikulutus_avg_consumption_timeseries_2021_2050_ALIISA</t>
  </si>
  <si>
    <t>emission factors</t>
  </si>
  <si>
    <t>shares of engine types</t>
  </si>
  <si>
    <t>shares of engine types, Slovakia and Greece</t>
  </si>
  <si>
    <t>Electricity BEV</t>
  </si>
  <si>
    <t>Plug-in hybrid petrol-electric PHEV</t>
  </si>
  <si>
    <t>Plug-in hybrid diesel-electric PHEV</t>
  </si>
  <si>
    <t>Natural Gas CNG</t>
  </si>
  <si>
    <t>Liquefied Petroleum Gas LPG</t>
  </si>
  <si>
    <t>Biogas for road vehicles. Technology brief. IRENA</t>
  </si>
  <si>
    <t>Alternative energy / NGV (biomethane)</t>
  </si>
  <si>
    <t>emission factors, conversion to rural/urban</t>
  </si>
  <si>
    <t>PHEV, BEV</t>
  </si>
  <si>
    <t>DEFRA Conversion factors.</t>
  </si>
  <si>
    <t>Other (unknown)</t>
  </si>
  <si>
    <t>petro, diesel, hybrid, LPG, CNG, unknown</t>
  </si>
  <si>
    <r>
      <t>average kgCO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e/km</t>
    </r>
  </si>
  <si>
    <t>CITY</t>
  </si>
  <si>
    <t>TOWN</t>
  </si>
  <si>
    <t>SUBURBAN</t>
  </si>
  <si>
    <t xml:space="preserve">RURAL </t>
  </si>
  <si>
    <t>0.18 kWh/pkm</t>
  </si>
  <si>
    <t>0.24 kWh/hkm</t>
  </si>
  <si>
    <t>L 5.6 TRAM EMISSIONS / BASELINE SCENARIO</t>
  </si>
  <si>
    <t>L 5.4 METRO EMISSIONS / BASELINE SCENARIO</t>
  </si>
  <si>
    <t>L.5.5 TRAMS / TRANSPORT ACTIVITY</t>
  </si>
  <si>
    <t>baseline tram CO2e emissions</t>
  </si>
  <si>
    <t>baseline metro CO2e emissions</t>
  </si>
  <si>
    <t>Metro</t>
  </si>
  <si>
    <t>Tram, light train</t>
  </si>
  <si>
    <t>1000 tn CO2e/a</t>
  </si>
  <si>
    <t>Average metro occupancy (passengers)</t>
  </si>
  <si>
    <t>Average tram occupancy (passengers)</t>
  </si>
  <si>
    <t>E6.1 SHARES OF TRAIN ENGINE TYPES AND THE AVERAGE EMISSION FACTOR</t>
  </si>
  <si>
    <t>Residents / baseline</t>
  </si>
  <si>
    <t>New development</t>
  </si>
  <si>
    <t>factor to be applied on results</t>
  </si>
  <si>
    <t>impact of U2.1</t>
  </si>
  <si>
    <t>policy impact %</t>
  </si>
  <si>
    <t>policy impact, total %</t>
  </si>
  <si>
    <t>BASELINE SCENARIO 2021-50</t>
  </si>
  <si>
    <t>includes the projected growth as it is in the baseline</t>
  </si>
  <si>
    <t>additional population + projected growth</t>
  </si>
  <si>
    <t>sum</t>
  </si>
  <si>
    <t>factor - increase in population</t>
  </si>
  <si>
    <t>policy impact by mode of transport</t>
  </si>
  <si>
    <t>MODAL SHARES IN PASSENGER TRANSPORT</t>
  </si>
  <si>
    <t>Metro and tram</t>
  </si>
  <si>
    <t>policy target</t>
  </si>
  <si>
    <t>policy impact factor</t>
  </si>
  <si>
    <t>from inputs</t>
  </si>
  <si>
    <t>what remains (%)</t>
  </si>
  <si>
    <t>MODAL SHARES IN FREIGHT TRANSPORT</t>
  </si>
  <si>
    <t>from baseline</t>
  </si>
  <si>
    <t>driving profiles</t>
  </si>
  <si>
    <t>road, kgCO2e/vehicle-km</t>
  </si>
  <si>
    <r>
      <t>street, kgCO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e/vehicle-km</t>
    </r>
  </si>
  <si>
    <t>transport activity total</t>
  </si>
  <si>
    <t>STREET</t>
  </si>
  <si>
    <t>ROAD</t>
  </si>
  <si>
    <t>transport activity, million vkm</t>
  </si>
  <si>
    <t>emission factor for policy, kgCO2e/vkm</t>
  </si>
  <si>
    <t>emission factor in baseline, kgCO2e/vkm</t>
  </si>
  <si>
    <t>BUS, SHARE OF FUEL TYPES</t>
  </si>
  <si>
    <t>POLICY IMPACT ASSESSMENT</t>
  </si>
  <si>
    <t>PASSENGER CAR, SHARE OF FUEL TYPES</t>
  </si>
  <si>
    <t>impact of U3.7</t>
  </si>
  <si>
    <t>Electricity with policy impact (gCO2e/kWh)</t>
  </si>
  <si>
    <t>BASELINE, IMPACT of U3.1 and U3.2</t>
  </si>
  <si>
    <t>BASELINE AFTER THE IMPACT of U3.5, U3.6, U3.7</t>
  </si>
  <si>
    <t>Total emissions,  cars, tCO2e/a</t>
  </si>
  <si>
    <t>Total emissions, bus, tCO2e/a</t>
  </si>
  <si>
    <t>U3.6 SHARES OF FUEL TYPES / CARS</t>
  </si>
  <si>
    <t>impact of U3.1</t>
  </si>
  <si>
    <t>impact of U3.2</t>
  </si>
  <si>
    <t>annual change caused by the policy</t>
  </si>
  <si>
    <t>Baseline total</t>
  </si>
  <si>
    <t>Policy total</t>
  </si>
  <si>
    <t>Liquefied petroleum gases (LPG)</t>
  </si>
  <si>
    <t>Natural Gas</t>
  </si>
  <si>
    <t>Petrol (excluding hybrids)  </t>
  </si>
  <si>
    <t>Hybrid electric-petrol and plug-in hybrid petrol-electric  </t>
  </si>
  <si>
    <t>Diesel (excluding hybrids)  </t>
  </si>
  <si>
    <t>Hybrid electric-diesel and plug-in hybrid diesel-electric  </t>
  </si>
  <si>
    <t>Biodiesel</t>
  </si>
  <si>
    <t>Compressed natural gas (CNG)  </t>
  </si>
  <si>
    <t>Germany (until 1990 former territory of the FRG)</t>
  </si>
  <si>
    <t>United Kingdom</t>
  </si>
  <si>
    <t>national data: Eurostat, Lorries, by type of motor energy [ROAD_EQS_LORMOT__custom_1478458]</t>
  </si>
  <si>
    <t>kgCO2e/vkm</t>
  </si>
  <si>
    <t>HGV engine type shares 2019</t>
  </si>
  <si>
    <r>
      <t>L 4.2 PASSENGER CARS BY ENGINE TYPE  (kgCO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/vehicle-km)</t>
    </r>
  </si>
  <si>
    <t>L8.4 RAIL FREIGHT EMISSIONS / BASELINE SCENARIO</t>
  </si>
  <si>
    <r>
      <t>average gCO</t>
    </r>
    <r>
      <rPr>
        <vertAlign val="subscript"/>
        <sz val="10"/>
        <color theme="1"/>
        <rFont val="Calibri"/>
        <family val="2"/>
        <charset val="186"/>
        <scheme val="minor"/>
      </rPr>
      <t>2</t>
    </r>
    <r>
      <rPr>
        <sz val="10"/>
        <color theme="1"/>
        <rFont val="Calibri"/>
        <family val="2"/>
        <charset val="186"/>
        <scheme val="minor"/>
      </rPr>
      <t>e/vehicle-km</t>
    </r>
  </si>
  <si>
    <t>baseline road freight CO2e emissions</t>
  </si>
  <si>
    <t>L9.3 HGV DRIVING PROFILE</t>
  </si>
  <si>
    <t>average kgCO2e/vehicle-km</t>
  </si>
  <si>
    <t>street, kgCO2e/vehicle-km</t>
  </si>
  <si>
    <t>L9.2 EMISSION FACTORS FOR LORRIES (HGVs)</t>
  </si>
  <si>
    <t>L9.4 EMISSION FACTORS FOR VANS (LGVs)</t>
  </si>
  <si>
    <t>Weighted grid electricity emission factor</t>
  </si>
  <si>
    <t>impact of U3.3 and U3.4</t>
  </si>
  <si>
    <t>BASELINE, IMPACT of U3.3 and U3.4</t>
  </si>
  <si>
    <t>impact of U3.5 and U3.7 on bus transport</t>
  </si>
  <si>
    <t>impact of U3.6 and 3.7 on passenger transport</t>
  </si>
  <si>
    <t>Microsoft Word - 53dc-dc85-d56a-4841 (igees.gov.ie)</t>
  </si>
  <si>
    <t>Transport Trends Ireland 2020, 7</t>
  </si>
  <si>
    <t>100 % of transport</t>
  </si>
  <si>
    <t>THIS SIDE IS HIDDEN FROM THE USERS</t>
  </si>
  <si>
    <t>Alternative Energy / biomethane NGV</t>
  </si>
  <si>
    <t>HLT2016</t>
  </si>
  <si>
    <t>walking and biking</t>
  </si>
  <si>
    <t xml:space="preserve">train </t>
  </si>
  <si>
    <t>bus</t>
  </si>
  <si>
    <t>car</t>
  </si>
  <si>
    <t>data source (for walking and biking) if missing from the original dataset:</t>
  </si>
  <si>
    <t>the shares of bus, car and train converted from</t>
  </si>
  <si>
    <t>EUROSTAT  Data from nine Member States (seven pilot surveys and two national surveys on passenger 
mobility</t>
  </si>
  <si>
    <t>ODYSSEE-MURE</t>
  </si>
  <si>
    <t>E2.2 AVERAGE PASSENGER MOBILITY (passenger-km/resident, a)</t>
  </si>
  <si>
    <t>https://www.odyssee-mure.eu/publications/efficiency-by-sector/transport/passenger-mobility-per-capita.html</t>
  </si>
  <si>
    <t>E2.3 MODAL SHARES IN MOBILITY (%)</t>
  </si>
  <si>
    <t>the shares of walking and biking</t>
  </si>
  <si>
    <t>EUROSTAT Modal split of passenger transport [T2020_RK310]</t>
  </si>
  <si>
    <t>tässä pitäisi näkyä modal sharen muutos!</t>
  </si>
  <si>
    <t>impact of U2.2</t>
  </si>
  <si>
    <t>BASELINE WITH NEW RESIDENTS, IMPACT OF U2.1</t>
  </si>
  <si>
    <t>million train-km / a</t>
  </si>
  <si>
    <t>billion person-km / a</t>
  </si>
  <si>
    <t xml:space="preserve">electricity emission factor (gCO2e/kWh) </t>
  </si>
  <si>
    <t>HGV CO2e emission factor</t>
  </si>
  <si>
    <t>LGV CO2e emission factor</t>
  </si>
  <si>
    <t>HGV transport activity</t>
  </si>
  <si>
    <t>LGV transport activity</t>
  </si>
  <si>
    <t>tCO2e/a</t>
  </si>
  <si>
    <t>PASSENGER TRANSPORT ACTIVITY (million vkm/a)</t>
  </si>
  <si>
    <t>L 6.4 PASSENGER TRAIN EMISSIONS / BASELINE SCENARIO</t>
  </si>
  <si>
    <t>FREIGHT TRANSPORT ACTIVITY (million vkm/a)</t>
  </si>
  <si>
    <t>Road freight LGVs</t>
  </si>
  <si>
    <t>Road freight HGVs</t>
  </si>
  <si>
    <t>L8.4 INLAND WATERWAYS FREIGHT EMISSIONS / BASELINE SCENARIO</t>
  </si>
  <si>
    <t>baseline freight train CO2e emissions</t>
  </si>
  <si>
    <t>baseline inland waterways freight CO2e emissions</t>
  </si>
  <si>
    <t>U3.3 MODAL SPLIT / PASSENGER TRANSPORT</t>
  </si>
  <si>
    <t>U3.4 MODAL SPLIT / FREIGHT TRANSPORT</t>
  </si>
  <si>
    <t>U3.7 ELECTRICITY FOR TRANSPORT</t>
  </si>
  <si>
    <t>passenger-km/resident, a</t>
  </si>
  <si>
    <t>vehicle-km per capita</t>
  </si>
  <si>
    <t>projection from 2018 to 2021 according to:</t>
  </si>
  <si>
    <t>E3.4 BUS TRANSPORT, FUEL MIX 2019</t>
  </si>
  <si>
    <t>E3.5 ELECTRICITY IN ROAD TRANSPORT</t>
  </si>
  <si>
    <t>gCO2e/vehicle-km</t>
  </si>
  <si>
    <t>million person-km/a</t>
  </si>
  <si>
    <t>project to 2021</t>
  </si>
  <si>
    <t>passenger car</t>
  </si>
  <si>
    <t>passenger train</t>
  </si>
  <si>
    <t>E2.4 CORRECTION FACTORS</t>
  </si>
  <si>
    <t>bus-km per capita x number of residents / 1000000 x factor</t>
  </si>
  <si>
    <t>cutter</t>
  </si>
  <si>
    <t>check</t>
  </si>
  <si>
    <t>prognosis on the share of electric vehicles (%)</t>
  </si>
  <si>
    <t>.2.8</t>
  </si>
  <si>
    <t>L3.2 SHARE OF ELECTRICITY IN ROAD TRANSPORT</t>
  </si>
  <si>
    <t>expected share of electric vehicles (%)</t>
  </si>
  <si>
    <r>
      <t>L3.3 AVERAGE EMISSION FACTOR FOR BUSES  (kgCO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/vehicle-km)</t>
    </r>
  </si>
  <si>
    <t>L3.4 DRIVING PROFILE</t>
  </si>
  <si>
    <t>L3.5 BUS TRANSPORT EMISSIONS / BASELINE SCENARIO</t>
  </si>
  <si>
    <t>2021 including imported energy and transmission losses</t>
  </si>
  <si>
    <t>E3.1 BUS PASSENGER-KM PER CAPITA</t>
  </si>
  <si>
    <t>E9.1 ROAD TRANSPORT VOLUME</t>
  </si>
  <si>
    <t>E9.2 ROAD FREIGHT TRANSPORT, FUTURE PROJECTION ON VOLUME</t>
  </si>
  <si>
    <t>LGV</t>
  </si>
  <si>
    <t>HGV</t>
  </si>
  <si>
    <t>E9.3 NUMBER OF LGVs and HGVs</t>
  </si>
  <si>
    <t xml:space="preserve">source: </t>
  </si>
  <si>
    <t>Vehicles in use Europe. ACEA report. January 2021. European Automobile Manufacturers Association.</t>
  </si>
  <si>
    <t>Vehicles in use: European Union, EFTA, Europe. Light commercial vehicles</t>
  </si>
  <si>
    <t>Vehicles in use: European Union, EFTA, Europe. Medium and heavy commercial vehicles</t>
  </si>
  <si>
    <r>
      <t>E9.3 HGV EMISSION FACTOR PER ENGINE TYPE  (gCO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/km)</t>
    </r>
  </si>
  <si>
    <t>L9.5 HGV DRIVING PROFILE</t>
  </si>
  <si>
    <t>L9.6 ROAD FREIGHT EMISSIONS / BASELINE SCENARIO</t>
  </si>
  <si>
    <t>E8.1 RAIL TRANSPORT VOLUME</t>
  </si>
  <si>
    <t>E8.2 RAIL FREIGHT TRANSPORT, FUTURE PROJECTION ON VOLUME</t>
  </si>
  <si>
    <t>E8 RAIL FREIGHT TRANSPORT</t>
  </si>
  <si>
    <t>average CO2e emission factor</t>
  </si>
  <si>
    <t>kWh/tr-km</t>
  </si>
  <si>
    <t>no railways</t>
  </si>
  <si>
    <t>E8.3 SHARE OF LOCOMOTIVES BY SOURCE OF POWER</t>
  </si>
  <si>
    <t>Eurostat</t>
  </si>
  <si>
    <t>E4.1 CAR PASSENGER-KM PER CAPITA</t>
  </si>
  <si>
    <t>E4.2 PASSENGER CARS, FUTURE PROJECTION ON TRANSPORT VOLUME</t>
  </si>
  <si>
    <t>Transport data collection supporting the quantitative analysis of measures relating to transport and climate change (TRACCS), Emisia, Infras, Swedish Enviromental Research Institute IVL, 2013</t>
  </si>
  <si>
    <t>million vehicle-km</t>
  </si>
  <si>
    <r>
      <t>average gCO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e/vehicle-km</t>
    </r>
  </si>
  <si>
    <t>road, gCO2e/vehicle-km</t>
  </si>
  <si>
    <r>
      <t>street, gCO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e/vehicle-km</t>
    </r>
  </si>
  <si>
    <r>
      <t>average gCO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e/km for the national car fleet</t>
    </r>
  </si>
  <si>
    <t>E4.3 CAR OCCUPANCY</t>
  </si>
  <si>
    <t>E4.4 AVERAGE AGE OF PASSENGER CARS (a)</t>
  </si>
  <si>
    <t>E4.5 PETROL CAR EMISSIONS</t>
  </si>
  <si>
    <t>E4.6 DIESEL CAR EMISSIONS</t>
  </si>
  <si>
    <t>E4.7 PASSENGER CARS BY PROPULSION</t>
  </si>
  <si>
    <t>E4.8 ELECTRICITY IN ROAD TRANSPORT</t>
  </si>
  <si>
    <r>
      <t>gCO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e/vehicle-km</t>
    </r>
  </si>
  <si>
    <t>share  (%)</t>
  </si>
  <si>
    <t>km</t>
  </si>
  <si>
    <t>U1.2 Area</t>
  </si>
  <si>
    <t>km2?</t>
  </si>
  <si>
    <t>link to Google maps</t>
  </si>
  <si>
    <t>N-S measurement (km)</t>
  </si>
  <si>
    <t>E-W measurement (km)</t>
  </si>
  <si>
    <t>explanatory diagram</t>
  </si>
  <si>
    <t>Non-residential road transport</t>
  </si>
  <si>
    <t>Freight transport by road</t>
  </si>
  <si>
    <t>Freight transport by inland waterways</t>
  </si>
  <si>
    <t>Freight transport by rail</t>
  </si>
  <si>
    <t>U1.3 Non-residential and freight</t>
  </si>
  <si>
    <t>U1.4 Metro</t>
  </si>
  <si>
    <t>U1.5 Tram</t>
  </si>
  <si>
    <t>estimate of total metro-km (%)</t>
  </si>
  <si>
    <t>estimate of total tram-km (%)</t>
  </si>
  <si>
    <t>U2.2 Settlement type</t>
  </si>
  <si>
    <t>No. of new residents</t>
  </si>
  <si>
    <t>U3.1 PASSENGER MOBILITY (RESIDENTIAL AND NON-RESIDENTIAL)</t>
  </si>
  <si>
    <t>change in mobility (%)</t>
  </si>
  <si>
    <t>policy period</t>
  </si>
  <si>
    <t>% of the area</t>
  </si>
  <si>
    <t>affected</t>
  </si>
  <si>
    <t>start</t>
  </si>
  <si>
    <t>end</t>
  </si>
  <si>
    <t>expected change %</t>
  </si>
  <si>
    <t>improvement = positive number</t>
  </si>
  <si>
    <t>Increase in the share of renewables</t>
  </si>
  <si>
    <t>target-%</t>
  </si>
  <si>
    <t>share for bus</t>
  </si>
  <si>
    <t>share for tram and metro</t>
  </si>
  <si>
    <t>share for train</t>
  </si>
  <si>
    <t>car passenger</t>
  </si>
  <si>
    <t>without policy</t>
  </si>
  <si>
    <t>U1.1 Settlement type</t>
  </si>
  <si>
    <t>gCO2e/kWh without policy</t>
  </si>
  <si>
    <t>share for rail</t>
  </si>
  <si>
    <t>share for inland waterways</t>
  </si>
  <si>
    <t>share for road freight</t>
  </si>
  <si>
    <t>change in freight transport (%)</t>
  </si>
  <si>
    <t>U3.2 FREIGHT TRANSPORT</t>
  </si>
  <si>
    <t>policy target %</t>
  </si>
  <si>
    <t>E5.5 CITY SHARES IN THE TOTAL NATIONAL METRO TRANSPORT (%)</t>
  </si>
  <si>
    <t>E10.1 INLAND WATERWAYS TRANSPORT VOLUME</t>
  </si>
  <si>
    <r>
      <t>E10.3 EMISSION FACTOR PER ENGINE TYPE  (gCO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/km)</t>
    </r>
  </si>
  <si>
    <t>BASELINE</t>
  </si>
  <si>
    <t>•</t>
  </si>
  <si>
    <t>ACCURACY</t>
  </si>
  <si>
    <t>TIMELINESS</t>
  </si>
  <si>
    <t>COMPARABILITY</t>
  </si>
  <si>
    <t>CONTROL FOR TRAFFIC LIGHTS 1/2/3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</si>
</sst>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-* #,##0.00\ _€_-;\-* #,##0.00\ _€_-;_-* &quot;-&quot;??\ _€_-;_-@_-"/>
    <numFmt numFmtId="165" formatCode="0.0"/>
    <numFmt numFmtId="166" formatCode="#,##0.##########"/>
    <numFmt numFmtId="167" formatCode="#,##0.0"/>
    <numFmt numFmtId="168" formatCode="0.000"/>
    <numFmt numFmtId="169" formatCode="#\ ##0.0"/>
    <numFmt numFmtId="170" formatCode="0.000000"/>
    <numFmt numFmtId="171" formatCode="0.0000"/>
    <numFmt numFmtId="172" formatCode="_-* #,##0.0\ _€_-;\-* #,##0.0\ _€_-;_-* &quot;-&quot;??\ _€_-;_-@_-"/>
    <numFmt numFmtId="173" formatCode="_(* #,##0.000000_);_(* \(#,##0.000000\);_(* &quot;-&quot;??_);_(@_)"/>
    <numFmt numFmtId="174" formatCode="_(* #,##0.000_);_(* \(#,##0.000\);_(* &quot;-&quot;?_);_(@_)"/>
    <numFmt numFmtId="175" formatCode="0.00000"/>
  </numFmts>
  <fonts count="65">
    <font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</font>
    <font>
      <vertAlign val="subscript"/>
      <sz val="10"/>
      <color theme="1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9"/>
      <name val="Arial"/>
      <family val="2"/>
    </font>
    <font>
      <sz val="10"/>
      <color theme="1"/>
      <name val="Calibri"/>
      <family val="2"/>
    </font>
    <font>
      <sz val="9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sz val="10"/>
      <color rgb="FFFF0000"/>
      <name val="Calibri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</font>
    <font>
      <vertAlign val="subscript"/>
      <sz val="14"/>
      <color theme="1"/>
      <name val="Calibri"/>
      <family val="2"/>
      <scheme val="minor"/>
    </font>
    <font>
      <sz val="10"/>
      <color rgb="FFFF0066"/>
      <name val="Calibri"/>
      <family val="2"/>
      <scheme val="minor"/>
    </font>
    <font>
      <i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MS Sans Serif"/>
      <family val="2"/>
      <charset val="161"/>
    </font>
    <font>
      <sz val="11"/>
      <color rgb="FFFF0000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Calibri"/>
      <family val="2"/>
    </font>
    <font>
      <sz val="10"/>
      <color theme="1"/>
      <name val="Arial"/>
      <family val="2"/>
    </font>
    <font>
      <i/>
      <sz val="10"/>
      <color theme="1"/>
      <name val="Calibri"/>
      <family val="2"/>
      <charset val="186"/>
      <scheme val="minor"/>
    </font>
    <font>
      <sz val="10"/>
      <color rgb="FFFF0000"/>
      <name val="Arial"/>
      <family val="2"/>
    </font>
    <font>
      <sz val="10"/>
      <color theme="1"/>
      <name val="Calibri"/>
      <family val="2"/>
      <charset val="186"/>
      <scheme val="minor"/>
    </font>
    <font>
      <sz val="10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i/>
      <sz val="11"/>
      <color theme="0" tint="-0.499984740745262"/>
      <name val="Calibri"/>
      <family val="2"/>
      <charset val="186"/>
      <scheme val="minor"/>
    </font>
    <font>
      <b/>
      <sz val="10"/>
      <color theme="1"/>
      <name val="Calibri"/>
      <family val="2"/>
      <charset val="186"/>
      <scheme val="minor"/>
    </font>
    <font>
      <sz val="10"/>
      <color theme="0" tint="-0.499984740745262"/>
      <name val="Calibri"/>
      <family val="2"/>
      <charset val="186"/>
      <scheme val="minor"/>
    </font>
    <font>
      <i/>
      <sz val="10"/>
      <color theme="0" tint="-0.499984740745262"/>
      <name val="Calibri"/>
      <family val="2"/>
      <charset val="186"/>
      <scheme val="minor"/>
    </font>
    <font>
      <b/>
      <sz val="9"/>
      <color indexed="9"/>
      <name val="Arial"/>
      <family val="2"/>
      <charset val="186"/>
    </font>
    <font>
      <vertAlign val="subscript"/>
      <sz val="10"/>
      <color theme="1"/>
      <name val="Calibri"/>
      <family val="2"/>
      <charset val="186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charset val="186"/>
      <scheme val="minor"/>
    </font>
    <font>
      <i/>
      <sz val="10"/>
      <name val="Calibri"/>
      <family val="2"/>
      <charset val="186"/>
    </font>
    <font>
      <sz val="10"/>
      <color rgb="FFFF0000"/>
      <name val="Calibri"/>
      <family val="2"/>
      <charset val="186"/>
      <scheme val="minor"/>
    </font>
    <font>
      <i/>
      <u/>
      <sz val="11"/>
      <color theme="10"/>
      <name val="Calibri"/>
      <family val="2"/>
      <charset val="186"/>
      <scheme val="minor"/>
    </font>
    <font>
      <i/>
      <sz val="12"/>
      <name val="Calibri"/>
      <family val="2"/>
      <charset val="186"/>
      <scheme val="minor"/>
    </font>
    <font>
      <i/>
      <sz val="10"/>
      <color rgb="FFFF0000"/>
      <name val="Calibri"/>
      <family val="2"/>
      <charset val="186"/>
      <scheme val="minor"/>
    </font>
    <font>
      <i/>
      <sz val="10"/>
      <color rgb="FFFF0066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</font>
    <font>
      <b/>
      <sz val="10"/>
      <color rgb="FFFF0066"/>
      <name val="Calibri"/>
      <family val="2"/>
      <scheme val="minor"/>
    </font>
    <font>
      <i/>
      <sz val="10"/>
      <color rgb="FFFF0066"/>
      <name val="Calibri"/>
      <family val="2"/>
      <charset val="186"/>
      <scheme val="minor"/>
    </font>
    <font>
      <sz val="11"/>
      <color theme="1"/>
      <name val="Calibri"/>
      <family val="2"/>
      <charset val="186"/>
    </font>
    <font>
      <sz val="36"/>
      <color rgb="FF92D050"/>
      <name val="Calibri"/>
      <family val="2"/>
      <scheme val="minor"/>
    </font>
    <font>
      <sz val="36"/>
      <color rgb="FFFFC000"/>
      <name val="Calibri"/>
      <family val="2"/>
      <scheme val="minor"/>
    </font>
    <font>
      <sz val="36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4669AF"/>
      </patternFill>
    </fill>
    <fill>
      <patternFill patternType="solid">
        <fgColor theme="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22" fillId="0" borderId="0"/>
    <xf numFmtId="164" fontId="29" fillId="0" borderId="0" applyFont="0" applyFill="0" applyBorder="0" applyAlignment="0" applyProtection="0"/>
    <xf numFmtId="0" fontId="36" fillId="0" borderId="0"/>
    <xf numFmtId="0" fontId="48" fillId="0" borderId="0" applyNumberFormat="0" applyFill="0" applyBorder="0" applyAlignment="0" applyProtection="0"/>
  </cellStyleXfs>
  <cellXfs count="788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1" xfId="0" applyFill="1" applyBorder="1"/>
    <xf numFmtId="0" fontId="4" fillId="0" borderId="0" xfId="0" applyFont="1"/>
    <xf numFmtId="0" fontId="0" fillId="2" borderId="5" xfId="0" applyFill="1" applyBorder="1"/>
    <xf numFmtId="0" fontId="0" fillId="2" borderId="12" xfId="0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center" vertical="center" shrinkToFit="1"/>
    </xf>
    <xf numFmtId="0" fontId="7" fillId="2" borderId="4" xfId="0" applyFont="1" applyFill="1" applyBorder="1"/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9" xfId="0" applyFont="1" applyFill="1" applyBorder="1"/>
    <xf numFmtId="0" fontId="8" fillId="2" borderId="0" xfId="0" applyFont="1" applyFill="1" applyBorder="1" applyAlignment="1">
      <alignment horizontal="right"/>
    </xf>
    <xf numFmtId="3" fontId="9" fillId="2" borderId="0" xfId="0" applyNumberFormat="1" applyFont="1" applyFill="1" applyBorder="1" applyAlignment="1">
      <alignment horizontal="center" vertical="center" shrinkToFit="1"/>
    </xf>
    <xf numFmtId="0" fontId="10" fillId="2" borderId="0" xfId="0" applyFont="1" applyFill="1" applyBorder="1" applyAlignment="1">
      <alignment horizontal="center" vertical="center"/>
    </xf>
    <xf numFmtId="0" fontId="9" fillId="2" borderId="0" xfId="0" applyFont="1" applyFill="1" applyBorder="1"/>
    <xf numFmtId="3" fontId="9" fillId="2" borderId="0" xfId="0" applyNumberFormat="1" applyFont="1" applyFill="1" applyBorder="1" applyAlignment="1">
      <alignment horizontal="right" vertical="center" shrinkToFit="1"/>
    </xf>
    <xf numFmtId="0" fontId="9" fillId="2" borderId="8" xfId="0" applyFont="1" applyFill="1" applyBorder="1"/>
    <xf numFmtId="0" fontId="9" fillId="2" borderId="0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left"/>
    </xf>
    <xf numFmtId="0" fontId="8" fillId="2" borderId="0" xfId="0" applyFont="1" applyFill="1" applyBorder="1"/>
    <xf numFmtId="0" fontId="8" fillId="2" borderId="8" xfId="0" applyFont="1" applyFill="1" applyBorder="1"/>
    <xf numFmtId="0" fontId="8" fillId="2" borderId="10" xfId="0" applyFont="1" applyFill="1" applyBorder="1" applyAlignment="1">
      <alignment horizontal="right"/>
    </xf>
    <xf numFmtId="0" fontId="8" fillId="2" borderId="11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2" borderId="9" xfId="0" applyFont="1" applyFill="1" applyBorder="1"/>
    <xf numFmtId="166" fontId="9" fillId="2" borderId="0" xfId="0" applyNumberFormat="1" applyFont="1" applyFill="1" applyBorder="1" applyAlignment="1">
      <alignment horizontal="center" vertical="center" shrinkToFit="1"/>
    </xf>
    <xf numFmtId="167" fontId="9" fillId="2" borderId="0" xfId="0" applyNumberFormat="1" applyFont="1" applyFill="1" applyBorder="1" applyAlignment="1">
      <alignment horizontal="center" vertical="center" shrinkToFit="1"/>
    </xf>
    <xf numFmtId="0" fontId="10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right"/>
    </xf>
    <xf numFmtId="0" fontId="11" fillId="2" borderId="0" xfId="0" applyFont="1" applyFill="1" applyBorder="1" applyAlignment="1">
      <alignment horizontal="left"/>
    </xf>
    <xf numFmtId="0" fontId="11" fillId="2" borderId="0" xfId="0" applyFont="1" applyFill="1" applyBorder="1"/>
    <xf numFmtId="165" fontId="8" fillId="2" borderId="0" xfId="0" applyNumberFormat="1" applyFont="1" applyFill="1" applyBorder="1" applyAlignment="1">
      <alignment horizontal="center"/>
    </xf>
    <xf numFmtId="0" fontId="8" fillId="2" borderId="11" xfId="0" applyFont="1" applyFill="1" applyBorder="1"/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0" fontId="8" fillId="2" borderId="10" xfId="0" applyFont="1" applyFill="1" applyBorder="1"/>
    <xf numFmtId="165" fontId="7" fillId="2" borderId="11" xfId="0" applyNumberFormat="1" applyFont="1" applyFill="1" applyBorder="1" applyAlignment="1">
      <alignment horizontal="center"/>
    </xf>
    <xf numFmtId="0" fontId="7" fillId="2" borderId="4" xfId="0" quotePrefix="1" applyFont="1" applyFill="1" applyBorder="1"/>
    <xf numFmtId="0" fontId="8" fillId="2" borderId="5" xfId="0" applyFont="1" applyFill="1" applyBorder="1"/>
    <xf numFmtId="0" fontId="8" fillId="2" borderId="6" xfId="0" applyFont="1" applyFill="1" applyBorder="1"/>
    <xf numFmtId="2" fontId="8" fillId="2" borderId="0" xfId="0" applyNumberFormat="1" applyFont="1" applyFill="1" applyBorder="1"/>
    <xf numFmtId="0" fontId="8" fillId="2" borderId="12" xfId="0" applyFont="1" applyFill="1" applyBorder="1"/>
    <xf numFmtId="0" fontId="8" fillId="2" borderId="17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2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left"/>
    </xf>
    <xf numFmtId="166" fontId="12" fillId="2" borderId="0" xfId="0" applyNumberFormat="1" applyFont="1" applyFill="1" applyBorder="1" applyAlignment="1">
      <alignment horizontal="center" vertical="center" shrinkToFit="1"/>
    </xf>
    <xf numFmtId="167" fontId="12" fillId="2" borderId="0" xfId="0" applyNumberFormat="1" applyFont="1" applyFill="1" applyBorder="1" applyAlignment="1">
      <alignment horizontal="center" vertical="center" shrinkToFit="1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2" borderId="2" xfId="0" applyFont="1" applyFill="1" applyBorder="1"/>
    <xf numFmtId="0" fontId="0" fillId="0" borderId="0" xfId="0" applyBorder="1"/>
    <xf numFmtId="167" fontId="17" fillId="2" borderId="0" xfId="0" applyNumberFormat="1" applyFont="1" applyFill="1" applyBorder="1" applyAlignment="1">
      <alignment horizontal="center"/>
    </xf>
    <xf numFmtId="167" fontId="17" fillId="2" borderId="2" xfId="0" applyNumberFormat="1" applyFont="1" applyFill="1" applyBorder="1" applyAlignment="1">
      <alignment horizontal="center"/>
    </xf>
    <xf numFmtId="3" fontId="16" fillId="0" borderId="0" xfId="0" applyNumberFormat="1" applyFont="1" applyFill="1" applyAlignment="1">
      <alignment horizontal="center" vertical="center" shrinkToFit="1"/>
    </xf>
    <xf numFmtId="0" fontId="8" fillId="2" borderId="20" xfId="0" applyFont="1" applyFill="1" applyBorder="1" applyAlignment="1">
      <alignment horizontal="center"/>
    </xf>
    <xf numFmtId="167" fontId="12" fillId="2" borderId="2" xfId="0" applyNumberFormat="1" applyFont="1" applyFill="1" applyBorder="1" applyAlignment="1">
      <alignment horizontal="center" vertical="center" shrinkToFit="1"/>
    </xf>
    <xf numFmtId="0" fontId="11" fillId="2" borderId="10" xfId="0" applyFont="1" applyFill="1" applyBorder="1" applyAlignment="1">
      <alignment horizontal="right"/>
    </xf>
    <xf numFmtId="0" fontId="11" fillId="2" borderId="11" xfId="0" applyFont="1" applyFill="1" applyBorder="1"/>
    <xf numFmtId="165" fontId="8" fillId="2" borderId="11" xfId="0" applyNumberFormat="1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8" fontId="8" fillId="2" borderId="0" xfId="0" applyNumberFormat="1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/>
    </xf>
    <xf numFmtId="0" fontId="0" fillId="0" borderId="0" xfId="0" applyFill="1"/>
    <xf numFmtId="3" fontId="5" fillId="2" borderId="8" xfId="0" applyNumberFormat="1" applyFont="1" applyFill="1" applyBorder="1" applyAlignment="1">
      <alignment horizontal="center" vertical="center" shrinkToFit="1"/>
    </xf>
    <xf numFmtId="3" fontId="5" fillId="2" borderId="11" xfId="0" applyNumberFormat="1" applyFont="1" applyFill="1" applyBorder="1" applyAlignment="1">
      <alignment horizontal="center" vertical="center" shrinkToFit="1"/>
    </xf>
    <xf numFmtId="3" fontId="5" fillId="2" borderId="12" xfId="0" applyNumberFormat="1" applyFont="1" applyFill="1" applyBorder="1" applyAlignment="1">
      <alignment horizontal="center" vertical="center" shrinkToFit="1"/>
    </xf>
    <xf numFmtId="168" fontId="8" fillId="2" borderId="2" xfId="0" applyNumberFormat="1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 vertical="center" shrinkToFit="1"/>
    </xf>
    <xf numFmtId="0" fontId="8" fillId="2" borderId="8" xfId="0" applyFont="1" applyFill="1" applyBorder="1" applyAlignment="1">
      <alignment horizontal="right"/>
    </xf>
    <xf numFmtId="0" fontId="11" fillId="0" borderId="0" xfId="0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165" fontId="2" fillId="0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8" fillId="2" borderId="0" xfId="0" applyFont="1" applyFill="1"/>
    <xf numFmtId="0" fontId="19" fillId="2" borderId="0" xfId="0" applyFont="1" applyFill="1" applyBorder="1" applyAlignment="1">
      <alignment horizontal="center"/>
    </xf>
    <xf numFmtId="165" fontId="8" fillId="2" borderId="0" xfId="0" applyNumberFormat="1" applyFont="1" applyFill="1" applyAlignment="1">
      <alignment horizontal="center"/>
    </xf>
    <xf numFmtId="165" fontId="19" fillId="2" borderId="0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4" fillId="2" borderId="0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17" fillId="2" borderId="2" xfId="0" applyFont="1" applyFill="1" applyBorder="1" applyAlignment="1">
      <alignment horizontal="center"/>
    </xf>
    <xf numFmtId="167" fontId="21" fillId="2" borderId="0" xfId="0" applyNumberFormat="1" applyFont="1" applyFill="1" applyBorder="1" applyAlignment="1">
      <alignment horizontal="center" vertical="center" shrinkToFit="1"/>
    </xf>
    <xf numFmtId="165" fontId="12" fillId="2" borderId="0" xfId="1" applyNumberFormat="1" applyFont="1" applyFill="1" applyBorder="1" applyAlignment="1">
      <alignment horizontal="center"/>
    </xf>
    <xf numFmtId="169" fontId="12" fillId="2" borderId="0" xfId="1" applyNumberFormat="1" applyFont="1" applyFill="1" applyBorder="1" applyAlignment="1">
      <alignment horizontal="center" vertical="center"/>
    </xf>
    <xf numFmtId="165" fontId="12" fillId="2" borderId="0" xfId="1" applyNumberFormat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" fillId="0" borderId="0" xfId="0" applyFont="1" applyFill="1"/>
    <xf numFmtId="0" fontId="0" fillId="2" borderId="0" xfId="0" applyFill="1" applyAlignment="1">
      <alignment horizontal="center"/>
    </xf>
    <xf numFmtId="0" fontId="17" fillId="2" borderId="0" xfId="0" applyFont="1" applyFill="1" applyBorder="1" applyAlignment="1">
      <alignment horizontal="center"/>
    </xf>
    <xf numFmtId="165" fontId="12" fillId="0" borderId="0" xfId="1" applyNumberFormat="1" applyFont="1" applyFill="1" applyBorder="1" applyAlignment="1">
      <alignment horizontal="center"/>
    </xf>
    <xf numFmtId="2" fontId="8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0" fontId="7" fillId="2" borderId="5" xfId="0" applyFont="1" applyFill="1" applyBorder="1"/>
    <xf numFmtId="0" fontId="8" fillId="2" borderId="8" xfId="0" applyFont="1" applyFill="1" applyBorder="1" applyAlignment="1">
      <alignment horizontal="left"/>
    </xf>
    <xf numFmtId="0" fontId="21" fillId="2" borderId="0" xfId="0" applyFont="1" applyFill="1" applyBorder="1" applyAlignment="1">
      <alignment horizontal="center"/>
    </xf>
    <xf numFmtId="0" fontId="7" fillId="2" borderId="7" xfId="0" applyFont="1" applyFill="1" applyBorder="1"/>
    <xf numFmtId="0" fontId="18" fillId="2" borderId="6" xfId="0" applyFont="1" applyFill="1" applyBorder="1" applyAlignment="1">
      <alignment horizontal="center"/>
    </xf>
    <xf numFmtId="0" fontId="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4" fillId="2" borderId="2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12" xfId="0" applyFill="1" applyBorder="1"/>
    <xf numFmtId="0" fontId="2" fillId="2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2" borderId="2" xfId="0" applyFont="1" applyFill="1" applyBorder="1" applyAlignment="1">
      <alignment horizontal="center"/>
    </xf>
    <xf numFmtId="0" fontId="0" fillId="2" borderId="20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left"/>
    </xf>
    <xf numFmtId="0" fontId="24" fillId="2" borderId="2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left"/>
    </xf>
    <xf numFmtId="165" fontId="15" fillId="0" borderId="1" xfId="0" applyNumberFormat="1" applyFont="1" applyFill="1" applyBorder="1" applyAlignment="1">
      <alignment horizontal="center"/>
    </xf>
    <xf numFmtId="165" fontId="25" fillId="0" borderId="1" xfId="0" applyNumberFormat="1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17" fillId="2" borderId="0" xfId="0" applyFont="1" applyFill="1" applyBorder="1"/>
    <xf numFmtId="168" fontId="15" fillId="0" borderId="1" xfId="0" applyNumberFormat="1" applyFont="1" applyFill="1" applyBorder="1" applyAlignment="1">
      <alignment horizontal="center"/>
    </xf>
    <xf numFmtId="0" fontId="0" fillId="2" borderId="11" xfId="0" applyFont="1" applyFill="1" applyBorder="1"/>
    <xf numFmtId="0" fontId="0" fillId="2" borderId="1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7" fillId="2" borderId="0" xfId="0" applyNumberFormat="1" applyFont="1" applyFill="1" applyBorder="1" applyAlignment="1">
      <alignment horizontal="center"/>
    </xf>
    <xf numFmtId="165" fontId="21" fillId="2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ill="1" applyAlignment="1">
      <alignment horizontal="left"/>
    </xf>
    <xf numFmtId="168" fontId="25" fillId="0" borderId="1" xfId="0" applyNumberFormat="1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0" fillId="2" borderId="0" xfId="0" applyFont="1" applyFill="1"/>
    <xf numFmtId="0" fontId="0" fillId="0" borderId="0" xfId="0" applyFont="1" applyFill="1"/>
    <xf numFmtId="1" fontId="15" fillId="0" borderId="1" xfId="0" applyNumberFormat="1" applyFont="1" applyBorder="1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5" fontId="15" fillId="2" borderId="0" xfId="0" applyNumberFormat="1" applyFont="1" applyFill="1" applyBorder="1" applyAlignment="1">
      <alignment horizontal="center"/>
    </xf>
    <xf numFmtId="165" fontId="15" fillId="2" borderId="2" xfId="0" applyNumberFormat="1" applyFont="1" applyFill="1" applyBorder="1" applyAlignment="1">
      <alignment horizontal="center"/>
    </xf>
    <xf numFmtId="0" fontId="7" fillId="2" borderId="0" xfId="0" applyFont="1" applyFill="1" applyBorder="1"/>
    <xf numFmtId="0" fontId="18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right"/>
    </xf>
    <xf numFmtId="0" fontId="7" fillId="2" borderId="16" xfId="0" quotePrefix="1" applyFont="1" applyFill="1" applyBorder="1"/>
    <xf numFmtId="0" fontId="23" fillId="2" borderId="17" xfId="0" applyFont="1" applyFill="1" applyBorder="1" applyAlignment="1">
      <alignment horizontal="center"/>
    </xf>
    <xf numFmtId="0" fontId="15" fillId="4" borderId="20" xfId="0" applyFont="1" applyFill="1" applyBorder="1" applyAlignment="1">
      <alignment horizontal="center"/>
    </xf>
    <xf numFmtId="0" fontId="0" fillId="2" borderId="6" xfId="0" applyFill="1" applyBorder="1"/>
    <xf numFmtId="0" fontId="3" fillId="2" borderId="2" xfId="0" applyFont="1" applyFill="1" applyBorder="1" applyAlignment="1">
      <alignment horizontal="left"/>
    </xf>
    <xf numFmtId="168" fontId="15" fillId="2" borderId="0" xfId="0" applyNumberFormat="1" applyFont="1" applyFill="1" applyBorder="1" applyAlignment="1">
      <alignment horizontal="center"/>
    </xf>
    <xf numFmtId="168" fontId="15" fillId="2" borderId="2" xfId="0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2" fontId="8" fillId="2" borderId="8" xfId="0" applyNumberFormat="1" applyFont="1" applyFill="1" applyBorder="1" applyAlignment="1">
      <alignment horizontal="center"/>
    </xf>
    <xf numFmtId="0" fontId="8" fillId="2" borderId="0" xfId="0" applyFont="1" applyFill="1" applyBorder="1" applyAlignment="1">
      <alignment horizontal="left"/>
    </xf>
    <xf numFmtId="0" fontId="12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166" fontId="12" fillId="4" borderId="0" xfId="0" applyNumberFormat="1" applyFont="1" applyFill="1" applyBorder="1" applyAlignment="1">
      <alignment horizontal="center" vertical="center" shrinkToFit="1"/>
    </xf>
    <xf numFmtId="165" fontId="8" fillId="2" borderId="2" xfId="0" applyNumberFormat="1" applyFont="1" applyFill="1" applyBorder="1" applyAlignment="1">
      <alignment horizontal="center"/>
    </xf>
    <xf numFmtId="165" fontId="19" fillId="2" borderId="2" xfId="0" applyNumberFormat="1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2" borderId="20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165" fontId="21" fillId="2" borderId="0" xfId="0" applyNumberFormat="1" applyFont="1" applyFill="1" applyBorder="1" applyAlignment="1">
      <alignment horizontal="center" vertical="center" shrinkToFit="1"/>
    </xf>
    <xf numFmtId="165" fontId="12" fillId="2" borderId="0" xfId="0" applyNumberFormat="1" applyFont="1" applyFill="1" applyBorder="1" applyAlignment="1">
      <alignment horizontal="center" vertical="center" shrinkToFit="1"/>
    </xf>
    <xf numFmtId="165" fontId="12" fillId="2" borderId="0" xfId="1" applyNumberFormat="1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center"/>
    </xf>
    <xf numFmtId="165" fontId="8" fillId="5" borderId="0" xfId="0" applyNumberFormat="1" applyFont="1" applyFill="1" applyBorder="1" applyAlignment="1">
      <alignment horizontal="center"/>
    </xf>
    <xf numFmtId="0" fontId="0" fillId="4" borderId="0" xfId="0" applyFill="1" applyBorder="1"/>
    <xf numFmtId="0" fontId="0" fillId="0" borderId="0" xfId="0" applyAlignment="1">
      <alignment vertical="center"/>
    </xf>
    <xf numFmtId="0" fontId="8" fillId="2" borderId="4" xfId="0" applyFont="1" applyFill="1" applyBorder="1"/>
    <xf numFmtId="0" fontId="11" fillId="2" borderId="2" xfId="0" applyFont="1" applyFill="1" applyBorder="1"/>
    <xf numFmtId="0" fontId="8" fillId="2" borderId="10" xfId="0" applyFont="1" applyFill="1" applyBorder="1" applyAlignment="1">
      <alignment horizontal="left" vertical="center"/>
    </xf>
    <xf numFmtId="2" fontId="8" fillId="2" borderId="11" xfId="0" applyNumberFormat="1" applyFont="1" applyFill="1" applyBorder="1" applyAlignment="1">
      <alignment horizontal="center"/>
    </xf>
    <xf numFmtId="0" fontId="8" fillId="2" borderId="9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14" fillId="2" borderId="0" xfId="0" applyFont="1" applyFill="1" applyBorder="1"/>
    <xf numFmtId="0" fontId="11" fillId="2" borderId="0" xfId="0" applyFont="1" applyFill="1" applyBorder="1" applyAlignment="1">
      <alignment horizontal="center"/>
    </xf>
    <xf numFmtId="0" fontId="9" fillId="2" borderId="9" xfId="0" applyFont="1" applyFill="1" applyBorder="1"/>
    <xf numFmtId="0" fontId="9" fillId="2" borderId="7" xfId="0" applyFont="1" applyFill="1" applyBorder="1"/>
    <xf numFmtId="0" fontId="9" fillId="2" borderId="0" xfId="0" applyFont="1" applyFill="1" applyBorder="1" applyAlignment="1">
      <alignment horizontal="center" vertical="center"/>
    </xf>
    <xf numFmtId="0" fontId="9" fillId="2" borderId="6" xfId="0" applyFont="1" applyFill="1" applyBorder="1"/>
    <xf numFmtId="0" fontId="19" fillId="2" borderId="0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2" fontId="19" fillId="2" borderId="0" xfId="0" applyNumberFormat="1" applyFont="1" applyFill="1" applyAlignment="1">
      <alignment horizontal="center"/>
    </xf>
    <xf numFmtId="0" fontId="27" fillId="2" borderId="0" xfId="0" quotePrefix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14" fillId="2" borderId="4" xfId="0" applyFont="1" applyFill="1" applyBorder="1"/>
    <xf numFmtId="0" fontId="8" fillId="2" borderId="2" xfId="0" applyFont="1" applyFill="1" applyBorder="1" applyAlignment="1">
      <alignment horizontal="center"/>
    </xf>
    <xf numFmtId="167" fontId="19" fillId="2" borderId="0" xfId="0" applyNumberFormat="1" applyFont="1" applyFill="1" applyAlignment="1">
      <alignment horizontal="center"/>
    </xf>
    <xf numFmtId="2" fontId="19" fillId="2" borderId="0" xfId="0" quotePrefix="1" applyNumberFormat="1" applyFont="1" applyFill="1" applyAlignment="1">
      <alignment horizontal="center"/>
    </xf>
    <xf numFmtId="0" fontId="7" fillId="2" borderId="9" xfId="0" applyFont="1" applyFill="1" applyBorder="1" applyAlignment="1">
      <alignment horizontal="left"/>
    </xf>
    <xf numFmtId="3" fontId="21" fillId="2" borderId="0" xfId="0" quotePrefix="1" applyNumberFormat="1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center"/>
    </xf>
    <xf numFmtId="168" fontId="15" fillId="0" borderId="26" xfId="0" applyNumberFormat="1" applyFont="1" applyFill="1" applyBorder="1" applyAlignment="1">
      <alignment horizontal="center"/>
    </xf>
    <xf numFmtId="168" fontId="8" fillId="2" borderId="19" xfId="0" applyNumberFormat="1" applyFont="1" applyFill="1" applyBorder="1" applyAlignment="1">
      <alignment horizontal="center"/>
    </xf>
    <xf numFmtId="168" fontId="8" fillId="2" borderId="20" xfId="0" applyNumberFormat="1" applyFont="1" applyFill="1" applyBorder="1" applyAlignment="1">
      <alignment horizontal="center"/>
    </xf>
    <xf numFmtId="0" fontId="7" fillId="2" borderId="22" xfId="0" applyFont="1" applyFill="1" applyBorder="1"/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168" fontId="9" fillId="2" borderId="0" xfId="0" applyNumberFormat="1" applyFont="1" applyFill="1" applyBorder="1" applyAlignment="1">
      <alignment horizontal="center"/>
    </xf>
    <xf numFmtId="0" fontId="2" fillId="2" borderId="0" xfId="0" applyFont="1" applyFill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2" fillId="0" borderId="1" xfId="0" applyFont="1" applyFill="1" applyBorder="1"/>
    <xf numFmtId="168" fontId="7" fillId="2" borderId="0" xfId="0" applyNumberFormat="1" applyFont="1" applyFill="1" applyBorder="1" applyAlignment="1">
      <alignment horizontal="center"/>
    </xf>
    <xf numFmtId="0" fontId="15" fillId="0" borderId="1" xfId="0" applyFont="1" applyFill="1" applyBorder="1"/>
    <xf numFmtId="168" fontId="8" fillId="2" borderId="0" xfId="0" applyNumberFormat="1" applyFont="1" applyFill="1" applyBorder="1" applyAlignment="1">
      <alignment horizontal="left"/>
    </xf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168" fontId="25" fillId="0" borderId="25" xfId="0" applyNumberFormat="1" applyFont="1" applyFill="1" applyBorder="1" applyAlignment="1">
      <alignment horizontal="center"/>
    </xf>
    <xf numFmtId="170" fontId="25" fillId="0" borderId="3" xfId="0" applyNumberFormat="1" applyFont="1" applyFill="1" applyBorder="1" applyAlignment="1">
      <alignment horizontal="center"/>
    </xf>
    <xf numFmtId="170" fontId="24" fillId="2" borderId="0" xfId="0" applyNumberFormat="1" applyFont="1" applyFill="1" applyBorder="1" applyAlignment="1">
      <alignment horizontal="center"/>
    </xf>
    <xf numFmtId="170" fontId="24" fillId="2" borderId="2" xfId="0" applyNumberFormat="1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168" fontId="25" fillId="0" borderId="3" xfId="0" applyNumberFormat="1" applyFont="1" applyFill="1" applyBorder="1" applyAlignment="1">
      <alignment horizontal="center"/>
    </xf>
    <xf numFmtId="0" fontId="25" fillId="0" borderId="1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7" fillId="2" borderId="19" xfId="0" applyFont="1" applyFill="1" applyBorder="1"/>
    <xf numFmtId="0" fontId="7" fillId="2" borderId="19" xfId="0" applyFont="1" applyFill="1" applyBorder="1" applyAlignment="1">
      <alignment horizontal="center"/>
    </xf>
    <xf numFmtId="165" fontId="7" fillId="2" borderId="30" xfId="0" applyNumberFormat="1" applyFont="1" applyFill="1" applyBorder="1" applyAlignment="1">
      <alignment horizontal="center"/>
    </xf>
    <xf numFmtId="3" fontId="27" fillId="2" borderId="0" xfId="0" applyNumberFormat="1" applyFont="1" applyFill="1" applyBorder="1" applyAlignment="1">
      <alignment horizontal="center" vertical="center" shrinkToFit="1"/>
    </xf>
    <xf numFmtId="164" fontId="0" fillId="2" borderId="0" xfId="2" applyFont="1" applyFill="1" applyBorder="1"/>
    <xf numFmtId="0" fontId="8" fillId="2" borderId="2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68" fontId="30" fillId="0" borderId="0" xfId="0" applyNumberFormat="1" applyFont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left"/>
    </xf>
    <xf numFmtId="2" fontId="25" fillId="0" borderId="1" xfId="0" applyNumberFormat="1" applyFont="1" applyFill="1" applyBorder="1" applyAlignment="1">
      <alignment horizontal="center"/>
    </xf>
    <xf numFmtId="164" fontId="31" fillId="2" borderId="0" xfId="2" applyFont="1" applyFill="1" applyBorder="1"/>
    <xf numFmtId="2" fontId="12" fillId="2" borderId="0" xfId="0" applyNumberFormat="1" applyFont="1" applyFill="1" applyBorder="1" applyAlignment="1">
      <alignment horizontal="center" vertical="center" shrinkToFit="1"/>
    </xf>
    <xf numFmtId="0" fontId="28" fillId="2" borderId="0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left"/>
    </xf>
    <xf numFmtId="0" fontId="3" fillId="6" borderId="15" xfId="0" applyFont="1" applyFill="1" applyBorder="1" applyAlignment="1">
      <alignment horizontal="left"/>
    </xf>
    <xf numFmtId="0" fontId="3" fillId="6" borderId="13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165" fontId="9" fillId="2" borderId="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165" fontId="9" fillId="2" borderId="2" xfId="0" applyNumberFormat="1" applyFont="1" applyFill="1" applyBorder="1" applyAlignment="1">
      <alignment horizontal="center"/>
    </xf>
    <xf numFmtId="0" fontId="15" fillId="8" borderId="1" xfId="0" applyFont="1" applyFill="1" applyBorder="1"/>
    <xf numFmtId="0" fontId="15" fillId="0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Border="1" applyAlignment="1">
      <alignment horizontal="center"/>
    </xf>
    <xf numFmtId="0" fontId="9" fillId="2" borderId="0" xfId="0" applyFont="1" applyFill="1"/>
    <xf numFmtId="0" fontId="28" fillId="2" borderId="0" xfId="0" applyFont="1" applyFill="1"/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/>
    </xf>
    <xf numFmtId="165" fontId="28" fillId="2" borderId="0" xfId="0" applyNumberFormat="1" applyFont="1" applyFill="1" applyAlignment="1">
      <alignment horizontal="left"/>
    </xf>
    <xf numFmtId="0" fontId="0" fillId="2" borderId="20" xfId="0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0" fillId="2" borderId="30" xfId="0" applyFill="1" applyBorder="1"/>
    <xf numFmtId="0" fontId="8" fillId="2" borderId="2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8" fillId="2" borderId="0" xfId="0" applyFont="1" applyFill="1" applyBorder="1"/>
    <xf numFmtId="0" fontId="8" fillId="2" borderId="0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165" fontId="9" fillId="2" borderId="0" xfId="0" applyNumberFormat="1" applyFont="1" applyFill="1" applyAlignment="1">
      <alignment horizontal="center"/>
    </xf>
    <xf numFmtId="1" fontId="8" fillId="2" borderId="0" xfId="0" applyNumberFormat="1" applyFont="1" applyFill="1" applyAlignment="1">
      <alignment horizontal="center"/>
    </xf>
    <xf numFmtId="1" fontId="9" fillId="2" borderId="0" xfId="0" applyNumberFormat="1" applyFont="1" applyFill="1" applyAlignment="1">
      <alignment horizontal="center"/>
    </xf>
    <xf numFmtId="0" fontId="32" fillId="2" borderId="0" xfId="0" applyFont="1" applyFill="1" applyBorder="1" applyAlignment="1">
      <alignment horizontal="left"/>
    </xf>
    <xf numFmtId="0" fontId="32" fillId="2" borderId="0" xfId="0" applyFont="1" applyFill="1" applyBorder="1"/>
    <xf numFmtId="0" fontId="9" fillId="2" borderId="0" xfId="0" quotePrefix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5" fontId="28" fillId="2" borderId="0" xfId="0" applyNumberFormat="1" applyFon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165" fontId="9" fillId="2" borderId="0" xfId="0" applyNumberFormat="1" applyFont="1" applyFill="1" applyBorder="1" applyAlignment="1">
      <alignment horizontal="left"/>
    </xf>
    <xf numFmtId="0" fontId="14" fillId="2" borderId="31" xfId="0" applyFont="1" applyFill="1" applyBorder="1" applyAlignment="1">
      <alignment horizontal="left"/>
    </xf>
    <xf numFmtId="0" fontId="9" fillId="2" borderId="23" xfId="0" applyFont="1" applyFill="1" applyBorder="1" applyAlignment="1">
      <alignment horizontal="center"/>
    </xf>
    <xf numFmtId="3" fontId="5" fillId="2" borderId="27" xfId="0" applyNumberFormat="1" applyFont="1" applyFill="1" applyBorder="1" applyAlignment="1">
      <alignment horizontal="center" vertical="center" shrinkToFit="1"/>
    </xf>
    <xf numFmtId="0" fontId="18" fillId="2" borderId="31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168" fontId="15" fillId="2" borderId="32" xfId="0" applyNumberFormat="1" applyFont="1" applyFill="1" applyBorder="1" applyAlignment="1">
      <alignment horizontal="center"/>
    </xf>
    <xf numFmtId="168" fontId="15" fillId="2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65" fontId="15" fillId="2" borderId="32" xfId="0" applyNumberFormat="1" applyFont="1" applyFill="1" applyBorder="1" applyAlignment="1">
      <alignment horizontal="center"/>
    </xf>
    <xf numFmtId="165" fontId="15" fillId="2" borderId="23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1" fontId="15" fillId="0" borderId="3" xfId="0" applyNumberFormat="1" applyFont="1" applyBorder="1" applyAlignment="1">
      <alignment horizontal="center"/>
    </xf>
    <xf numFmtId="165" fontId="15" fillId="0" borderId="3" xfId="0" applyNumberFormat="1" applyFont="1" applyBorder="1" applyAlignment="1">
      <alignment horizontal="center"/>
    </xf>
    <xf numFmtId="0" fontId="0" fillId="2" borderId="19" xfId="0" applyFont="1" applyFill="1" applyBorder="1" applyAlignment="1">
      <alignment horizontal="center"/>
    </xf>
    <xf numFmtId="0" fontId="8" fillId="2" borderId="19" xfId="0" applyFont="1" applyFill="1" applyBorder="1"/>
    <xf numFmtId="165" fontId="2" fillId="2" borderId="30" xfId="0" applyNumberFormat="1" applyFont="1" applyFill="1" applyBorder="1" applyAlignment="1">
      <alignment horizontal="center"/>
    </xf>
    <xf numFmtId="168" fontId="15" fillId="2" borderId="19" xfId="0" applyNumberFormat="1" applyFont="1" applyFill="1" applyBorder="1" applyAlignment="1">
      <alignment horizontal="center"/>
    </xf>
    <xf numFmtId="168" fontId="15" fillId="2" borderId="20" xfId="0" applyNumberFormat="1" applyFont="1" applyFill="1" applyBorder="1" applyAlignment="1">
      <alignment horizontal="center"/>
    </xf>
    <xf numFmtId="0" fontId="8" fillId="2" borderId="19" xfId="0" applyFont="1" applyFill="1" applyBorder="1" applyAlignment="1">
      <alignment horizontal="right"/>
    </xf>
    <xf numFmtId="165" fontId="15" fillId="2" borderId="19" xfId="0" applyNumberFormat="1" applyFont="1" applyFill="1" applyBorder="1" applyAlignment="1">
      <alignment horizontal="center"/>
    </xf>
    <xf numFmtId="165" fontId="15" fillId="2" borderId="20" xfId="0" applyNumberFormat="1" applyFont="1" applyFill="1" applyBorder="1" applyAlignment="1">
      <alignment horizontal="center"/>
    </xf>
    <xf numFmtId="0" fontId="8" fillId="2" borderId="30" xfId="0" applyFont="1" applyFill="1" applyBorder="1"/>
    <xf numFmtId="168" fontId="15" fillId="0" borderId="3" xfId="0" applyNumberFormat="1" applyFont="1" applyFill="1" applyBorder="1" applyAlignment="1">
      <alignment horizontal="center"/>
    </xf>
    <xf numFmtId="165" fontId="15" fillId="0" borderId="3" xfId="0" applyNumberFormat="1" applyFont="1" applyFill="1" applyBorder="1" applyAlignment="1">
      <alignment horizontal="center"/>
    </xf>
    <xf numFmtId="1" fontId="15" fillId="4" borderId="3" xfId="0" applyNumberFormat="1" applyFont="1" applyFill="1" applyBorder="1" applyAlignment="1">
      <alignment horizontal="center"/>
    </xf>
    <xf numFmtId="0" fontId="3" fillId="2" borderId="29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1" fontId="15" fillId="2" borderId="19" xfId="0" applyNumberFormat="1" applyFont="1" applyFill="1" applyBorder="1" applyAlignment="1">
      <alignment horizontal="center"/>
    </xf>
    <xf numFmtId="165" fontId="7" fillId="2" borderId="19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3" fontId="9" fillId="2" borderId="32" xfId="0" applyNumberFormat="1" applyFont="1" applyFill="1" applyBorder="1" applyAlignment="1">
      <alignment horizontal="center" vertical="center" shrinkToFit="1"/>
    </xf>
    <xf numFmtId="167" fontId="9" fillId="2" borderId="32" xfId="0" applyNumberFormat="1" applyFont="1" applyFill="1" applyBorder="1" applyAlignment="1">
      <alignment horizontal="center" vertical="center" shrinkToFit="1"/>
    </xf>
    <xf numFmtId="0" fontId="9" fillId="2" borderId="32" xfId="0" applyFont="1" applyFill="1" applyBorder="1"/>
    <xf numFmtId="0" fontId="9" fillId="2" borderId="32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167" fontId="12" fillId="2" borderId="32" xfId="0" applyNumberFormat="1" applyFont="1" applyFill="1" applyBorder="1" applyAlignment="1">
      <alignment horizontal="center" vertical="center" shrinkToFit="1"/>
    </xf>
    <xf numFmtId="3" fontId="5" fillId="2" borderId="32" xfId="0" applyNumberFormat="1" applyFont="1" applyFill="1" applyBorder="1" applyAlignment="1">
      <alignment horizontal="center" vertical="center" shrinkToFit="1"/>
    </xf>
    <xf numFmtId="3" fontId="5" fillId="2" borderId="33" xfId="0" applyNumberFormat="1" applyFont="1" applyFill="1" applyBorder="1" applyAlignment="1">
      <alignment horizontal="center" vertical="center" shrinkToFit="1"/>
    </xf>
    <xf numFmtId="0" fontId="8" fillId="2" borderId="31" xfId="0" applyFont="1" applyFill="1" applyBorder="1" applyAlignment="1">
      <alignment horizontal="center"/>
    </xf>
    <xf numFmtId="165" fontId="12" fillId="2" borderId="32" xfId="1" applyNumberFormat="1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/>
    </xf>
    <xf numFmtId="165" fontId="12" fillId="2" borderId="32" xfId="1" applyNumberFormat="1" applyFont="1" applyFill="1" applyBorder="1" applyAlignment="1">
      <alignment horizontal="center"/>
    </xf>
    <xf numFmtId="0" fontId="8" fillId="2" borderId="32" xfId="0" applyFont="1" applyFill="1" applyBorder="1"/>
    <xf numFmtId="167" fontId="17" fillId="2" borderId="23" xfId="0" applyNumberFormat="1" applyFont="1" applyFill="1" applyBorder="1" applyAlignment="1">
      <alignment horizontal="center"/>
    </xf>
    <xf numFmtId="167" fontId="17" fillId="2" borderId="32" xfId="0" applyNumberFormat="1" applyFont="1" applyFill="1" applyBorder="1" applyAlignment="1">
      <alignment horizontal="center"/>
    </xf>
    <xf numFmtId="165" fontId="8" fillId="2" borderId="32" xfId="0" applyNumberFormat="1" applyFont="1" applyFill="1" applyBorder="1" applyAlignment="1">
      <alignment horizontal="center"/>
    </xf>
    <xf numFmtId="0" fontId="17" fillId="2" borderId="23" xfId="0" applyFont="1" applyFill="1" applyBorder="1" applyAlignment="1">
      <alignment horizontal="center"/>
    </xf>
    <xf numFmtId="2" fontId="8" fillId="2" borderId="32" xfId="0" applyNumberFormat="1" applyFon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/>
    <xf numFmtId="165" fontId="9" fillId="2" borderId="32" xfId="0" applyNumberFormat="1" applyFont="1" applyFill="1" applyBorder="1" applyAlignment="1">
      <alignment horizontal="center"/>
    </xf>
    <xf numFmtId="0" fontId="8" fillId="2" borderId="33" xfId="0" applyFont="1" applyFill="1" applyBorder="1"/>
    <xf numFmtId="0" fontId="0" fillId="2" borderId="32" xfId="0" applyFill="1" applyBorder="1" applyAlignment="1">
      <alignment horizontal="center"/>
    </xf>
    <xf numFmtId="165" fontId="8" fillId="2" borderId="23" xfId="0" applyNumberFormat="1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3" fontId="12" fillId="2" borderId="32" xfId="0" applyNumberFormat="1" applyFont="1" applyFill="1" applyBorder="1" applyAlignment="1">
      <alignment horizontal="center" vertical="center" shrinkToFit="1"/>
    </xf>
    <xf numFmtId="0" fontId="10" fillId="2" borderId="32" xfId="0" applyFont="1" applyFill="1" applyBorder="1" applyAlignment="1">
      <alignment horizontal="center" vertical="center"/>
    </xf>
    <xf numFmtId="166" fontId="12" fillId="2" borderId="32" xfId="0" applyNumberFormat="1" applyFont="1" applyFill="1" applyBorder="1" applyAlignment="1">
      <alignment horizontal="center" vertical="center" shrinkToFit="1"/>
    </xf>
    <xf numFmtId="0" fontId="11" fillId="2" borderId="32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right"/>
    </xf>
    <xf numFmtId="0" fontId="11" fillId="2" borderId="32" xfId="0" applyFont="1" applyFill="1" applyBorder="1"/>
    <xf numFmtId="0" fontId="11" fillId="4" borderId="0" xfId="0" applyFont="1" applyFill="1" applyBorder="1" applyAlignment="1">
      <alignment horizontal="right"/>
    </xf>
    <xf numFmtId="0" fontId="8" fillId="4" borderId="0" xfId="0" applyFont="1" applyFill="1" applyBorder="1"/>
    <xf numFmtId="0" fontId="11" fillId="4" borderId="32" xfId="0" applyFont="1" applyFill="1" applyBorder="1" applyAlignment="1">
      <alignment horizontal="left"/>
    </xf>
    <xf numFmtId="0" fontId="11" fillId="4" borderId="32" xfId="0" applyFont="1" applyFill="1" applyBorder="1"/>
    <xf numFmtId="0" fontId="2" fillId="4" borderId="0" xfId="0" applyFont="1" applyFill="1" applyBorder="1"/>
    <xf numFmtId="0" fontId="8" fillId="4" borderId="32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19" xfId="0" applyFont="1" applyFill="1" applyBorder="1" applyAlignment="1">
      <alignment horizontal="right"/>
    </xf>
    <xf numFmtId="0" fontId="9" fillId="2" borderId="32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0" fillId="2" borderId="19" xfId="0" applyFill="1" applyBorder="1"/>
    <xf numFmtId="0" fontId="8" fillId="2" borderId="20" xfId="0" applyFont="1" applyFill="1" applyBorder="1"/>
    <xf numFmtId="0" fontId="7" fillId="2" borderId="2" xfId="0" applyFont="1" applyFill="1" applyBorder="1"/>
    <xf numFmtId="168" fontId="8" fillId="2" borderId="0" xfId="0" applyNumberFormat="1" applyFont="1" applyFill="1" applyAlignment="1">
      <alignment horizontal="center"/>
    </xf>
    <xf numFmtId="168" fontId="19" fillId="2" borderId="0" xfId="0" applyNumberFormat="1" applyFont="1" applyFill="1" applyAlignment="1">
      <alignment horizontal="center"/>
    </xf>
    <xf numFmtId="168" fontId="19" fillId="2" borderId="0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19" fillId="2" borderId="0" xfId="0" quotePrefix="1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35" fillId="2" borderId="0" xfId="0" applyFont="1" applyFill="1" applyAlignment="1">
      <alignment horizontal="left" vertical="center"/>
    </xf>
    <xf numFmtId="2" fontId="21" fillId="2" borderId="0" xfId="0" applyNumberFormat="1" applyFont="1" applyFill="1" applyBorder="1" applyAlignment="1">
      <alignment horizontal="center" vertical="center" shrinkToFit="1"/>
    </xf>
    <xf numFmtId="0" fontId="19" fillId="2" borderId="0" xfId="0" quotePrefix="1" applyFont="1" applyFill="1" applyBorder="1" applyAlignment="1">
      <alignment horizontal="center"/>
    </xf>
    <xf numFmtId="0" fontId="15" fillId="2" borderId="0" xfId="0" applyFont="1" applyFill="1" applyBorder="1"/>
    <xf numFmtId="165" fontId="25" fillId="2" borderId="0" xfId="0" applyNumberFormat="1" applyFont="1" applyFill="1" applyBorder="1" applyAlignment="1">
      <alignment horizontal="center"/>
    </xf>
    <xf numFmtId="0" fontId="0" fillId="2" borderId="2" xfId="0" applyFont="1" applyFill="1" applyBorder="1"/>
    <xf numFmtId="0" fontId="1" fillId="2" borderId="9" xfId="0" applyFont="1" applyFill="1" applyBorder="1"/>
    <xf numFmtId="0" fontId="0" fillId="2" borderId="35" xfId="0" applyFont="1" applyFill="1" applyBorder="1" applyAlignment="1">
      <alignment horizontal="center"/>
    </xf>
    <xf numFmtId="165" fontId="15" fillId="0" borderId="25" xfId="0" applyNumberFormat="1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165" fontId="19" fillId="2" borderId="18" xfId="0" applyNumberFormat="1" applyFont="1" applyFill="1" applyBorder="1" applyAlignment="1">
      <alignment horizontal="center"/>
    </xf>
    <xf numFmtId="168" fontId="15" fillId="2" borderId="18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65" fontId="25" fillId="2" borderId="19" xfId="0" applyNumberFormat="1" applyFont="1" applyFill="1" applyBorder="1" applyAlignment="1">
      <alignment horizontal="center"/>
    </xf>
    <xf numFmtId="0" fontId="25" fillId="2" borderId="0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2" fillId="2" borderId="9" xfId="0" applyFont="1" applyFill="1" applyBorder="1"/>
    <xf numFmtId="0" fontId="15" fillId="0" borderId="21" xfId="0" applyFont="1" applyFill="1" applyBorder="1"/>
    <xf numFmtId="0" fontId="2" fillId="0" borderId="21" xfId="0" applyFont="1" applyFill="1" applyBorder="1"/>
    <xf numFmtId="0" fontId="7" fillId="0" borderId="21" xfId="0" applyFont="1" applyFill="1" applyBorder="1"/>
    <xf numFmtId="0" fontId="0" fillId="2" borderId="0" xfId="0" applyFont="1" applyFill="1" applyBorder="1"/>
    <xf numFmtId="168" fontId="8" fillId="2" borderId="9" xfId="0" applyNumberFormat="1" applyFont="1" applyFill="1" applyBorder="1" applyAlignment="1">
      <alignment horizontal="left"/>
    </xf>
    <xf numFmtId="168" fontId="8" fillId="2" borderId="11" xfId="0" applyNumberFormat="1" applyFont="1" applyFill="1" applyBorder="1" applyAlignment="1">
      <alignment horizontal="left"/>
    </xf>
    <xf numFmtId="170" fontId="24" fillId="2" borderId="11" xfId="0" applyNumberFormat="1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165" fontId="8" fillId="5" borderId="32" xfId="0" applyNumberFormat="1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right"/>
    </xf>
    <xf numFmtId="0" fontId="8" fillId="2" borderId="30" xfId="0" applyFont="1" applyFill="1" applyBorder="1" applyAlignment="1">
      <alignment horizontal="center"/>
    </xf>
    <xf numFmtId="0" fontId="8" fillId="5" borderId="22" xfId="0" applyFont="1" applyFill="1" applyBorder="1" applyAlignment="1">
      <alignment horizontal="center"/>
    </xf>
    <xf numFmtId="165" fontId="8" fillId="5" borderId="19" xfId="0" applyNumberFormat="1" applyFont="1" applyFill="1" applyBorder="1" applyAlignment="1">
      <alignment horizontal="center"/>
    </xf>
    <xf numFmtId="0" fontId="8" fillId="0" borderId="9" xfId="0" applyFont="1" applyFill="1" applyBorder="1"/>
    <xf numFmtId="0" fontId="9" fillId="0" borderId="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left"/>
    </xf>
    <xf numFmtId="2" fontId="8" fillId="0" borderId="1" xfId="0" applyNumberFormat="1" applyFont="1" applyFill="1" applyBorder="1" applyAlignment="1">
      <alignment horizontal="center" vertical="center"/>
    </xf>
    <xf numFmtId="165" fontId="8" fillId="0" borderId="1" xfId="0" applyNumberFormat="1" applyFont="1" applyFill="1" applyBorder="1" applyAlignment="1">
      <alignment horizontal="center" vertical="center"/>
    </xf>
    <xf numFmtId="165" fontId="15" fillId="2" borderId="2" xfId="0" applyNumberFormat="1" applyFont="1" applyFill="1" applyBorder="1" applyAlignment="1">
      <alignment horizontal="center" vertical="center"/>
    </xf>
    <xf numFmtId="171" fontId="15" fillId="2" borderId="0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right"/>
    </xf>
    <xf numFmtId="165" fontId="15" fillId="2" borderId="0" xfId="0" applyNumberFormat="1" applyFont="1" applyFill="1" applyBorder="1" applyAlignment="1">
      <alignment horizontal="center" vertical="center"/>
    </xf>
    <xf numFmtId="2" fontId="15" fillId="2" borderId="0" xfId="0" applyNumberFormat="1" applyFont="1" applyFill="1" applyBorder="1" applyAlignment="1">
      <alignment horizontal="center"/>
    </xf>
    <xf numFmtId="2" fontId="8" fillId="2" borderId="12" xfId="0" applyNumberFormat="1" applyFont="1" applyFill="1" applyBorder="1" applyAlignment="1">
      <alignment horizontal="center"/>
    </xf>
    <xf numFmtId="168" fontId="15" fillId="0" borderId="1" xfId="0" applyNumberFormat="1" applyFont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27" fillId="2" borderId="32" xfId="0" applyFont="1" applyFill="1" applyBorder="1" applyAlignment="1">
      <alignment horizontal="left"/>
    </xf>
    <xf numFmtId="0" fontId="37" fillId="2" borderId="0" xfId="0" applyFont="1" applyFill="1"/>
    <xf numFmtId="0" fontId="37" fillId="2" borderId="32" xfId="0" applyFont="1" applyFill="1" applyBorder="1"/>
    <xf numFmtId="0" fontId="37" fillId="2" borderId="32" xfId="0" applyFont="1" applyFill="1" applyBorder="1" applyAlignment="1">
      <alignment horizontal="left"/>
    </xf>
    <xf numFmtId="0" fontId="0" fillId="2" borderId="18" xfId="0" applyFill="1" applyBorder="1"/>
    <xf numFmtId="167" fontId="21" fillId="2" borderId="2" xfId="0" applyNumberFormat="1" applyFont="1" applyFill="1" applyBorder="1" applyAlignment="1">
      <alignment horizontal="center"/>
    </xf>
    <xf numFmtId="3" fontId="38" fillId="2" borderId="2" xfId="0" applyNumberFormat="1" applyFont="1" applyFill="1" applyBorder="1" applyAlignment="1">
      <alignment horizontal="center" vertical="center" shrinkToFit="1"/>
    </xf>
    <xf numFmtId="0" fontId="14" fillId="2" borderId="0" xfId="0" applyFont="1" applyFill="1" applyBorder="1" applyAlignment="1">
      <alignment horizontal="right"/>
    </xf>
    <xf numFmtId="0" fontId="39" fillId="2" borderId="0" xfId="0" applyFont="1" applyFill="1" applyBorder="1"/>
    <xf numFmtId="0" fontId="39" fillId="2" borderId="30" xfId="0" applyFont="1" applyFill="1" applyBorder="1"/>
    <xf numFmtId="0" fontId="7" fillId="2" borderId="25" xfId="0" applyFont="1" applyFill="1" applyBorder="1" applyAlignment="1">
      <alignment horizontal="center"/>
    </xf>
    <xf numFmtId="0" fontId="7" fillId="2" borderId="20" xfId="0" applyFont="1" applyFill="1" applyBorder="1"/>
    <xf numFmtId="0" fontId="41" fillId="2" borderId="19" xfId="0" applyFont="1" applyFill="1" applyBorder="1" applyAlignment="1">
      <alignment horizontal="center"/>
    </xf>
    <xf numFmtId="1" fontId="15" fillId="2" borderId="2" xfId="0" applyNumberFormat="1" applyFont="1" applyFill="1" applyBorder="1" applyAlignment="1">
      <alignment horizontal="center"/>
    </xf>
    <xf numFmtId="1" fontId="15" fillId="2" borderId="0" xfId="0" applyNumberFormat="1" applyFont="1" applyFill="1" applyBorder="1" applyAlignment="1">
      <alignment horizontal="center"/>
    </xf>
    <xf numFmtId="0" fontId="37" fillId="2" borderId="0" xfId="0" applyFont="1" applyFill="1" applyBorder="1" applyAlignment="1">
      <alignment horizontal="center"/>
    </xf>
    <xf numFmtId="0" fontId="42" fillId="0" borderId="0" xfId="0" applyFont="1" applyAlignment="1">
      <alignment vertical="center"/>
    </xf>
    <xf numFmtId="0" fontId="42" fillId="0" borderId="0" xfId="0" applyFont="1"/>
    <xf numFmtId="0" fontId="42" fillId="0" borderId="0" xfId="0" applyFont="1" applyFill="1" applyBorder="1"/>
    <xf numFmtId="0" fontId="42" fillId="0" borderId="0" xfId="0" applyFont="1" applyBorder="1"/>
    <xf numFmtId="0" fontId="39" fillId="2" borderId="19" xfId="0" applyFont="1" applyFill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0" fontId="43" fillId="0" borderId="0" xfId="0" applyFont="1"/>
    <xf numFmtId="0" fontId="39" fillId="0" borderId="0" xfId="0" applyFont="1" applyAlignment="1">
      <alignment horizontal="center"/>
    </xf>
    <xf numFmtId="0" fontId="39" fillId="0" borderId="1" xfId="0" applyFont="1" applyBorder="1"/>
    <xf numFmtId="0" fontId="39" fillId="0" borderId="0" xfId="0" applyFont="1"/>
    <xf numFmtId="0" fontId="43" fillId="0" borderId="0" xfId="0" applyFont="1" applyFill="1" applyBorder="1"/>
    <xf numFmtId="0" fontId="39" fillId="0" borderId="0" xfId="0" applyFont="1" applyFill="1" applyBorder="1" applyAlignment="1">
      <alignment horizontal="center"/>
    </xf>
    <xf numFmtId="0" fontId="39" fillId="0" borderId="1" xfId="0" applyFont="1" applyFill="1" applyBorder="1"/>
    <xf numFmtId="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0" xfId="0" applyFont="1" applyFill="1" applyBorder="1"/>
    <xf numFmtId="0" fontId="43" fillId="0" borderId="2" xfId="0" applyFont="1" applyFill="1" applyBorder="1"/>
    <xf numFmtId="0" fontId="39" fillId="0" borderId="2" xfId="0" applyFont="1" applyBorder="1" applyAlignment="1">
      <alignment horizontal="center"/>
    </xf>
    <xf numFmtId="0" fontId="39" fillId="0" borderId="0" xfId="0" applyFont="1" applyBorder="1"/>
    <xf numFmtId="0" fontId="39" fillId="0" borderId="2" xfId="0" applyFont="1" applyFill="1" applyBorder="1"/>
    <xf numFmtId="0" fontId="39" fillId="0" borderId="2" xfId="0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" fontId="39" fillId="0" borderId="22" xfId="0" applyNumberFormat="1" applyFont="1" applyFill="1" applyBorder="1" applyAlignment="1">
      <alignment horizontal="center"/>
    </xf>
    <xf numFmtId="165" fontId="39" fillId="0" borderId="0" xfId="0" applyNumberFormat="1" applyFont="1" applyFill="1" applyBorder="1" applyAlignment="1">
      <alignment horizontal="center"/>
    </xf>
    <xf numFmtId="165" fontId="39" fillId="0" borderId="0" xfId="0" applyNumberFormat="1" applyFont="1" applyAlignment="1">
      <alignment horizontal="center"/>
    </xf>
    <xf numFmtId="165" fontId="39" fillId="0" borderId="2" xfId="0" applyNumberFormat="1" applyFont="1" applyBorder="1" applyAlignment="1">
      <alignment horizontal="center"/>
    </xf>
    <xf numFmtId="165" fontId="39" fillId="0" borderId="2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/>
    </xf>
    <xf numFmtId="0" fontId="39" fillId="0" borderId="2" xfId="0" applyFont="1" applyBorder="1"/>
    <xf numFmtId="165" fontId="39" fillId="0" borderId="0" xfId="0" applyNumberFormat="1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68" fontId="39" fillId="0" borderId="0" xfId="0" applyNumberFormat="1" applyFont="1" applyAlignment="1">
      <alignment horizontal="center"/>
    </xf>
    <xf numFmtId="168" fontId="39" fillId="0" borderId="2" xfId="0" applyNumberFormat="1" applyFont="1" applyBorder="1" applyAlignment="1">
      <alignment horizontal="center"/>
    </xf>
    <xf numFmtId="1" fontId="39" fillId="0" borderId="0" xfId="0" applyNumberFormat="1" applyFont="1" applyAlignment="1">
      <alignment horizontal="center"/>
    </xf>
    <xf numFmtId="0" fontId="45" fillId="0" borderId="0" xfId="0" applyFont="1"/>
    <xf numFmtId="0" fontId="8" fillId="0" borderId="2" xfId="0" applyFont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2" xfId="0" applyNumberFormat="1" applyFont="1" applyBorder="1" applyAlignment="1">
      <alignment horizontal="center"/>
    </xf>
    <xf numFmtId="0" fontId="43" fillId="0" borderId="2" xfId="0" applyFont="1" applyBorder="1"/>
    <xf numFmtId="0" fontId="39" fillId="9" borderId="1" xfId="0" applyFont="1" applyFill="1" applyBorder="1"/>
    <xf numFmtId="165" fontId="39" fillId="9" borderId="0" xfId="0" applyNumberFormat="1" applyFont="1" applyFill="1" applyAlignment="1">
      <alignment horizontal="center"/>
    </xf>
    <xf numFmtId="165" fontId="39" fillId="9" borderId="0" xfId="0" applyNumberFormat="1" applyFont="1" applyFill="1" applyBorder="1" applyAlignment="1">
      <alignment horizontal="center"/>
    </xf>
    <xf numFmtId="165" fontId="39" fillId="0" borderId="0" xfId="0" applyNumberFormat="1" applyFont="1" applyFill="1" applyAlignment="1">
      <alignment horizontal="center"/>
    </xf>
    <xf numFmtId="0" fontId="39" fillId="9" borderId="2" xfId="0" applyFont="1" applyFill="1" applyBorder="1" applyAlignment="1">
      <alignment horizontal="center"/>
    </xf>
    <xf numFmtId="165" fontId="39" fillId="9" borderId="2" xfId="0" applyNumberFormat="1" applyFont="1" applyFill="1" applyBorder="1" applyAlignment="1">
      <alignment horizontal="center"/>
    </xf>
    <xf numFmtId="165" fontId="8" fillId="9" borderId="2" xfId="0" applyNumberFormat="1" applyFont="1" applyFill="1" applyBorder="1" applyAlignment="1">
      <alignment horizontal="center"/>
    </xf>
    <xf numFmtId="2" fontId="8" fillId="9" borderId="2" xfId="0" applyNumberFormat="1" applyFont="1" applyFill="1" applyBorder="1" applyAlignment="1">
      <alignment horizontal="center"/>
    </xf>
    <xf numFmtId="168" fontId="39" fillId="0" borderId="1" xfId="0" applyNumberFormat="1" applyFont="1" applyFill="1" applyBorder="1" applyAlignment="1">
      <alignment horizontal="center"/>
    </xf>
    <xf numFmtId="1" fontId="39" fillId="9" borderId="1" xfId="0" applyNumberFormat="1" applyFont="1" applyFill="1" applyBorder="1" applyAlignment="1">
      <alignment horizontal="center"/>
    </xf>
    <xf numFmtId="173" fontId="39" fillId="0" borderId="0" xfId="0" applyNumberFormat="1" applyFont="1" applyFill="1" applyBorder="1" applyAlignment="1"/>
    <xf numFmtId="174" fontId="39" fillId="0" borderId="0" xfId="0" applyNumberFormat="1" applyFont="1" applyFill="1" applyBorder="1" applyAlignment="1">
      <alignment horizontal="center"/>
    </xf>
    <xf numFmtId="0" fontId="39" fillId="9" borderId="0" xfId="0" applyFont="1" applyFill="1" applyBorder="1"/>
    <xf numFmtId="0" fontId="39" fillId="9" borderId="0" xfId="0" applyFont="1" applyFill="1"/>
    <xf numFmtId="2" fontId="8" fillId="9" borderId="0" xfId="0" applyNumberFormat="1" applyFon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39" fillId="9" borderId="2" xfId="0" applyFont="1" applyFill="1" applyBorder="1"/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1" fontId="8" fillId="0" borderId="0" xfId="0" applyNumberFormat="1" applyFont="1" applyFill="1" applyAlignment="1">
      <alignment horizontal="center"/>
    </xf>
    <xf numFmtId="2" fontId="8" fillId="0" borderId="0" xfId="0" applyNumberFormat="1" applyFont="1" applyFill="1" applyAlignment="1">
      <alignment horizontal="center"/>
    </xf>
    <xf numFmtId="0" fontId="8" fillId="0" borderId="2" xfId="0" applyFont="1" applyFill="1" applyBorder="1"/>
    <xf numFmtId="1" fontId="8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46" fillId="10" borderId="37" xfId="0" applyFont="1" applyFill="1" applyBorder="1" applyAlignment="1">
      <alignment horizontal="left" vertic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0" fontId="8" fillId="2" borderId="2" xfId="0" applyFont="1" applyFill="1" applyBorder="1" applyAlignment="1">
      <alignment horizontal="center"/>
    </xf>
    <xf numFmtId="0" fontId="43" fillId="2" borderId="0" xfId="0" applyFont="1" applyFill="1" applyBorder="1"/>
    <xf numFmtId="0" fontId="43" fillId="2" borderId="0" xfId="0" applyFont="1" applyFill="1" applyBorder="1" applyAlignment="1">
      <alignment horizontal="left"/>
    </xf>
    <xf numFmtId="0" fontId="8" fillId="2" borderId="38" xfId="0" applyFont="1" applyFill="1" applyBorder="1" applyAlignment="1">
      <alignment horizontal="center"/>
    </xf>
    <xf numFmtId="0" fontId="0" fillId="2" borderId="20" xfId="0" applyFill="1" applyBorder="1"/>
    <xf numFmtId="2" fontId="8" fillId="2" borderId="2" xfId="0" applyNumberFormat="1" applyFont="1" applyFill="1" applyBorder="1" applyAlignment="1">
      <alignment horizontal="center"/>
    </xf>
    <xf numFmtId="168" fontId="8" fillId="2" borderId="18" xfId="0" applyNumberFormat="1" applyFont="1" applyFill="1" applyBorder="1" applyAlignment="1">
      <alignment horizontal="center"/>
    </xf>
    <xf numFmtId="2" fontId="8" fillId="2" borderId="0" xfId="0" applyNumberFormat="1" applyFont="1" applyFill="1" applyBorder="1" applyAlignment="1">
      <alignment horizontal="left"/>
    </xf>
    <xf numFmtId="165" fontId="8" fillId="2" borderId="22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2" fontId="8" fillId="2" borderId="0" xfId="0" applyNumberFormat="1" applyFont="1" applyFill="1" applyAlignment="1">
      <alignment horizontal="center"/>
    </xf>
    <xf numFmtId="2" fontId="8" fillId="2" borderId="0" xfId="0" applyNumberFormat="1" applyFont="1" applyFill="1"/>
    <xf numFmtId="2" fontId="8" fillId="2" borderId="2" xfId="0" applyNumberFormat="1" applyFont="1" applyFill="1" applyBorder="1"/>
    <xf numFmtId="1" fontId="9" fillId="2" borderId="0" xfId="0" applyNumberFormat="1" applyFont="1" applyFill="1" applyBorder="1" applyAlignment="1">
      <alignment horizontal="center"/>
    </xf>
    <xf numFmtId="0" fontId="39" fillId="2" borderId="9" xfId="0" applyFont="1" applyFill="1" applyBorder="1"/>
    <xf numFmtId="0" fontId="39" fillId="2" borderId="0" xfId="0" applyFont="1" applyFill="1" applyBorder="1" applyAlignment="1">
      <alignment horizontal="left"/>
    </xf>
    <xf numFmtId="0" fontId="39" fillId="2" borderId="0" xfId="0" applyFont="1" applyFill="1" applyBorder="1" applyAlignment="1">
      <alignment horizontal="center"/>
    </xf>
    <xf numFmtId="165" fontId="7" fillId="2" borderId="20" xfId="0" applyNumberFormat="1" applyFont="1" applyFill="1" applyBorder="1" applyAlignment="1">
      <alignment horizontal="center"/>
    </xf>
    <xf numFmtId="0" fontId="0" fillId="2" borderId="22" xfId="0" applyFill="1" applyBorder="1"/>
    <xf numFmtId="0" fontId="0" fillId="2" borderId="22" xfId="0" applyFill="1" applyBorder="1" applyAlignment="1">
      <alignment horizontal="left"/>
    </xf>
    <xf numFmtId="0" fontId="0" fillId="2" borderId="22" xfId="0" applyFill="1" applyBorder="1" applyAlignment="1">
      <alignment horizontal="center"/>
    </xf>
    <xf numFmtId="165" fontId="2" fillId="2" borderId="18" xfId="0" applyNumberFormat="1" applyFont="1" applyFill="1" applyBorder="1" applyAlignment="1">
      <alignment horizontal="center"/>
    </xf>
    <xf numFmtId="168" fontId="41" fillId="2" borderId="0" xfId="0" applyNumberFormat="1" applyFont="1" applyFill="1" applyBorder="1" applyAlignment="1">
      <alignment horizontal="center"/>
    </xf>
    <xf numFmtId="0" fontId="39" fillId="2" borderId="7" xfId="0" applyFont="1" applyFill="1" applyBorder="1"/>
    <xf numFmtId="165" fontId="40" fillId="2" borderId="0" xfId="0" applyNumberFormat="1" applyFont="1" applyFill="1" applyBorder="1" applyAlignment="1">
      <alignment horizontal="center"/>
    </xf>
    <xf numFmtId="1" fontId="9" fillId="2" borderId="2" xfId="0" applyNumberFormat="1" applyFont="1" applyFill="1" applyBorder="1" applyAlignment="1">
      <alignment horizontal="center"/>
    </xf>
    <xf numFmtId="165" fontId="15" fillId="0" borderId="28" xfId="0" applyNumberFormat="1" applyFont="1" applyFill="1" applyBorder="1" applyAlignment="1">
      <alignment horizontal="center"/>
    </xf>
    <xf numFmtId="165" fontId="9" fillId="2" borderId="22" xfId="0" applyNumberFormat="1" applyFont="1" applyFill="1" applyBorder="1" applyAlignment="1">
      <alignment horizontal="center"/>
    </xf>
    <xf numFmtId="0" fontId="39" fillId="2" borderId="2" xfId="0" applyFont="1" applyFill="1" applyBorder="1" applyAlignment="1">
      <alignment horizontal="center"/>
    </xf>
    <xf numFmtId="0" fontId="39" fillId="2" borderId="20" xfId="0" applyFont="1" applyFill="1" applyBorder="1" applyAlignment="1">
      <alignment horizontal="center"/>
    </xf>
    <xf numFmtId="1" fontId="39" fillId="2" borderId="2" xfId="0" applyNumberFormat="1" applyFont="1" applyFill="1" applyBorder="1" applyAlignment="1">
      <alignment horizontal="center"/>
    </xf>
    <xf numFmtId="0" fontId="39" fillId="2" borderId="2" xfId="0" applyFont="1" applyFill="1" applyBorder="1" applyAlignment="1">
      <alignment horizontal="left"/>
    </xf>
    <xf numFmtId="168" fontId="39" fillId="2" borderId="2" xfId="0" applyNumberFormat="1" applyFont="1" applyFill="1" applyBorder="1" applyAlignment="1">
      <alignment horizontal="center"/>
    </xf>
    <xf numFmtId="168" fontId="39" fillId="2" borderId="0" xfId="0" applyNumberFormat="1" applyFont="1" applyFill="1" applyBorder="1" applyAlignment="1">
      <alignment horizontal="center"/>
    </xf>
    <xf numFmtId="0" fontId="40" fillId="2" borderId="9" xfId="0" applyFont="1" applyFill="1" applyBorder="1"/>
    <xf numFmtId="168" fontId="7" fillId="0" borderId="1" xfId="0" applyNumberFormat="1" applyFont="1" applyFill="1" applyBorder="1" applyAlignment="1">
      <alignment horizontal="center"/>
    </xf>
    <xf numFmtId="168" fontId="9" fillId="0" borderId="1" xfId="0" applyNumberFormat="1" applyFon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168" fontId="39" fillId="0" borderId="0" xfId="0" applyNumberFormat="1" applyFont="1" applyFill="1" applyBorder="1" applyAlignment="1">
      <alignment horizontal="center"/>
    </xf>
    <xf numFmtId="168" fontId="39" fillId="0" borderId="2" xfId="0" applyNumberFormat="1" applyFont="1" applyFill="1" applyBorder="1" applyAlignment="1">
      <alignment horizontal="center"/>
    </xf>
    <xf numFmtId="0" fontId="8" fillId="9" borderId="0" xfId="0" applyFont="1" applyFill="1" applyAlignment="1">
      <alignment horizontal="center"/>
    </xf>
    <xf numFmtId="165" fontId="8" fillId="9" borderId="0" xfId="0" applyNumberFormat="1" applyFon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8" fillId="0" borderId="0" xfId="0" applyNumberFormat="1" applyFont="1" applyAlignment="1">
      <alignment horizontal="center"/>
    </xf>
    <xf numFmtId="2" fontId="18" fillId="9" borderId="2" xfId="0" applyNumberFormat="1" applyFont="1" applyFill="1" applyBorder="1" applyAlignment="1">
      <alignment horizontal="center"/>
    </xf>
    <xf numFmtId="2" fontId="0" fillId="0" borderId="0" xfId="0" applyNumberFormat="1"/>
    <xf numFmtId="1" fontId="8" fillId="2" borderId="2" xfId="0" applyNumberFormat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165" fontId="44" fillId="9" borderId="0" xfId="0" applyNumberFormat="1" applyFont="1" applyFill="1" applyAlignment="1">
      <alignment horizontal="center"/>
    </xf>
    <xf numFmtId="0" fontId="39" fillId="2" borderId="32" xfId="0" applyFont="1" applyFill="1" applyBorder="1" applyAlignment="1">
      <alignment horizontal="center"/>
    </xf>
    <xf numFmtId="0" fontId="41" fillId="2" borderId="0" xfId="0" applyFont="1" applyFill="1" applyBorder="1" applyAlignment="1">
      <alignment horizontal="center"/>
    </xf>
    <xf numFmtId="0" fontId="37" fillId="2" borderId="8" xfId="0" applyFont="1" applyFill="1" applyBorder="1" applyAlignment="1">
      <alignment horizontal="center"/>
    </xf>
    <xf numFmtId="0" fontId="50" fillId="0" borderId="0" xfId="1" applyFont="1" applyFill="1" applyBorder="1" applyAlignment="1">
      <alignment horizontal="center" vertical="center"/>
    </xf>
    <xf numFmtId="0" fontId="49" fillId="0" borderId="0" xfId="0" applyFont="1"/>
    <xf numFmtId="165" fontId="39" fillId="2" borderId="32" xfId="0" applyNumberFormat="1" applyFont="1" applyFill="1" applyBorder="1" applyAlignment="1">
      <alignment horizontal="center"/>
    </xf>
    <xf numFmtId="165" fontId="39" fillId="2" borderId="0" xfId="0" applyNumberFormat="1" applyFont="1" applyFill="1" applyBorder="1" applyAlignment="1">
      <alignment horizontal="center"/>
    </xf>
    <xf numFmtId="165" fontId="41" fillId="2" borderId="0" xfId="0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right"/>
    </xf>
    <xf numFmtId="0" fontId="39" fillId="2" borderId="23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165" fontId="12" fillId="2" borderId="2" xfId="1" applyNumberFormat="1" applyFont="1" applyFill="1" applyBorder="1" applyAlignment="1">
      <alignment horizontal="center"/>
    </xf>
    <xf numFmtId="169" fontId="12" fillId="2" borderId="2" xfId="1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/>
    <xf numFmtId="0" fontId="11" fillId="2" borderId="32" xfId="0" applyFont="1" applyFill="1" applyBorder="1" applyAlignment="1">
      <alignment horizontal="left" wrapText="1"/>
    </xf>
    <xf numFmtId="0" fontId="41" fillId="2" borderId="2" xfId="0" applyFont="1" applyFill="1" applyBorder="1" applyAlignment="1">
      <alignment horizontal="center"/>
    </xf>
    <xf numFmtId="0" fontId="51" fillId="2" borderId="0" xfId="0" applyFont="1" applyFill="1" applyBorder="1" applyAlignment="1">
      <alignment horizontal="center"/>
    </xf>
    <xf numFmtId="0" fontId="51" fillId="2" borderId="2" xfId="0" applyFont="1" applyFill="1" applyBorder="1" applyAlignment="1">
      <alignment horizontal="center"/>
    </xf>
    <xf numFmtId="165" fontId="51" fillId="2" borderId="0" xfId="0" applyNumberFormat="1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0" fontId="52" fillId="2" borderId="0" xfId="4" applyFont="1" applyFill="1"/>
    <xf numFmtId="0" fontId="43" fillId="2" borderId="2" xfId="0" applyFont="1" applyFill="1" applyBorder="1" applyAlignment="1">
      <alignment horizontal="left"/>
    </xf>
    <xf numFmtId="0" fontId="43" fillId="2" borderId="2" xfId="0" applyFont="1" applyFill="1" applyBorder="1"/>
    <xf numFmtId="175" fontId="0" fillId="0" borderId="0" xfId="0" applyNumberFormat="1"/>
    <xf numFmtId="0" fontId="39" fillId="4" borderId="2" xfId="0" applyFont="1" applyFill="1" applyBorder="1"/>
    <xf numFmtId="0" fontId="39" fillId="4" borderId="2" xfId="0" applyFont="1" applyFill="1" applyBorder="1" applyAlignment="1">
      <alignment horizontal="center"/>
    </xf>
    <xf numFmtId="0" fontId="53" fillId="0" borderId="0" xfId="0" applyFont="1"/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165" fontId="39" fillId="0" borderId="1" xfId="0" applyNumberFormat="1" applyFont="1" applyBorder="1" applyAlignment="1">
      <alignment horizontal="center"/>
    </xf>
    <xf numFmtId="172" fontId="44" fillId="9" borderId="0" xfId="2" applyNumberFormat="1" applyFont="1" applyFill="1" applyBorder="1" applyAlignment="1"/>
    <xf numFmtId="168" fontId="39" fillId="0" borderId="1" xfId="0" applyNumberFormat="1" applyFont="1" applyBorder="1" applyAlignment="1">
      <alignment horizontal="center"/>
    </xf>
    <xf numFmtId="168" fontId="39" fillId="0" borderId="1" xfId="0" applyNumberFormat="1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0" fillId="0" borderId="1" xfId="0" applyBorder="1"/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43" fillId="2" borderId="9" xfId="0" applyFont="1" applyFill="1" applyBorder="1"/>
    <xf numFmtId="168" fontId="39" fillId="0" borderId="0" xfId="0" applyNumberFormat="1" applyFont="1" applyFill="1" applyBorder="1" applyAlignment="1"/>
    <xf numFmtId="172" fontId="44" fillId="9" borderId="0" xfId="2" applyNumberFormat="1" applyFont="1" applyFill="1" applyBorder="1" applyAlignment="1">
      <alignment horizontal="right"/>
    </xf>
    <xf numFmtId="0" fontId="43" fillId="0" borderId="0" xfId="0" applyFont="1" applyBorder="1"/>
    <xf numFmtId="168" fontId="8" fillId="0" borderId="0" xfId="0" applyNumberFormat="1" applyFont="1" applyAlignment="1">
      <alignment horizontal="center"/>
    </xf>
    <xf numFmtId="168" fontId="8" fillId="0" borderId="1" xfId="0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left"/>
    </xf>
    <xf numFmtId="0" fontId="8" fillId="2" borderId="22" xfId="0" applyFont="1" applyFill="1" applyBorder="1" applyAlignment="1">
      <alignment horizontal="center"/>
    </xf>
    <xf numFmtId="165" fontId="7" fillId="2" borderId="18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left"/>
    </xf>
    <xf numFmtId="0" fontId="8" fillId="2" borderId="39" xfId="0" applyFont="1" applyFill="1" applyBorder="1"/>
    <xf numFmtId="0" fontId="8" fillId="2" borderId="0" xfId="0" applyFont="1" applyFill="1" applyBorder="1" applyAlignment="1">
      <alignment horizontal="center"/>
    </xf>
    <xf numFmtId="1" fontId="8" fillId="2" borderId="0" xfId="0" applyNumberFormat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39" fillId="2" borderId="19" xfId="0" applyFont="1" applyFill="1" applyBorder="1" applyAlignment="1">
      <alignment horizontal="left"/>
    </xf>
    <xf numFmtId="1" fontId="39" fillId="2" borderId="0" xfId="0" applyNumberFormat="1" applyFont="1" applyFill="1" applyBorder="1" applyAlignment="1">
      <alignment horizontal="left"/>
    </xf>
    <xf numFmtId="1" fontId="39" fillId="2" borderId="0" xfId="0" applyNumberFormat="1" applyFont="1" applyFill="1" applyBorder="1" applyAlignment="1">
      <alignment horizontal="center"/>
    </xf>
    <xf numFmtId="0" fontId="39" fillId="2" borderId="19" xfId="0" applyFont="1" applyFill="1" applyBorder="1" applyAlignment="1">
      <alignment horizontal="right"/>
    </xf>
    <xf numFmtId="0" fontId="39" fillId="2" borderId="0" xfId="0" applyFont="1" applyFill="1" applyBorder="1" applyAlignment="1">
      <alignment horizontal="right"/>
    </xf>
    <xf numFmtId="1" fontId="39" fillId="4" borderId="0" xfId="0" applyNumberFormat="1" applyFont="1" applyFill="1" applyBorder="1" applyAlignment="1">
      <alignment horizontal="center"/>
    </xf>
    <xf numFmtId="1" fontId="25" fillId="0" borderId="1" xfId="0" applyNumberFormat="1" applyFont="1" applyFill="1" applyBorder="1" applyAlignment="1">
      <alignment horizontal="center"/>
    </xf>
    <xf numFmtId="0" fontId="14" fillId="4" borderId="0" xfId="0" applyFont="1" applyFill="1" applyBorder="1" applyAlignment="1">
      <alignment horizontal="left"/>
    </xf>
    <xf numFmtId="1" fontId="8" fillId="4" borderId="0" xfId="0" applyNumberFormat="1" applyFont="1" applyFill="1" applyBorder="1" applyAlignment="1">
      <alignment horizontal="center"/>
    </xf>
    <xf numFmtId="1" fontId="8" fillId="2" borderId="22" xfId="0" applyNumberFormat="1" applyFont="1" applyFill="1" applyBorder="1" applyAlignment="1">
      <alignment horizontal="center"/>
    </xf>
    <xf numFmtId="1" fontId="8" fillId="2" borderId="19" xfId="0" applyNumberFormat="1" applyFont="1" applyFill="1" applyBorder="1" applyAlignment="1">
      <alignment horizontal="center"/>
    </xf>
    <xf numFmtId="2" fontId="15" fillId="0" borderId="1" xfId="0" applyNumberFormat="1" applyFont="1" applyFill="1" applyBorder="1" applyAlignment="1">
      <alignment horizontal="center"/>
    </xf>
    <xf numFmtId="1" fontId="25" fillId="4" borderId="1" xfId="0" applyNumberFormat="1" applyFont="1" applyFill="1" applyBorder="1" applyAlignment="1">
      <alignment horizontal="center"/>
    </xf>
    <xf numFmtId="0" fontId="25" fillId="4" borderId="28" xfId="0" applyFont="1" applyFill="1" applyBorder="1" applyAlignment="1">
      <alignment horizontal="center"/>
    </xf>
    <xf numFmtId="0" fontId="54" fillId="2" borderId="0" xfId="0" applyFont="1" applyFill="1" applyBorder="1" applyAlignment="1">
      <alignment horizontal="center"/>
    </xf>
    <xf numFmtId="0" fontId="54" fillId="2" borderId="20" xfId="0" applyFont="1" applyFill="1" applyBorder="1" applyAlignment="1">
      <alignment horizontal="center"/>
    </xf>
    <xf numFmtId="0" fontId="43" fillId="2" borderId="7" xfId="0" applyFont="1" applyFill="1" applyBorder="1"/>
    <xf numFmtId="0" fontId="27" fillId="2" borderId="5" xfId="0" applyFont="1" applyFill="1" applyBorder="1" applyAlignment="1">
      <alignment horizontal="center"/>
    </xf>
    <xf numFmtId="168" fontId="43" fillId="2" borderId="0" xfId="0" applyNumberFormat="1" applyFont="1" applyFill="1" applyBorder="1" applyAlignment="1">
      <alignment horizontal="left"/>
    </xf>
    <xf numFmtId="2" fontId="19" fillId="2" borderId="0" xfId="0" applyNumberFormat="1" applyFont="1" applyFill="1" applyBorder="1" applyAlignment="1">
      <alignment horizontal="center"/>
    </xf>
    <xf numFmtId="1" fontId="17" fillId="2" borderId="0" xfId="0" applyNumberFormat="1" applyFont="1" applyFill="1" applyBorder="1" applyAlignment="1">
      <alignment horizontal="center"/>
    </xf>
    <xf numFmtId="1" fontId="12" fillId="2" borderId="0" xfId="0" applyNumberFormat="1" applyFont="1" applyFill="1" applyBorder="1" applyAlignment="1">
      <alignment horizontal="center" vertical="center" shrinkToFit="1"/>
    </xf>
    <xf numFmtId="0" fontId="21" fillId="2" borderId="18" xfId="0" applyFont="1" applyFill="1" applyBorder="1" applyAlignment="1">
      <alignment horizontal="center"/>
    </xf>
    <xf numFmtId="1" fontId="17" fillId="4" borderId="0" xfId="0" applyNumberFormat="1" applyFont="1" applyFill="1" applyBorder="1" applyAlignment="1">
      <alignment horizontal="center"/>
    </xf>
    <xf numFmtId="0" fontId="3" fillId="2" borderId="4" xfId="0" quotePrefix="1" applyFont="1" applyFill="1" applyBorder="1" applyAlignment="1">
      <alignment horizontal="left"/>
    </xf>
    <xf numFmtId="0" fontId="43" fillId="2" borderId="7" xfId="0" quotePrefix="1" applyFont="1" applyFill="1" applyBorder="1" applyAlignment="1">
      <alignment horizontal="left"/>
    </xf>
    <xf numFmtId="0" fontId="39" fillId="2" borderId="9" xfId="0" quotePrefix="1" applyFont="1" applyFill="1" applyBorder="1" applyAlignment="1">
      <alignment horizontal="left"/>
    </xf>
    <xf numFmtId="0" fontId="7" fillId="2" borderId="39" xfId="0" applyFont="1" applyFill="1" applyBorder="1"/>
    <xf numFmtId="0" fontId="37" fillId="2" borderId="9" xfId="0" applyFont="1" applyFill="1" applyBorder="1"/>
    <xf numFmtId="1" fontId="8" fillId="2" borderId="32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left"/>
    </xf>
    <xf numFmtId="1" fontId="8" fillId="2" borderId="35" xfId="0" applyNumberFormat="1" applyFont="1" applyFill="1" applyBorder="1" applyAlignment="1">
      <alignment horizontal="center"/>
    </xf>
    <xf numFmtId="0" fontId="39" fillId="2" borderId="2" xfId="0" applyFont="1" applyFill="1" applyBorder="1"/>
    <xf numFmtId="0" fontId="8" fillId="4" borderId="2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165" fontId="27" fillId="2" borderId="0" xfId="0" applyNumberFormat="1" applyFont="1" applyFill="1" applyBorder="1" applyAlignment="1">
      <alignment horizontal="center"/>
    </xf>
    <xf numFmtId="165" fontId="27" fillId="2" borderId="2" xfId="0" applyNumberFormat="1" applyFont="1" applyFill="1" applyBorder="1" applyAlignment="1">
      <alignment horizontal="center"/>
    </xf>
    <xf numFmtId="0" fontId="55" fillId="2" borderId="0" xfId="0" applyFont="1" applyFill="1" applyBorder="1" applyAlignment="1">
      <alignment horizontal="center"/>
    </xf>
    <xf numFmtId="1" fontId="8" fillId="4" borderId="0" xfId="0" applyNumberFormat="1" applyFont="1" applyFill="1" applyBorder="1"/>
    <xf numFmtId="0" fontId="8" fillId="4" borderId="9" xfId="0" applyFont="1" applyFill="1" applyBorder="1"/>
    <xf numFmtId="0" fontId="8" fillId="4" borderId="7" xfId="0" applyFont="1" applyFill="1" applyBorder="1"/>
    <xf numFmtId="0" fontId="37" fillId="0" borderId="0" xfId="0" applyFont="1"/>
    <xf numFmtId="1" fontId="25" fillId="0" borderId="3" xfId="0" applyNumberFormat="1" applyFont="1" applyFill="1" applyBorder="1" applyAlignment="1">
      <alignment horizontal="center"/>
    </xf>
    <xf numFmtId="0" fontId="54" fillId="2" borderId="18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/>
    </xf>
    <xf numFmtId="1" fontId="12" fillId="2" borderId="0" xfId="0" applyNumberFormat="1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/>
    <xf numFmtId="1" fontId="8" fillId="5" borderId="0" xfId="0" applyNumberFormat="1" applyFont="1" applyFill="1" applyBorder="1" applyAlignment="1">
      <alignment horizontal="center"/>
    </xf>
    <xf numFmtId="1" fontId="0" fillId="0" borderId="0" xfId="0" applyNumberFormat="1"/>
    <xf numFmtId="1" fontId="0" fillId="0" borderId="19" xfId="0" applyNumberFormat="1" applyFill="1" applyBorder="1" applyAlignment="1">
      <alignment horizontal="center"/>
    </xf>
    <xf numFmtId="1" fontId="8" fillId="5" borderId="19" xfId="0" applyNumberFormat="1" applyFont="1" applyFill="1" applyBorder="1" applyAlignment="1">
      <alignment horizontal="center"/>
    </xf>
    <xf numFmtId="172" fontId="8" fillId="2" borderId="0" xfId="2" applyNumberFormat="1" applyFont="1" applyFill="1" applyBorder="1" applyAlignment="1">
      <alignment horizontal="center"/>
    </xf>
    <xf numFmtId="172" fontId="19" fillId="2" borderId="0" xfId="2" applyNumberFormat="1" applyFont="1" applyFill="1" applyBorder="1" applyAlignment="1">
      <alignment horizontal="center"/>
    </xf>
    <xf numFmtId="172" fontId="27" fillId="2" borderId="0" xfId="2" applyNumberFormat="1" applyFont="1" applyFill="1" applyBorder="1" applyAlignment="1">
      <alignment horizontal="center"/>
    </xf>
    <xf numFmtId="172" fontId="0" fillId="2" borderId="0" xfId="2" applyNumberFormat="1" applyFont="1" applyFill="1"/>
    <xf numFmtId="172" fontId="0" fillId="2" borderId="0" xfId="2" applyNumberFormat="1" applyFont="1" applyFill="1" applyAlignment="1">
      <alignment horizontal="center"/>
    </xf>
    <xf numFmtId="172" fontId="0" fillId="0" borderId="0" xfId="0" applyNumberFormat="1" applyAlignment="1">
      <alignment horizontal="center"/>
    </xf>
    <xf numFmtId="172" fontId="0" fillId="0" borderId="0" xfId="0" applyNumberFormat="1"/>
    <xf numFmtId="172" fontId="0" fillId="0" borderId="32" xfId="0" applyNumberFormat="1" applyBorder="1"/>
    <xf numFmtId="172" fontId="0" fillId="2" borderId="0" xfId="2" applyNumberFormat="1" applyFont="1" applyFill="1" applyBorder="1" applyAlignment="1">
      <alignment horizontal="center"/>
    </xf>
    <xf numFmtId="172" fontId="0" fillId="2" borderId="0" xfId="2" applyNumberFormat="1" applyFont="1" applyFill="1" applyBorder="1"/>
    <xf numFmtId="172" fontId="8" fillId="2" borderId="2" xfId="2" applyNumberFormat="1" applyFont="1" applyFill="1" applyBorder="1" applyAlignment="1"/>
    <xf numFmtId="172" fontId="8" fillId="2" borderId="2" xfId="2" applyNumberFormat="1" applyFont="1" applyFill="1" applyBorder="1" applyAlignment="1">
      <alignment horizontal="center"/>
    </xf>
    <xf numFmtId="172" fontId="19" fillId="2" borderId="2" xfId="2" applyNumberFormat="1" applyFont="1" applyFill="1" applyBorder="1" applyAlignment="1">
      <alignment horizontal="center"/>
    </xf>
    <xf numFmtId="172" fontId="8" fillId="4" borderId="2" xfId="2" applyNumberFormat="1" applyFont="1" applyFill="1" applyBorder="1" applyAlignment="1">
      <alignment horizontal="center"/>
    </xf>
    <xf numFmtId="172" fontId="27" fillId="2" borderId="2" xfId="2" applyNumberFormat="1" applyFont="1" applyFill="1" applyBorder="1" applyAlignment="1">
      <alignment horizontal="center"/>
    </xf>
    <xf numFmtId="172" fontId="0" fillId="2" borderId="2" xfId="2" applyNumberFormat="1" applyFont="1" applyFill="1" applyBorder="1" applyAlignment="1">
      <alignment horizontal="center"/>
    </xf>
    <xf numFmtId="0" fontId="39" fillId="2" borderId="0" xfId="0" applyFont="1" applyFill="1" applyAlignment="1">
      <alignment horizontal="center"/>
    </xf>
    <xf numFmtId="165" fontId="8" fillId="2" borderId="0" xfId="0" applyNumberFormat="1" applyFont="1" applyFill="1" applyBorder="1"/>
    <xf numFmtId="1" fontId="25" fillId="0" borderId="25" xfId="0" applyNumberFormat="1" applyFont="1" applyFill="1" applyBorder="1" applyAlignment="1">
      <alignment horizontal="center"/>
    </xf>
    <xf numFmtId="1" fontId="56" fillId="0" borderId="1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165" fontId="57" fillId="0" borderId="1" xfId="0" applyNumberFormat="1" applyFont="1" applyFill="1" applyBorder="1" applyAlignment="1">
      <alignment horizontal="center"/>
    </xf>
    <xf numFmtId="165" fontId="25" fillId="0" borderId="26" xfId="0" applyNumberFormat="1" applyFont="1" applyFill="1" applyBorder="1" applyAlignment="1">
      <alignment horizontal="center"/>
    </xf>
    <xf numFmtId="168" fontId="25" fillId="4" borderId="1" xfId="0" applyNumberFormat="1" applyFont="1" applyFill="1" applyBorder="1" applyAlignment="1">
      <alignment horizontal="center"/>
    </xf>
    <xf numFmtId="165" fontId="25" fillId="4" borderId="1" xfId="0" applyNumberFormat="1" applyFont="1" applyFill="1" applyBorder="1" applyAlignment="1">
      <alignment horizontal="center"/>
    </xf>
    <xf numFmtId="168" fontId="25" fillId="4" borderId="26" xfId="0" applyNumberFormat="1" applyFont="1" applyFill="1" applyBorder="1" applyAlignment="1">
      <alignment horizontal="center"/>
    </xf>
    <xf numFmtId="165" fontId="25" fillId="4" borderId="26" xfId="0" applyNumberFormat="1" applyFont="1" applyFill="1" applyBorder="1" applyAlignment="1">
      <alignment horizontal="center"/>
    </xf>
    <xf numFmtId="168" fontId="58" fillId="4" borderId="0" xfId="0" applyNumberFormat="1" applyFont="1" applyFill="1" applyBorder="1" applyAlignment="1">
      <alignment horizontal="center"/>
    </xf>
    <xf numFmtId="1" fontId="40" fillId="2" borderId="0" xfId="0" applyNumberFormat="1" applyFont="1" applyFill="1" applyBorder="1" applyAlignment="1">
      <alignment horizontal="center"/>
    </xf>
    <xf numFmtId="1" fontId="24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/>
    <xf numFmtId="1" fontId="7" fillId="0" borderId="1" xfId="0" applyNumberFormat="1" applyFont="1" applyFill="1" applyBorder="1" applyAlignment="1">
      <alignment horizontal="center"/>
    </xf>
    <xf numFmtId="1" fontId="15" fillId="0" borderId="20" xfId="0" applyNumberFormat="1" applyFont="1" applyFill="1" applyBorder="1" applyAlignment="1">
      <alignment horizontal="center"/>
    </xf>
    <xf numFmtId="1" fontId="15" fillId="0" borderId="25" xfId="0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left"/>
    </xf>
    <xf numFmtId="0" fontId="59" fillId="2" borderId="0" xfId="0" applyFont="1" applyFill="1" applyBorder="1"/>
    <xf numFmtId="0" fontId="8" fillId="0" borderId="0" xfId="0" applyFont="1" applyBorder="1" applyAlignment="1">
      <alignment horizontal="center"/>
    </xf>
    <xf numFmtId="0" fontId="54" fillId="2" borderId="2" xfId="0" applyFont="1" applyFill="1" applyBorder="1"/>
    <xf numFmtId="0" fontId="31" fillId="2" borderId="0" xfId="0" applyFont="1" applyFill="1" applyBorder="1"/>
    <xf numFmtId="3" fontId="8" fillId="0" borderId="1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1" fontId="12" fillId="2" borderId="2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11" fillId="4" borderId="24" xfId="0" applyFont="1" applyFill="1" applyBorder="1" applyAlignment="1">
      <alignment horizontal="right"/>
    </xf>
    <xf numFmtId="0" fontId="0" fillId="4" borderId="0" xfId="0" applyFill="1" applyBorder="1" applyAlignment="1">
      <alignment horizontal="center"/>
    </xf>
    <xf numFmtId="0" fontId="11" fillId="4" borderId="19" xfId="0" applyFont="1" applyFill="1" applyBorder="1" applyAlignment="1">
      <alignment horizontal="right"/>
    </xf>
    <xf numFmtId="0" fontId="39" fillId="4" borderId="0" xfId="0" applyFont="1" applyFill="1" applyBorder="1" applyAlignment="1">
      <alignment horizontal="left"/>
    </xf>
    <xf numFmtId="0" fontId="39" fillId="4" borderId="0" xfId="0" applyFont="1" applyFill="1" applyBorder="1" applyAlignment="1">
      <alignment horizontal="center"/>
    </xf>
    <xf numFmtId="0" fontId="39" fillId="4" borderId="19" xfId="0" applyFont="1" applyFill="1" applyBorder="1" applyAlignment="1">
      <alignment horizontal="center"/>
    </xf>
    <xf numFmtId="1" fontId="39" fillId="4" borderId="1" xfId="0" applyNumberFormat="1" applyFont="1" applyFill="1" applyBorder="1" applyAlignment="1">
      <alignment horizontal="center"/>
    </xf>
    <xf numFmtId="1" fontId="15" fillId="0" borderId="3" xfId="0" applyNumberFormat="1" applyFont="1" applyFill="1" applyBorder="1" applyAlignment="1">
      <alignment horizontal="center"/>
    </xf>
    <xf numFmtId="0" fontId="48" fillId="2" borderId="0" xfId="4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3" fillId="5" borderId="13" xfId="0" applyFont="1" applyFill="1" applyBorder="1" applyAlignment="1">
      <alignment horizontal="left"/>
    </xf>
    <xf numFmtId="0" fontId="3" fillId="5" borderId="14" xfId="0" applyFont="1" applyFill="1" applyBorder="1" applyAlignment="1">
      <alignment horizontal="left"/>
    </xf>
    <xf numFmtId="0" fontId="3" fillId="5" borderId="15" xfId="0" applyFont="1" applyFill="1" applyBorder="1" applyAlignment="1">
      <alignment horizontal="left"/>
    </xf>
    <xf numFmtId="0" fontId="3" fillId="7" borderId="13" xfId="0" applyFont="1" applyFill="1" applyBorder="1" applyAlignment="1">
      <alignment horizontal="left"/>
    </xf>
    <xf numFmtId="0" fontId="3" fillId="7" borderId="14" xfId="0" applyFont="1" applyFill="1" applyBorder="1" applyAlignment="1">
      <alignment horizontal="left"/>
    </xf>
    <xf numFmtId="0" fontId="3" fillId="7" borderId="15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13" xfId="0" quotePrefix="1" applyFont="1" applyFill="1" applyBorder="1" applyAlignment="1">
      <alignment horizontal="left"/>
    </xf>
    <xf numFmtId="0" fontId="3" fillId="6" borderId="14" xfId="0" applyFont="1" applyFill="1" applyBorder="1" applyAlignment="1">
      <alignment horizontal="left"/>
    </xf>
    <xf numFmtId="0" fontId="3" fillId="6" borderId="15" xfId="0" applyFont="1" applyFill="1" applyBorder="1" applyAlignment="1">
      <alignment horizontal="left"/>
    </xf>
    <xf numFmtId="0" fontId="3" fillId="6" borderId="4" xfId="0" quotePrefix="1" applyFont="1" applyFill="1" applyBorder="1" applyAlignment="1">
      <alignment horizontal="left"/>
    </xf>
    <xf numFmtId="0" fontId="3" fillId="6" borderId="13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60" fillId="0" borderId="0" xfId="0" applyFont="1" applyAlignment="1">
      <alignment horizontal="center"/>
    </xf>
    <xf numFmtId="0" fontId="0" fillId="11" borderId="0" xfId="0" applyFont="1" applyFill="1"/>
    <xf numFmtId="0" fontId="8" fillId="11" borderId="0" xfId="0" applyFont="1" applyFill="1" applyBorder="1"/>
    <xf numFmtId="0" fontId="61" fillId="11" borderId="0" xfId="0" applyFont="1" applyFill="1" applyAlignment="1">
      <alignment horizontal="center" vertical="center"/>
    </xf>
    <xf numFmtId="0" fontId="62" fillId="11" borderId="0" xfId="0" applyFont="1" applyFill="1" applyAlignment="1">
      <alignment horizontal="center" vertical="center"/>
    </xf>
    <xf numFmtId="0" fontId="63" fillId="11" borderId="0" xfId="0" applyFont="1" applyFill="1" applyAlignment="1">
      <alignment horizontal="center" vertical="center"/>
    </xf>
    <xf numFmtId="0" fontId="64" fillId="11" borderId="0" xfId="0" applyFont="1" applyFill="1"/>
    <xf numFmtId="0" fontId="8" fillId="2" borderId="0" xfId="0" applyFont="1" applyFill="1" applyBorder="1" applyAlignment="1"/>
    <xf numFmtId="0" fontId="31" fillId="0" borderId="0" xfId="0" applyFont="1"/>
  </cellXfs>
  <cellStyles count="5">
    <cellStyle name="Comma" xfId="2" builtinId="3"/>
    <cellStyle name="Hyperlink" xfId="4" builtinId="8"/>
    <cellStyle name="Normaali 2" xfId="3"/>
    <cellStyle name="Normal" xfId="0" builtinId="0"/>
    <cellStyle name="Normal 2 2" xfId="1"/>
  </cellStyles>
  <dxfs count="0"/>
  <tableStyles count="0" defaultTableStyle="TableStyleMedium2" defaultPivotStyle="PivotStyleLight16"/>
  <colors>
    <mruColors>
      <color rgb="FFFF0066"/>
      <color rgb="FFFFFF66"/>
      <color rgb="FFCC99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'USER INPUTS'!$B$9:$B$12</c:f>
              <c:numCache>
                <c:formatCode>General</c:formatCode>
                <c:ptCount val="4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087500461526637E-2"/>
          <c:y val="6.4734734277882205E-2"/>
          <c:w val="0.15528400603128004"/>
          <c:h val="0.84862203511559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t-EE" sz="1200" b="0"/>
              <a:t>WITHOUT POLICY</a:t>
            </a:r>
            <a:endParaRPr lang="en-US" sz="1200" b="0"/>
          </a:p>
        </c:rich>
      </c:tx>
      <c:layout>
        <c:manualLayout>
          <c:xMode val="edge"/>
          <c:yMode val="edge"/>
          <c:x val="0.30464572684792218"/>
          <c:y val="5.6066586797532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'USER INPUTS'!$B$122:$B$126</c:f>
              <c:numCache>
                <c:formatCode>General</c:formatCode>
                <c:ptCount val="5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0.30000000000000004</c:v>
                </c:pt>
                <c:pt idx="4">
                  <c:v>99.6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t-EE" sz="1200" b="0"/>
              <a:t>WITHOUT POLICY</a:t>
            </a:r>
            <a:endParaRPr lang="en-US" sz="1200" b="0"/>
          </a:p>
        </c:rich>
      </c:tx>
      <c:layout>
        <c:manualLayout>
          <c:xMode val="edge"/>
          <c:yMode val="edge"/>
          <c:x val="0.55722842629462188"/>
          <c:y val="0.18020891841660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5239007817882912"/>
          <c:y val="0.23892625824872663"/>
          <c:w val="0.16655311940086417"/>
          <c:h val="0.502891694719109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'USER INPUTS'!$B$133:$B$147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3.1069255412930827</c:v>
                </c:pt>
                <c:pt idx="3">
                  <c:v>0</c:v>
                </c:pt>
                <c:pt idx="4">
                  <c:v>9.9999999999999978E-2</c:v>
                </c:pt>
                <c:pt idx="5">
                  <c:v>0</c:v>
                </c:pt>
                <c:pt idx="6">
                  <c:v>1.9999999999999997E-2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2.7375346707088952</c:v>
                </c:pt>
                <c:pt idx="12">
                  <c:v>0.22</c:v>
                </c:pt>
                <c:pt idx="13" formatCode="0.0">
                  <c:v>38.113813188636961</c:v>
                </c:pt>
                <c:pt idx="14" formatCode="0.0">
                  <c:v>55.701726599361059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t-EE" sz="1200" b="0"/>
              <a:t>WIHTOUT POLICY</a:t>
            </a:r>
            <a:endParaRPr lang="en-US" sz="1200" b="0"/>
          </a:p>
        </c:rich>
      </c:tx>
      <c:layout>
        <c:manualLayout>
          <c:xMode val="edge"/>
          <c:yMode val="edge"/>
          <c:x val="0.32791601049868768"/>
          <c:y val="3.5560214150651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'USER INPUTS'!$A$103:$A$106</c:f>
              <c:strCache>
                <c:ptCount val="4"/>
                <c:pt idx="0">
                  <c:v>share for bus</c:v>
                </c:pt>
                <c:pt idx="1">
                  <c:v>share for tram and metro</c:v>
                </c:pt>
                <c:pt idx="2">
                  <c:v>share for train</c:v>
                </c:pt>
                <c:pt idx="3">
                  <c:v>car passenger</c:v>
                </c:pt>
              </c:strCache>
            </c:strRef>
          </c:cat>
          <c:val>
            <c:numRef>
              <c:f>'USER INPUTS'!$C$103:$C$106</c:f>
              <c:numCache>
                <c:formatCode>0.0</c:formatCode>
                <c:ptCount val="4"/>
                <c:pt idx="0">
                  <c:v>35</c:v>
                </c:pt>
                <c:pt idx="1">
                  <c:v>22</c:v>
                </c:pt>
                <c:pt idx="2">
                  <c:v>20</c:v>
                </c:pt>
                <c:pt idx="3">
                  <c:v>23</c:v>
                </c:pt>
              </c:numCache>
            </c:numRef>
          </c:val>
        </c:ser>
        <c:ser>
          <c:idx val="3"/>
          <c:order val="1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'USER INPUTS'!$A$103:$A$106</c:f>
              <c:strCache>
                <c:ptCount val="4"/>
                <c:pt idx="0">
                  <c:v>share for bus</c:v>
                </c:pt>
                <c:pt idx="1">
                  <c:v>share for tram and metro</c:v>
                </c:pt>
                <c:pt idx="2">
                  <c:v>share for train</c:v>
                </c:pt>
                <c:pt idx="3">
                  <c:v>car passenger</c:v>
                </c:pt>
              </c:strCache>
            </c:strRef>
          </c:cat>
          <c:val>
            <c:numRef>
              <c:f>'USER INPUTS'!$C$103:$C$106</c:f>
              <c:numCache>
                <c:formatCode>0.0</c:formatCode>
                <c:ptCount val="4"/>
                <c:pt idx="0">
                  <c:v>35</c:v>
                </c:pt>
                <c:pt idx="1">
                  <c:v>22</c:v>
                </c:pt>
                <c:pt idx="2">
                  <c:v>20</c:v>
                </c:pt>
                <c:pt idx="3">
                  <c:v>23</c:v>
                </c:pt>
              </c:numCache>
            </c:numRef>
          </c:val>
        </c:ser>
        <c:ser>
          <c:idx val="1"/>
          <c:order val="2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'USER INPUTS'!$A$103:$A$106</c:f>
              <c:strCache>
                <c:ptCount val="4"/>
                <c:pt idx="0">
                  <c:v>share for bus</c:v>
                </c:pt>
                <c:pt idx="1">
                  <c:v>share for tram and metro</c:v>
                </c:pt>
                <c:pt idx="2">
                  <c:v>share for train</c:v>
                </c:pt>
                <c:pt idx="3">
                  <c:v>car passenger</c:v>
                </c:pt>
              </c:strCache>
            </c:strRef>
          </c:cat>
          <c:val>
            <c:numRef>
              <c:f>'USER INPUTS'!$C$103:$C$106</c:f>
              <c:numCache>
                <c:formatCode>0.0</c:formatCode>
                <c:ptCount val="4"/>
                <c:pt idx="0">
                  <c:v>35</c:v>
                </c:pt>
                <c:pt idx="1">
                  <c:v>22</c:v>
                </c:pt>
                <c:pt idx="2">
                  <c:v>20</c:v>
                </c:pt>
                <c:pt idx="3">
                  <c:v>23</c:v>
                </c:pt>
              </c:numCache>
            </c:numRef>
          </c:val>
        </c:ser>
        <c:ser>
          <c:idx val="0"/>
          <c:order val="3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'USER INPUTS'!$A$103:$A$106</c:f>
              <c:strCache>
                <c:ptCount val="4"/>
                <c:pt idx="0">
                  <c:v>share for bus</c:v>
                </c:pt>
                <c:pt idx="1">
                  <c:v>share for tram and metro</c:v>
                </c:pt>
                <c:pt idx="2">
                  <c:v>share for train</c:v>
                </c:pt>
                <c:pt idx="3">
                  <c:v>car passenger</c:v>
                </c:pt>
              </c:strCache>
            </c:strRef>
          </c:cat>
          <c:val>
            <c:numRef>
              <c:f>'USER INPUTS'!$C$103:$C$106</c:f>
              <c:numCache>
                <c:formatCode>0.0</c:formatCode>
                <c:ptCount val="4"/>
                <c:pt idx="0">
                  <c:v>35</c:v>
                </c:pt>
                <c:pt idx="1">
                  <c:v>22</c:v>
                </c:pt>
                <c:pt idx="2">
                  <c:v>20</c:v>
                </c:pt>
                <c:pt idx="3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</a:t>
            </a:r>
            <a:r>
              <a:rPr lang="et-EE"/>
              <a:t>SELINE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'USER INPUTS'!$A$53:$A$60</c:f>
              <c:strCache>
                <c:ptCount val="8"/>
                <c:pt idx="0">
                  <c:v>Motor coaches, buses and trolley buses</c:v>
                </c:pt>
                <c:pt idx="1">
                  <c:v>Passenger cars</c:v>
                </c:pt>
                <c:pt idx="2">
                  <c:v>Metro</c:v>
                </c:pt>
                <c:pt idx="3">
                  <c:v>Tram, light train</c:v>
                </c:pt>
                <c:pt idx="4">
                  <c:v>Passenger trains</c:v>
                </c:pt>
                <c:pt idx="5">
                  <c:v>Rail freight</c:v>
                </c:pt>
                <c:pt idx="6">
                  <c:v>Road freight</c:v>
                </c:pt>
                <c:pt idx="7">
                  <c:v>Inland waterways freight</c:v>
                </c:pt>
              </c:strCache>
            </c:strRef>
          </c:cat>
          <c:val>
            <c:numRef>
              <c:f>'USER INPUTS'!$B$53:$B$60</c:f>
              <c:numCache>
                <c:formatCode>0.000</c:formatCode>
                <c:ptCount val="8"/>
                <c:pt idx="0">
                  <c:v>7.6549372212823624E-2</c:v>
                </c:pt>
                <c:pt idx="1">
                  <c:v>1.3360591831187487</c:v>
                </c:pt>
                <c:pt idx="2">
                  <c:v>0</c:v>
                </c:pt>
                <c:pt idx="3">
                  <c:v>0</c:v>
                </c:pt>
                <c:pt idx="4">
                  <c:v>9.2101198979936126E-6</c:v>
                </c:pt>
                <c:pt idx="5">
                  <c:v>1.3690045358541809E-5</c:v>
                </c:pt>
                <c:pt idx="6">
                  <c:v>1.5975664130382566E-4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tCO2e/resident,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88548652893245E-2"/>
          <c:y val="0.14058192988930293"/>
          <c:w val="0.93319828203292765"/>
          <c:h val="0.74579289489159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'USER INPUTS'!$B$52</c:f>
              <c:strCache>
                <c:ptCount val="1"/>
                <c:pt idx="0">
                  <c:v>tnCO2e/resident,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'USER INPUTS'!$A$53:$A$60</c:f>
              <c:strCache>
                <c:ptCount val="8"/>
                <c:pt idx="0">
                  <c:v>Motor coaches, buses and trolley buses</c:v>
                </c:pt>
                <c:pt idx="1">
                  <c:v>Passenger cars</c:v>
                </c:pt>
                <c:pt idx="2">
                  <c:v>Metro</c:v>
                </c:pt>
                <c:pt idx="3">
                  <c:v>Tram, light train</c:v>
                </c:pt>
                <c:pt idx="4">
                  <c:v>Passenger trains</c:v>
                </c:pt>
                <c:pt idx="5">
                  <c:v>Rail freight</c:v>
                </c:pt>
                <c:pt idx="6">
                  <c:v>Road freight</c:v>
                </c:pt>
                <c:pt idx="7">
                  <c:v>Inland waterways freight</c:v>
                </c:pt>
              </c:strCache>
            </c:strRef>
          </c:cat>
          <c:val>
            <c:numRef>
              <c:f>'USER INPUTS'!$B$53:$B$60</c:f>
              <c:numCache>
                <c:formatCode>0.000</c:formatCode>
                <c:ptCount val="8"/>
                <c:pt idx="0">
                  <c:v>7.6549372212823624E-2</c:v>
                </c:pt>
                <c:pt idx="1">
                  <c:v>1.3360591831187487</c:v>
                </c:pt>
                <c:pt idx="2">
                  <c:v>0</c:v>
                </c:pt>
                <c:pt idx="3">
                  <c:v>0</c:v>
                </c:pt>
                <c:pt idx="4">
                  <c:v>9.2101198979936126E-6</c:v>
                </c:pt>
                <c:pt idx="5">
                  <c:v>1.3690045358541809E-5</c:v>
                </c:pt>
                <c:pt idx="6">
                  <c:v>1.5975664130382566E-4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24808"/>
        <c:axId val="332116392"/>
      </c:barChart>
      <c:catAx>
        <c:axId val="3412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16392"/>
        <c:crosses val="autoZero"/>
        <c:auto val="1"/>
        <c:lblAlgn val="ctr"/>
        <c:lblOffset val="100"/>
        <c:noMultiLvlLbl val="0"/>
      </c:catAx>
      <c:valAx>
        <c:axId val="33211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t-EE" sz="1200" b="0"/>
              <a:t>POLICY</a:t>
            </a:r>
            <a:r>
              <a:rPr lang="et-EE" sz="1200" b="0" baseline="0"/>
              <a:t> TARGET</a:t>
            </a:r>
            <a:endParaRPr lang="en-US" sz="1200" b="0"/>
          </a:p>
        </c:rich>
      </c:tx>
      <c:layout>
        <c:manualLayout>
          <c:xMode val="edge"/>
          <c:yMode val="edge"/>
          <c:x val="0.16865675123942842"/>
          <c:y val="3.5560214150651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4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'USER INPUTS'!$A$103:$A$106</c:f>
              <c:strCache>
                <c:ptCount val="4"/>
                <c:pt idx="0">
                  <c:v>share for bus</c:v>
                </c:pt>
                <c:pt idx="1">
                  <c:v>share for tram and metro</c:v>
                </c:pt>
                <c:pt idx="2">
                  <c:v>share for train</c:v>
                </c:pt>
                <c:pt idx="3">
                  <c:v>car passenger</c:v>
                </c:pt>
              </c:strCache>
            </c:strRef>
          </c:cat>
          <c:val>
            <c:numRef>
              <c:f>'USER INPUTS'!$C$103:$C$106</c:f>
              <c:numCache>
                <c:formatCode>0.0</c:formatCode>
                <c:ptCount val="4"/>
                <c:pt idx="0">
                  <c:v>35</c:v>
                </c:pt>
                <c:pt idx="1">
                  <c:v>22</c:v>
                </c:pt>
                <c:pt idx="2">
                  <c:v>20</c:v>
                </c:pt>
                <c:pt idx="3">
                  <c:v>23</c:v>
                </c:pt>
              </c:numCache>
            </c:numRef>
          </c:val>
        </c:ser>
        <c:ser>
          <c:idx val="5"/>
          <c:order val="1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'USER INPUTS'!$A$103:$A$106</c:f>
              <c:strCache>
                <c:ptCount val="4"/>
                <c:pt idx="0">
                  <c:v>share for bus</c:v>
                </c:pt>
                <c:pt idx="1">
                  <c:v>share for tram and metro</c:v>
                </c:pt>
                <c:pt idx="2">
                  <c:v>share for train</c:v>
                </c:pt>
                <c:pt idx="3">
                  <c:v>car passenger</c:v>
                </c:pt>
              </c:strCache>
            </c:strRef>
          </c:cat>
          <c:val>
            <c:numRef>
              <c:f>'USER INPUTS'!$C$103:$C$106</c:f>
              <c:numCache>
                <c:formatCode>0.0</c:formatCode>
                <c:ptCount val="4"/>
                <c:pt idx="0">
                  <c:v>35</c:v>
                </c:pt>
                <c:pt idx="1">
                  <c:v>22</c:v>
                </c:pt>
                <c:pt idx="2">
                  <c:v>20</c:v>
                </c:pt>
                <c:pt idx="3">
                  <c:v>23</c:v>
                </c:pt>
              </c:numCache>
            </c:numRef>
          </c:val>
        </c:ser>
        <c:ser>
          <c:idx val="6"/>
          <c:order val="2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'USER INPUTS'!$A$103:$A$106</c:f>
              <c:strCache>
                <c:ptCount val="4"/>
                <c:pt idx="0">
                  <c:v>share for bus</c:v>
                </c:pt>
                <c:pt idx="1">
                  <c:v>share for tram and metro</c:v>
                </c:pt>
                <c:pt idx="2">
                  <c:v>share for train</c:v>
                </c:pt>
                <c:pt idx="3">
                  <c:v>car passenger</c:v>
                </c:pt>
              </c:strCache>
            </c:strRef>
          </c:cat>
          <c:val>
            <c:numRef>
              <c:f>'USER INPUTS'!$C$103:$C$106</c:f>
              <c:numCache>
                <c:formatCode>0.0</c:formatCode>
                <c:ptCount val="4"/>
                <c:pt idx="0">
                  <c:v>35</c:v>
                </c:pt>
                <c:pt idx="1">
                  <c:v>22</c:v>
                </c:pt>
                <c:pt idx="2">
                  <c:v>20</c:v>
                </c:pt>
                <c:pt idx="3">
                  <c:v>23</c:v>
                </c:pt>
              </c:numCache>
            </c:numRef>
          </c:val>
        </c:ser>
        <c:ser>
          <c:idx val="7"/>
          <c:order val="3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'USER INPUTS'!$A$103:$A$106</c:f>
              <c:strCache>
                <c:ptCount val="4"/>
                <c:pt idx="0">
                  <c:v>share for bus</c:v>
                </c:pt>
                <c:pt idx="1">
                  <c:v>share for tram and metro</c:v>
                </c:pt>
                <c:pt idx="2">
                  <c:v>share for train</c:v>
                </c:pt>
                <c:pt idx="3">
                  <c:v>car passenger</c:v>
                </c:pt>
              </c:strCache>
            </c:strRef>
          </c:cat>
          <c:val>
            <c:numRef>
              <c:f>'USER INPUTS'!$C$103:$C$106</c:f>
              <c:numCache>
                <c:formatCode>0.0</c:formatCode>
                <c:ptCount val="4"/>
                <c:pt idx="0">
                  <c:v>35</c:v>
                </c:pt>
                <c:pt idx="1">
                  <c:v>22</c:v>
                </c:pt>
                <c:pt idx="2">
                  <c:v>20</c:v>
                </c:pt>
                <c:pt idx="3">
                  <c:v>23</c:v>
                </c:pt>
              </c:numCache>
            </c:numRef>
          </c:val>
        </c:ser>
        <c:ser>
          <c:idx val="2"/>
          <c:order val="4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'USER INPUTS'!$A$103:$A$106</c:f>
              <c:strCache>
                <c:ptCount val="4"/>
                <c:pt idx="0">
                  <c:v>share for bus</c:v>
                </c:pt>
                <c:pt idx="1">
                  <c:v>share for tram and metro</c:v>
                </c:pt>
                <c:pt idx="2">
                  <c:v>share for train</c:v>
                </c:pt>
                <c:pt idx="3">
                  <c:v>car passenger</c:v>
                </c:pt>
              </c:strCache>
            </c:strRef>
          </c:cat>
          <c:val>
            <c:numRef>
              <c:f>'USER INPUTS'!$C$103:$C$106</c:f>
              <c:numCache>
                <c:formatCode>0.0</c:formatCode>
                <c:ptCount val="4"/>
                <c:pt idx="0">
                  <c:v>35</c:v>
                </c:pt>
                <c:pt idx="1">
                  <c:v>22</c:v>
                </c:pt>
                <c:pt idx="2">
                  <c:v>20</c:v>
                </c:pt>
                <c:pt idx="3">
                  <c:v>23</c:v>
                </c:pt>
              </c:numCache>
            </c:numRef>
          </c:val>
        </c:ser>
        <c:ser>
          <c:idx val="3"/>
          <c:order val="5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'USER INPUTS'!$A$103:$A$106</c:f>
              <c:strCache>
                <c:ptCount val="4"/>
                <c:pt idx="0">
                  <c:v>share for bus</c:v>
                </c:pt>
                <c:pt idx="1">
                  <c:v>share for tram and metro</c:v>
                </c:pt>
                <c:pt idx="2">
                  <c:v>share for train</c:v>
                </c:pt>
                <c:pt idx="3">
                  <c:v>car passenger</c:v>
                </c:pt>
              </c:strCache>
            </c:strRef>
          </c:cat>
          <c:val>
            <c:numRef>
              <c:f>'USER INPUTS'!$C$103:$C$106</c:f>
              <c:numCache>
                <c:formatCode>0.0</c:formatCode>
                <c:ptCount val="4"/>
                <c:pt idx="0">
                  <c:v>35</c:v>
                </c:pt>
                <c:pt idx="1">
                  <c:v>22</c:v>
                </c:pt>
                <c:pt idx="2">
                  <c:v>20</c:v>
                </c:pt>
                <c:pt idx="3">
                  <c:v>23</c:v>
                </c:pt>
              </c:numCache>
            </c:numRef>
          </c:val>
        </c:ser>
        <c:ser>
          <c:idx val="1"/>
          <c:order val="6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'USER INPUTS'!$A$103:$A$106</c:f>
              <c:strCache>
                <c:ptCount val="4"/>
                <c:pt idx="0">
                  <c:v>share for bus</c:v>
                </c:pt>
                <c:pt idx="1">
                  <c:v>share for tram and metro</c:v>
                </c:pt>
                <c:pt idx="2">
                  <c:v>share for train</c:v>
                </c:pt>
                <c:pt idx="3">
                  <c:v>car passenger</c:v>
                </c:pt>
              </c:strCache>
            </c:strRef>
          </c:cat>
          <c:val>
            <c:numRef>
              <c:f>'USER INPUTS'!$C$103:$C$106</c:f>
              <c:numCache>
                <c:formatCode>0.0</c:formatCode>
                <c:ptCount val="4"/>
                <c:pt idx="0">
                  <c:v>35</c:v>
                </c:pt>
                <c:pt idx="1">
                  <c:v>22</c:v>
                </c:pt>
                <c:pt idx="2">
                  <c:v>20</c:v>
                </c:pt>
                <c:pt idx="3">
                  <c:v>23</c:v>
                </c:pt>
              </c:numCache>
            </c:numRef>
          </c:val>
        </c:ser>
        <c:ser>
          <c:idx val="0"/>
          <c:order val="7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'USER INPUTS'!$A$103:$A$106</c:f>
              <c:strCache>
                <c:ptCount val="4"/>
                <c:pt idx="0">
                  <c:v>share for bus</c:v>
                </c:pt>
                <c:pt idx="1">
                  <c:v>share for tram and metro</c:v>
                </c:pt>
                <c:pt idx="2">
                  <c:v>share for train</c:v>
                </c:pt>
                <c:pt idx="3">
                  <c:v>car passenger</c:v>
                </c:pt>
              </c:strCache>
            </c:strRef>
          </c:cat>
          <c:val>
            <c:numRef>
              <c:f>'USER INPUTS'!$C$103:$C$106</c:f>
              <c:numCache>
                <c:formatCode>0.0</c:formatCode>
                <c:ptCount val="4"/>
                <c:pt idx="0">
                  <c:v>35</c:v>
                </c:pt>
                <c:pt idx="1">
                  <c:v>22</c:v>
                </c:pt>
                <c:pt idx="2">
                  <c:v>20</c:v>
                </c:pt>
                <c:pt idx="3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t-EE" sz="1200" b="0"/>
              <a:t>POLICY TARGET</a:t>
            </a:r>
            <a:endParaRPr lang="en-US" sz="1200" b="0"/>
          </a:p>
        </c:rich>
      </c:tx>
      <c:layout>
        <c:manualLayout>
          <c:xMode val="edge"/>
          <c:yMode val="edge"/>
          <c:x val="0.17759894974939683"/>
          <c:y val="3.5423402156177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'USER INPUTS'!$A$113:$A$115</c15:sqref>
                  </c15:fullRef>
                </c:ext>
              </c:extLst>
              <c:f>'USER INPUTS'!$A$113:$A$115</c:f>
              <c:strCache>
                <c:ptCount val="3"/>
                <c:pt idx="0">
                  <c:v>share for rail</c:v>
                </c:pt>
                <c:pt idx="1">
                  <c:v>share for inland waterways</c:v>
                </c:pt>
                <c:pt idx="2">
                  <c:v>share for road freight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'USER INPUTS'!$C$113:$C$115</c15:sqref>
                  </c15:fullRef>
                </c:ext>
              </c:extLst>
              <c:f>'USER INPUTS'!$C$113:$C$115</c:f>
              <c:numCache>
                <c:formatCode>0.0</c:formatCode>
                <c:ptCount val="3"/>
                <c:pt idx="0">
                  <c:v>30</c:v>
                </c:pt>
                <c:pt idx="1">
                  <c:v>1</c:v>
                </c:pt>
                <c:pt idx="2">
                  <c:v>69</c:v>
                </c:pt>
              </c:numCache>
            </c:numRef>
          </c:val>
        </c:ser>
        <c:ser>
          <c:idx val="3"/>
          <c:order val="1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'USER INPUTS'!$A$113:$A$115</c15:sqref>
                  </c15:fullRef>
                </c:ext>
              </c:extLst>
              <c:f>'USER INPUTS'!$A$113:$A$115</c:f>
              <c:strCache>
                <c:ptCount val="3"/>
                <c:pt idx="0">
                  <c:v>share for rail</c:v>
                </c:pt>
                <c:pt idx="1">
                  <c:v>share for inland waterways</c:v>
                </c:pt>
                <c:pt idx="2">
                  <c:v>share for road freight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'USER INPUTS'!$C$103:$C$106</c15:sqref>
                  </c15:fullRef>
                </c:ext>
              </c:extLst>
              <c:f>'USER INPUTS'!$C$103:$C$105</c:f>
              <c:numCache>
                <c:formatCode>0.0</c:formatCode>
                <c:ptCount val="3"/>
                <c:pt idx="0">
                  <c:v>35</c:v>
                </c:pt>
                <c:pt idx="1">
                  <c:v>22</c:v>
                </c:pt>
                <c:pt idx="2">
                  <c:v>20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'USER INPUTS'!$C$106</c15:sqref>
                  <c15:spPr xmlns:c15="http://schemas.microsoft.com/office/drawing/2012/chart"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</c:extLst>
        </c:ser>
        <c:ser>
          <c:idx val="1"/>
          <c:order val="2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'USER INPUTS'!$A$113:$A$115</c15:sqref>
                  </c15:fullRef>
                </c:ext>
              </c:extLst>
              <c:f>'USER INPUTS'!$A$113:$A$115</c:f>
              <c:strCache>
                <c:ptCount val="3"/>
                <c:pt idx="0">
                  <c:v>share for rail</c:v>
                </c:pt>
                <c:pt idx="1">
                  <c:v>share for inland waterways</c:v>
                </c:pt>
                <c:pt idx="2">
                  <c:v>share for road freight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'USER INPUTS'!$C$113:$C$115</c15:sqref>
                  </c15:fullRef>
                </c:ext>
              </c:extLst>
              <c:f>'USER INPUTS'!$C$113:$C$115</c:f>
              <c:numCache>
                <c:formatCode>0.0</c:formatCode>
                <c:ptCount val="3"/>
                <c:pt idx="0">
                  <c:v>30</c:v>
                </c:pt>
                <c:pt idx="1">
                  <c:v>1</c:v>
                </c:pt>
                <c:pt idx="2">
                  <c:v>69</c:v>
                </c:pt>
              </c:numCache>
            </c:numRef>
          </c:val>
        </c:ser>
        <c:ser>
          <c:idx val="0"/>
          <c:order val="3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'USER INPUTS'!$A$113:$A$115</c15:sqref>
                  </c15:fullRef>
                </c:ext>
              </c:extLst>
              <c:f>'USER INPUTS'!$A$113:$A$115</c:f>
              <c:strCache>
                <c:ptCount val="3"/>
                <c:pt idx="0">
                  <c:v>share for rail</c:v>
                </c:pt>
                <c:pt idx="1">
                  <c:v>share for inland waterways</c:v>
                </c:pt>
                <c:pt idx="2">
                  <c:v>share for road freight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'USER INPUTS'!$C$103:$C$106</c15:sqref>
                  </c15:fullRef>
                </c:ext>
              </c:extLst>
              <c:f>'USER INPUTS'!$C$103:$C$105</c:f>
              <c:numCache>
                <c:formatCode>0.0</c:formatCode>
                <c:ptCount val="3"/>
                <c:pt idx="0">
                  <c:v>35</c:v>
                </c:pt>
                <c:pt idx="1">
                  <c:v>22</c:v>
                </c:pt>
                <c:pt idx="2">
                  <c:v>20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'USER INPUTS'!$C$106</c15:sqref>
                  <c15:spPr xmlns:c15="http://schemas.microsoft.com/office/drawing/2012/chart"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t-EE" sz="1200" b="0"/>
              <a:t>POLICY TARGET</a:t>
            </a:r>
            <a:endParaRPr lang="en-US" sz="1200" b="0"/>
          </a:p>
        </c:rich>
      </c:tx>
      <c:layout>
        <c:manualLayout>
          <c:xMode val="edge"/>
          <c:yMode val="edge"/>
          <c:x val="0.21787989714680994"/>
          <c:y val="4.20499400981496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'USER INPUTS'!$A$122:$A$126</c:f>
              <c:strCache>
                <c:ptCount val="5"/>
                <c:pt idx="0">
                  <c:v>Petroleum products</c:v>
                </c:pt>
                <c:pt idx="1">
                  <c:v>Liquefied Petroleum Gas (LPG)</c:v>
                </c:pt>
                <c:pt idx="2">
                  <c:v>Natural Gas (CNG)</c:v>
                </c:pt>
                <c:pt idx="3">
                  <c:v>Electricity</c:v>
                </c:pt>
                <c:pt idx="4">
                  <c:v>Diesel</c:v>
                </c:pt>
              </c:strCache>
            </c:strRef>
          </c:cat>
          <c:val>
            <c:numRef>
              <c:f>'USER INPUTS'!$C$122:$C$126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45</c:v>
                </c:pt>
                <c:pt idx="4">
                  <c:v>40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'USER INPUTS'!$A$122:$A$126</c:f>
              <c:strCache>
                <c:ptCount val="5"/>
                <c:pt idx="0">
                  <c:v>Petroleum products</c:v>
                </c:pt>
                <c:pt idx="1">
                  <c:v>Liquefied Petroleum Gas (LPG)</c:v>
                </c:pt>
                <c:pt idx="2">
                  <c:v>Natural Gas (CNG)</c:v>
                </c:pt>
                <c:pt idx="3">
                  <c:v>Electricity</c:v>
                </c:pt>
                <c:pt idx="4">
                  <c:v>Diesel</c:v>
                </c:pt>
              </c:strCache>
            </c:strRef>
          </c:cat>
          <c:val>
            <c:numRef>
              <c:f>'USER INPUTS'!$C$103:$C$106</c:f>
              <c:numCache>
                <c:formatCode>0.0</c:formatCode>
                <c:ptCount val="4"/>
                <c:pt idx="0">
                  <c:v>35</c:v>
                </c:pt>
                <c:pt idx="1">
                  <c:v>22</c:v>
                </c:pt>
                <c:pt idx="2">
                  <c:v>20</c:v>
                </c:pt>
                <c:pt idx="3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28460796481"/>
          <c:y val="0.20066540443268174"/>
          <c:w val="0.31349166397645012"/>
          <c:h val="0.7780312775327650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t-EE" sz="1200" b="0"/>
              <a:t>POLICY</a:t>
            </a:r>
            <a:r>
              <a:rPr lang="et-EE" sz="1200" b="0" baseline="0"/>
              <a:t> TARGET</a:t>
            </a:r>
            <a:endParaRPr lang="en-US" sz="1200" b="0"/>
          </a:p>
        </c:rich>
      </c:tx>
      <c:layout>
        <c:manualLayout>
          <c:xMode val="edge"/>
          <c:yMode val="edge"/>
          <c:x val="0.57414301381106125"/>
          <c:y val="0.18020891841660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5239007817882912"/>
          <c:y val="0.23892625824872663"/>
          <c:w val="0.16655311940086417"/>
          <c:h val="0.502891694719109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'USER INPUTS'!$A$133:$A$147</c:f>
              <c:strCache>
                <c:ptCount val="15"/>
                <c:pt idx="0">
                  <c:v>Liquefied Petroleum Gas LPG</c:v>
                </c:pt>
                <c:pt idx="1">
                  <c:v>Natural Gas CNG</c:v>
                </c:pt>
                <c:pt idx="2">
                  <c:v>Alternative Energy / biomethane NGV</c:v>
                </c:pt>
                <c:pt idx="3">
                  <c:v>Hybrid electric-petrol</c:v>
                </c:pt>
                <c:pt idx="4">
                  <c:v>Plug-in hybrid petrol-electric PHEV</c:v>
                </c:pt>
                <c:pt idx="5">
                  <c:v>Hybrid diesel-electric</c:v>
                </c:pt>
                <c:pt idx="6">
                  <c:v>Plug-in hybrid diesel-electric PHEV</c:v>
                </c:pt>
                <c:pt idx="7">
                  <c:v>Hydrogen and fuel cells</c:v>
                </c:pt>
                <c:pt idx="8">
                  <c:v>Bioethanol</c:v>
                </c:pt>
                <c:pt idx="9">
                  <c:v>Bio-diesel</c:v>
                </c:pt>
                <c:pt idx="10">
                  <c:v>Bi-fuel</c:v>
                </c:pt>
                <c:pt idx="11">
                  <c:v>Other (unknown)</c:v>
                </c:pt>
                <c:pt idx="12">
                  <c:v>Electricity BEV</c:v>
                </c:pt>
                <c:pt idx="13">
                  <c:v>Petrol, according to country selection</c:v>
                </c:pt>
                <c:pt idx="14">
                  <c:v>Diesel, according to country selection</c:v>
                </c:pt>
              </c:strCache>
            </c:strRef>
          </c:cat>
          <c:val>
            <c:numRef>
              <c:f>'USER INPUTS'!$C$133:$C$147</c:f>
              <c:numCache>
                <c:formatCode>0.00</c:formatCode>
                <c:ptCount val="15"/>
                <c:pt idx="0">
                  <c:v>0</c:v>
                </c:pt>
                <c:pt idx="1">
                  <c:v>0.09</c:v>
                </c:pt>
                <c:pt idx="2">
                  <c:v>0.54</c:v>
                </c:pt>
                <c:pt idx="3">
                  <c:v>1.5</c:v>
                </c:pt>
                <c:pt idx="4">
                  <c:v>0.64</c:v>
                </c:pt>
                <c:pt idx="5">
                  <c:v>0.06</c:v>
                </c:pt>
                <c:pt idx="6">
                  <c:v>0.06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0.19</c:v>
                </c:pt>
                <c:pt idx="11">
                  <c:v>0</c:v>
                </c:pt>
                <c:pt idx="12">
                  <c:v>20</c:v>
                </c:pt>
                <c:pt idx="13" formatCode="0.0">
                  <c:v>31.249775006304596</c:v>
                </c:pt>
                <c:pt idx="14" formatCode="0.0">
                  <c:v>45.670224993695406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'USER INPUTS'!$A$133:$A$147</c:f>
              <c:strCache>
                <c:ptCount val="15"/>
                <c:pt idx="0">
                  <c:v>Liquefied Petroleum Gas LPG</c:v>
                </c:pt>
                <c:pt idx="1">
                  <c:v>Natural Gas CNG</c:v>
                </c:pt>
                <c:pt idx="2">
                  <c:v>Alternative Energy / biomethane NGV</c:v>
                </c:pt>
                <c:pt idx="3">
                  <c:v>Hybrid electric-petrol</c:v>
                </c:pt>
                <c:pt idx="4">
                  <c:v>Plug-in hybrid petrol-electric PHEV</c:v>
                </c:pt>
                <c:pt idx="5">
                  <c:v>Hybrid diesel-electric</c:v>
                </c:pt>
                <c:pt idx="6">
                  <c:v>Plug-in hybrid diesel-electric PHEV</c:v>
                </c:pt>
                <c:pt idx="7">
                  <c:v>Hydrogen and fuel cells</c:v>
                </c:pt>
                <c:pt idx="8">
                  <c:v>Bioethanol</c:v>
                </c:pt>
                <c:pt idx="9">
                  <c:v>Bio-diesel</c:v>
                </c:pt>
                <c:pt idx="10">
                  <c:v>Bi-fuel</c:v>
                </c:pt>
                <c:pt idx="11">
                  <c:v>Other (unknown)</c:v>
                </c:pt>
                <c:pt idx="12">
                  <c:v>Electricity BEV</c:v>
                </c:pt>
                <c:pt idx="13">
                  <c:v>Petrol, according to country selection</c:v>
                </c:pt>
                <c:pt idx="14">
                  <c:v>Diesel, according to country selection</c:v>
                </c:pt>
              </c:strCache>
            </c:strRef>
          </c:cat>
          <c:val>
            <c:numRef>
              <c:f>'USER INPUTS'!$C$103:$C$106</c:f>
              <c:numCache>
                <c:formatCode>0.0</c:formatCode>
                <c:ptCount val="4"/>
                <c:pt idx="0">
                  <c:v>35</c:v>
                </c:pt>
                <c:pt idx="1">
                  <c:v>22</c:v>
                </c:pt>
                <c:pt idx="2">
                  <c:v>20</c:v>
                </c:pt>
                <c:pt idx="3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53094962504494"/>
          <c:y val="4.2074883844421557E-3"/>
          <c:w val="0.26033926280404485"/>
          <c:h val="0.9938657256156169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/>
              <a:t>Baseline</a:t>
            </a:r>
            <a:r>
              <a:rPr lang="et-EE" baseline="0"/>
              <a:t> scenario and the impact of policies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'USER INPUTS'!$O$273</c:f>
              <c:strCache>
                <c:ptCount val="1"/>
                <c:pt idx="0">
                  <c:v>Motor coaches, buses and trolley buses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'USER INPUTS'!$P$272:$AS$272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'USER INPUTS'!$P$273:$AS$273</c:f>
              <c:numCache>
                <c:formatCode>0.00</c:formatCode>
                <c:ptCount val="30"/>
                <c:pt idx="0">
                  <c:v>76.549372212823627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'USER INPUTS'!$O$274</c:f>
              <c:strCache>
                <c:ptCount val="1"/>
                <c:pt idx="0">
                  <c:v>Passenger cars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'USER INPUTS'!$P$272:$AS$272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'USER INPUTS'!$P$274:$AS$274</c:f>
              <c:numCache>
                <c:formatCode>0.00</c:formatCode>
                <c:ptCount val="30"/>
                <c:pt idx="0">
                  <c:v>1336.0591831187487</c:v>
                </c:pt>
                <c:pt idx="1">
                  <c:v>1361.3576081091403</c:v>
                </c:pt>
                <c:pt idx="2">
                  <c:v>1385.577635034743</c:v>
                </c:pt>
                <c:pt idx="3">
                  <c:v>1410.2285030646385</c:v>
                </c:pt>
                <c:pt idx="4">
                  <c:v>679.88741456361788</c:v>
                </c:pt>
                <c:pt idx="5">
                  <c:v>453.46146112032744</c:v>
                </c:pt>
                <c:pt idx="6">
                  <c:v>343.25869885113616</c:v>
                </c:pt>
                <c:pt idx="7">
                  <c:v>278.12360942424095</c:v>
                </c:pt>
                <c:pt idx="8">
                  <c:v>235.14172686949132</c:v>
                </c:pt>
                <c:pt idx="9">
                  <c:v>204.68235361210708</c:v>
                </c:pt>
                <c:pt idx="10">
                  <c:v>208.25797963992159</c:v>
                </c:pt>
                <c:pt idx="11">
                  <c:v>211.89568466710995</c:v>
                </c:pt>
                <c:pt idx="12">
                  <c:v>215.59653858908419</c:v>
                </c:pt>
                <c:pt idx="13">
                  <c:v>219.36162957961355</c:v>
                </c:pt>
                <c:pt idx="14">
                  <c:v>223.19206439987533</c:v>
                </c:pt>
                <c:pt idx="15">
                  <c:v>227.08896871266782</c:v>
                </c:pt>
                <c:pt idx="16">
                  <c:v>231.05348740186898</c:v>
                </c:pt>
                <c:pt idx="17">
                  <c:v>235.08678489722956</c:v>
                </c:pt>
                <c:pt idx="18">
                  <c:v>239.19004550458655</c:v>
                </c:pt>
                <c:pt idx="19">
                  <c:v>243.36446372661769</c:v>
                </c:pt>
                <c:pt idx="20">
                  <c:v>247.61127468675292</c:v>
                </c:pt>
                <c:pt idx="21">
                  <c:v>251.93172435213398</c:v>
                </c:pt>
                <c:pt idx="22">
                  <c:v>256.32707994288711</c:v>
                </c:pt>
                <c:pt idx="23">
                  <c:v>260.79863029080792</c:v>
                </c:pt>
                <c:pt idx="24">
                  <c:v>265.34768620402366</c:v>
                </c:pt>
                <c:pt idx="25">
                  <c:v>269.97558083773197</c:v>
                </c:pt>
                <c:pt idx="26">
                  <c:v>274.68367007111624</c:v>
                </c:pt>
                <c:pt idx="27">
                  <c:v>279.47333289053825</c:v>
                </c:pt>
                <c:pt idx="28">
                  <c:v>284.34597177911149</c:v>
                </c:pt>
                <c:pt idx="29">
                  <c:v>289.30301311275934</c:v>
                </c:pt>
              </c:numCache>
            </c:numRef>
          </c:val>
        </c:ser>
        <c:ser>
          <c:idx val="2"/>
          <c:order val="2"/>
          <c:tx>
            <c:strRef>
              <c:f>'USER INPUTS'!$O$275</c:f>
              <c:strCache>
                <c:ptCount val="1"/>
                <c:pt idx="0">
                  <c:v>Metro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'USER INPUTS'!$P$272:$AS$272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'USER INPUTS'!$P$275:$AS$275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3"/>
          <c:order val="3"/>
          <c:tx>
            <c:strRef>
              <c:f>'USER INPUTS'!$O$276</c:f>
              <c:strCache>
                <c:ptCount val="1"/>
                <c:pt idx="0">
                  <c:v>Tram, light train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'USER INPUTS'!$P$272:$AS$272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'USER INPUTS'!$P$276:$AS$276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4"/>
          <c:order val="4"/>
          <c:tx>
            <c:strRef>
              <c:f>'USER INPUTS'!$O$277</c:f>
              <c:strCache>
                <c:ptCount val="1"/>
                <c:pt idx="0">
                  <c:v>Passenger trains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'USER INPUTS'!$P$272:$AS$272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'USER INPUTS'!$P$277:$AS$277</c:f>
              <c:numCache>
                <c:formatCode>0.00</c:formatCode>
                <c:ptCount val="30"/>
                <c:pt idx="0">
                  <c:v>9.2101198979936127E-3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5"/>
          <c:order val="5"/>
          <c:tx>
            <c:strRef>
              <c:f>'USER INPUTS'!$O$278</c:f>
              <c:strCache>
                <c:ptCount val="1"/>
                <c:pt idx="0">
                  <c:v>Rail freight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'USER INPUTS'!$P$272:$AS$272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'USER INPUTS'!$P$278:$AS$278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6"/>
          <c:order val="6"/>
          <c:tx>
            <c:strRef>
              <c:f>'USER INPUTS'!$O$279</c:f>
              <c:strCache>
                <c:ptCount val="1"/>
                <c:pt idx="0">
                  <c:v>Road freight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'USER INPUTS'!$P$272:$AS$272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'USER INPUTS'!$P$279:$AS$279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7"/>
          <c:order val="7"/>
          <c:tx>
            <c:strRef>
              <c:f>'USER INPUTS'!$O$280</c:f>
              <c:strCache>
                <c:ptCount val="1"/>
                <c:pt idx="0">
                  <c:v>Inland waterways freight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'USER INPUTS'!$P$272:$AS$272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'USER INPUTS'!$P$280:$AS$280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06392"/>
        <c:axId val="328405216"/>
      </c:areaChart>
      <c:lineChart>
        <c:grouping val="standard"/>
        <c:varyColors val="0"/>
        <c:ser>
          <c:idx val="8"/>
          <c:order val="8"/>
          <c:tx>
            <c:strRef>
              <c:f>'USER INPUTS'!$O$281</c:f>
              <c:strCache>
                <c:ptCount val="1"/>
                <c:pt idx="0">
                  <c:v>Baseline total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'USER INPUTS'!$P$272:$AS$272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'USER INPUTS'!$P$281:$AS$281</c:f>
              <c:numCache>
                <c:formatCode>0.00</c:formatCode>
                <c:ptCount val="30"/>
                <c:pt idx="0">
                  <c:v>1.4127912121381327</c:v>
                </c:pt>
                <c:pt idx="1">
                  <c:v>1.4386141096032012</c:v>
                </c:pt>
                <c:pt idx="2">
                  <c:v>1.4631310811807898</c:v>
                </c:pt>
                <c:pt idx="3">
                  <c:v>1.488234799999876</c:v>
                </c:pt>
                <c:pt idx="4">
                  <c:v>1.5137797263217707</c:v>
                </c:pt>
                <c:pt idx="5">
                  <c:v>1.539713575473471</c:v>
                </c:pt>
                <c:pt idx="6">
                  <c:v>1.5671304498993999</c:v>
                </c:pt>
                <c:pt idx="7">
                  <c:v>1.5940837232919742</c:v>
                </c:pt>
                <c:pt idx="8">
                  <c:v>1.6218376907676095</c:v>
                </c:pt>
                <c:pt idx="9">
                  <c:v>1.6500053171292597</c:v>
                </c:pt>
                <c:pt idx="10">
                  <c:v>1.6717599631585134</c:v>
                </c:pt>
                <c:pt idx="11">
                  <c:v>1.6943002449639453</c:v>
                </c:pt>
                <c:pt idx="12">
                  <c:v>1.7169906230752534</c:v>
                </c:pt>
                <c:pt idx="13">
                  <c:v>1.7399951384759089</c:v>
                </c:pt>
                <c:pt idx="14">
                  <c:v>1.7629142333027559</c:v>
                </c:pt>
                <c:pt idx="15">
                  <c:v>1.7866398250799063</c:v>
                </c:pt>
                <c:pt idx="16">
                  <c:v>1.8108550228777158</c:v>
                </c:pt>
                <c:pt idx="17">
                  <c:v>1.8349976916868975</c:v>
                </c:pt>
                <c:pt idx="18">
                  <c:v>1.8591512846826639</c:v>
                </c:pt>
                <c:pt idx="19">
                  <c:v>1.8835654257279857</c:v>
                </c:pt>
                <c:pt idx="20">
                  <c:v>1.9083268990115856</c:v>
                </c:pt>
                <c:pt idx="21">
                  <c:v>1.9334405164209156</c:v>
                </c:pt>
                <c:pt idx="22">
                  <c:v>1.9589111570853017</c:v>
                </c:pt>
                <c:pt idx="23">
                  <c:v>1.9847437683129039</c:v>
                </c:pt>
                <c:pt idx="24">
                  <c:v>2.0109433665407384</c:v>
                </c:pt>
                <c:pt idx="25">
                  <c:v>2.0375150382979377</c:v>
                </c:pt>
                <c:pt idx="26">
                  <c:v>2.0644639411824497</c:v>
                </c:pt>
                <c:pt idx="27">
                  <c:v>2.0917953048513485</c:v>
                </c:pt>
                <c:pt idx="28">
                  <c:v>2.1195144320249537</c:v>
                </c:pt>
                <c:pt idx="29">
                  <c:v>2.1476266995049462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406392"/>
        <c:axId val="328405216"/>
      </c:lineChart>
      <c:catAx>
        <c:axId val="32840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85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05216"/>
        <c:crosses val="autoZero"/>
        <c:auto val="1"/>
        <c:lblAlgn val="ctr"/>
        <c:lblOffset val="100"/>
        <c:noMultiLvlLbl val="0"/>
      </c:catAx>
      <c:valAx>
        <c:axId val="3284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0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39731857842093E-2"/>
          <c:y val="0.91696994080119543"/>
          <c:w val="0.97393894061646846"/>
          <c:h val="6.8431519052819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>
        <a:lumMod val="95000"/>
      </a:schemeClr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35870516185477"/>
          <c:y val="2.5428331875182269E-2"/>
          <c:w val="0.84306714785651793"/>
          <c:h val="0.73577136191309422"/>
        </c:manualLayout>
      </c:layout>
      <c:areaChart>
        <c:grouping val="standard"/>
        <c:varyColors val="0"/>
        <c:ser>
          <c:idx val="3"/>
          <c:order val="3"/>
          <c:tx>
            <c:strRef>
              <c:f>'USER INPUTS'!$O$67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val>
            <c:numRef>
              <c:f>'USER INPUTS'!$P$67:$AS$67</c:f>
              <c:numCache>
                <c:formatCode>0</c:formatCode>
                <c:ptCount val="30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15000</c:v>
                </c:pt>
                <c:pt idx="4">
                  <c:v>31666.666666666668</c:v>
                </c:pt>
                <c:pt idx="5">
                  <c:v>48333.333333333336</c:v>
                </c:pt>
                <c:pt idx="6">
                  <c:v>65000</c:v>
                </c:pt>
                <c:pt idx="7">
                  <c:v>81666.666666666672</c:v>
                </c:pt>
                <c:pt idx="8">
                  <c:v>98333.333333333343</c:v>
                </c:pt>
                <c:pt idx="9">
                  <c:v>115000.00000000001</c:v>
                </c:pt>
                <c:pt idx="10">
                  <c:v>115060.00000000001</c:v>
                </c:pt>
                <c:pt idx="11">
                  <c:v>115120.24000000002</c:v>
                </c:pt>
                <c:pt idx="12">
                  <c:v>115180.72096000002</c:v>
                </c:pt>
                <c:pt idx="13">
                  <c:v>115241.44384384001</c:v>
                </c:pt>
                <c:pt idx="14">
                  <c:v>115302.40961921538</c:v>
                </c:pt>
                <c:pt idx="15">
                  <c:v>115363.61925769223</c:v>
                </c:pt>
                <c:pt idx="16">
                  <c:v>115425.073734723</c:v>
                </c:pt>
                <c:pt idx="17">
                  <c:v>115486.7740296619</c:v>
                </c:pt>
                <c:pt idx="18">
                  <c:v>115548.72112578055</c:v>
                </c:pt>
                <c:pt idx="19">
                  <c:v>115610.91601028366</c:v>
                </c:pt>
                <c:pt idx="20">
                  <c:v>115673.35967432481</c:v>
                </c:pt>
                <c:pt idx="21">
                  <c:v>115736.05311302211</c:v>
                </c:pt>
                <c:pt idx="22">
                  <c:v>115798.99732547419</c:v>
                </c:pt>
                <c:pt idx="23">
                  <c:v>115862.19331477609</c:v>
                </c:pt>
                <c:pt idx="24">
                  <c:v>115925.64208803519</c:v>
                </c:pt>
                <c:pt idx="25">
                  <c:v>115989.34465638733</c:v>
                </c:pt>
                <c:pt idx="26">
                  <c:v>116053.30203501288</c:v>
                </c:pt>
                <c:pt idx="27">
                  <c:v>116117.51524315293</c:v>
                </c:pt>
                <c:pt idx="28">
                  <c:v>116181.98530412554</c:v>
                </c:pt>
                <c:pt idx="29">
                  <c:v>116246.71324534205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72032"/>
        <c:axId val="418775168"/>
      </c:areaChart>
      <c:lineChart>
        <c:grouping val="standard"/>
        <c:varyColors val="0"/>
        <c:ser>
          <c:idx val="1"/>
          <c:order val="1"/>
          <c:tx>
            <c:strRef>
              <c:f>'USER INPUTS'!$O$65</c:f>
              <c:strCache>
                <c:ptCount val="1"/>
                <c:pt idx="0">
                  <c:v>Residents / baseline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'USER INPUTS'!$P$64:$AS$64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'USER INPUTS'!$P$65:$AS$65</c:f>
              <c:numCache>
                <c:formatCode>0</c:formatCode>
                <c:ptCount val="30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15000</c:v>
                </c:pt>
                <c:pt idx="4">
                  <c:v>15000</c:v>
                </c:pt>
                <c:pt idx="5">
                  <c:v>15000</c:v>
                </c:pt>
                <c:pt idx="6">
                  <c:v>15000</c:v>
                </c:pt>
                <c:pt idx="7">
                  <c:v>15000</c:v>
                </c:pt>
                <c:pt idx="8">
                  <c:v>15000</c:v>
                </c:pt>
                <c:pt idx="9">
                  <c:v>15000</c:v>
                </c:pt>
                <c:pt idx="10">
                  <c:v>15060</c:v>
                </c:pt>
                <c:pt idx="11">
                  <c:v>15120.24</c:v>
                </c:pt>
                <c:pt idx="12">
                  <c:v>15180.720960000001</c:v>
                </c:pt>
                <c:pt idx="13">
                  <c:v>15241.443843840001</c:v>
                </c:pt>
                <c:pt idx="14">
                  <c:v>15302.409619215361</c:v>
                </c:pt>
                <c:pt idx="15">
                  <c:v>15363.619257692222</c:v>
                </c:pt>
                <c:pt idx="16">
                  <c:v>15425.073734722992</c:v>
                </c:pt>
                <c:pt idx="17">
                  <c:v>15486.774029661883</c:v>
                </c:pt>
                <c:pt idx="18">
                  <c:v>15548.72112578053</c:v>
                </c:pt>
                <c:pt idx="19">
                  <c:v>15610.916010283652</c:v>
                </c:pt>
                <c:pt idx="20">
                  <c:v>15673.359674324787</c:v>
                </c:pt>
                <c:pt idx="21">
                  <c:v>15736.053113022086</c:v>
                </c:pt>
                <c:pt idx="22">
                  <c:v>15798.997325474174</c:v>
                </c:pt>
                <c:pt idx="23">
                  <c:v>15862.193314776072</c:v>
                </c:pt>
                <c:pt idx="24">
                  <c:v>15925.642088035176</c:v>
                </c:pt>
                <c:pt idx="25">
                  <c:v>15989.344656387317</c:v>
                </c:pt>
                <c:pt idx="26">
                  <c:v>16053.302035012866</c:v>
                </c:pt>
                <c:pt idx="27">
                  <c:v>16117.515243152919</c:v>
                </c:pt>
                <c:pt idx="28">
                  <c:v>16181.98530412553</c:v>
                </c:pt>
                <c:pt idx="29">
                  <c:v>16246.713245342033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772032"/>
        <c:axId val="418775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'USER INPUTS'!$P$64:$AS$64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2021</c:v>
                      </c:pt>
                      <c:pt idx="1">
                        <c:v>2022</c:v>
                      </c:pt>
                      <c:pt idx="2">
                        <c:v>2023</c:v>
                      </c:pt>
                      <c:pt idx="3">
                        <c:v>2024</c:v>
                      </c:pt>
                      <c:pt idx="4">
                        <c:v>2025</c:v>
                      </c:pt>
                      <c:pt idx="5">
                        <c:v>2026</c:v>
                      </c:pt>
                      <c:pt idx="6">
                        <c:v>2027</c:v>
                      </c:pt>
                      <c:pt idx="7">
                        <c:v>2028</c:v>
                      </c:pt>
                      <c:pt idx="8">
                        <c:v>2029</c:v>
                      </c:pt>
                      <c:pt idx="9">
                        <c:v>2030</c:v>
                      </c:pt>
                      <c:pt idx="10">
                        <c:v>2031</c:v>
                      </c:pt>
                      <c:pt idx="11">
                        <c:v>2032</c:v>
                      </c:pt>
                      <c:pt idx="12">
                        <c:v>2033</c:v>
                      </c:pt>
                      <c:pt idx="13">
                        <c:v>2034</c:v>
                      </c:pt>
                      <c:pt idx="14">
                        <c:v>2035</c:v>
                      </c:pt>
                      <c:pt idx="15">
                        <c:v>2036</c:v>
                      </c:pt>
                      <c:pt idx="16">
                        <c:v>2037</c:v>
                      </c:pt>
                      <c:pt idx="17">
                        <c:v>2038</c:v>
                      </c:pt>
                      <c:pt idx="18">
                        <c:v>2039</c:v>
                      </c:pt>
                      <c:pt idx="19">
                        <c:v>2040</c:v>
                      </c:pt>
                      <c:pt idx="20">
                        <c:v>2041</c:v>
                      </c:pt>
                      <c:pt idx="21">
                        <c:v>2042</c:v>
                      </c:pt>
                      <c:pt idx="22">
                        <c:v>2043</c:v>
                      </c:pt>
                      <c:pt idx="23">
                        <c:v>2044</c:v>
                      </c:pt>
                      <c:pt idx="24">
                        <c:v>2045</c:v>
                      </c:pt>
                      <c:pt idx="25">
                        <c:v>2046</c:v>
                      </c:pt>
                      <c:pt idx="26">
                        <c:v>2047</c:v>
                      </c:pt>
                      <c:pt idx="27">
                        <c:v>2048</c:v>
                      </c:pt>
                      <c:pt idx="28">
                        <c:v>2049</c:v>
                      </c:pt>
                      <c:pt idx="29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'USER INPUTS'!$P$64:$AS$64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2021</c:v>
                      </c:pt>
                      <c:pt idx="1">
                        <c:v>2022</c:v>
                      </c:pt>
                      <c:pt idx="2">
                        <c:v>2023</c:v>
                      </c:pt>
                      <c:pt idx="3">
                        <c:v>2024</c:v>
                      </c:pt>
                      <c:pt idx="4">
                        <c:v>2025</c:v>
                      </c:pt>
                      <c:pt idx="5">
                        <c:v>2026</c:v>
                      </c:pt>
                      <c:pt idx="6">
                        <c:v>2027</c:v>
                      </c:pt>
                      <c:pt idx="7">
                        <c:v>2028</c:v>
                      </c:pt>
                      <c:pt idx="8">
                        <c:v>2029</c:v>
                      </c:pt>
                      <c:pt idx="9">
                        <c:v>2030</c:v>
                      </c:pt>
                      <c:pt idx="10">
                        <c:v>2031</c:v>
                      </c:pt>
                      <c:pt idx="11">
                        <c:v>2032</c:v>
                      </c:pt>
                      <c:pt idx="12">
                        <c:v>2033</c:v>
                      </c:pt>
                      <c:pt idx="13">
                        <c:v>2034</c:v>
                      </c:pt>
                      <c:pt idx="14">
                        <c:v>2035</c:v>
                      </c:pt>
                      <c:pt idx="15">
                        <c:v>2036</c:v>
                      </c:pt>
                      <c:pt idx="16">
                        <c:v>2037</c:v>
                      </c:pt>
                      <c:pt idx="17">
                        <c:v>2038</c:v>
                      </c:pt>
                      <c:pt idx="18">
                        <c:v>2039</c:v>
                      </c:pt>
                      <c:pt idx="19">
                        <c:v>2040</c:v>
                      </c:pt>
                      <c:pt idx="20">
                        <c:v>2041</c:v>
                      </c:pt>
                      <c:pt idx="21">
                        <c:v>2042</c:v>
                      </c:pt>
                      <c:pt idx="22">
                        <c:v>2043</c:v>
                      </c:pt>
                      <c:pt idx="23">
                        <c:v>2044</c:v>
                      </c:pt>
                      <c:pt idx="24">
                        <c:v>2045</c:v>
                      </c:pt>
                      <c:pt idx="25">
                        <c:v>2046</c:v>
                      </c:pt>
                      <c:pt idx="26">
                        <c:v>2047</c:v>
                      </c:pt>
                      <c:pt idx="27">
                        <c:v>2048</c:v>
                      </c:pt>
                      <c:pt idx="28">
                        <c:v>2049</c:v>
                      </c:pt>
                      <c:pt idx="29">
                        <c:v>2050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'USER INPUTS'!$P$64:$AS$64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2021</c:v>
                      </c:pt>
                      <c:pt idx="1">
                        <c:v>2022</c:v>
                      </c:pt>
                      <c:pt idx="2">
                        <c:v>2023</c:v>
                      </c:pt>
                      <c:pt idx="3">
                        <c:v>2024</c:v>
                      </c:pt>
                      <c:pt idx="4">
                        <c:v>2025</c:v>
                      </c:pt>
                      <c:pt idx="5">
                        <c:v>2026</c:v>
                      </c:pt>
                      <c:pt idx="6">
                        <c:v>2027</c:v>
                      </c:pt>
                      <c:pt idx="7">
                        <c:v>2028</c:v>
                      </c:pt>
                      <c:pt idx="8">
                        <c:v>2029</c:v>
                      </c:pt>
                      <c:pt idx="9">
                        <c:v>2030</c:v>
                      </c:pt>
                      <c:pt idx="10">
                        <c:v>2031</c:v>
                      </c:pt>
                      <c:pt idx="11">
                        <c:v>2032</c:v>
                      </c:pt>
                      <c:pt idx="12">
                        <c:v>2033</c:v>
                      </c:pt>
                      <c:pt idx="13">
                        <c:v>2034</c:v>
                      </c:pt>
                      <c:pt idx="14">
                        <c:v>2035</c:v>
                      </c:pt>
                      <c:pt idx="15">
                        <c:v>2036</c:v>
                      </c:pt>
                      <c:pt idx="16">
                        <c:v>2037</c:v>
                      </c:pt>
                      <c:pt idx="17">
                        <c:v>2038</c:v>
                      </c:pt>
                      <c:pt idx="18">
                        <c:v>2039</c:v>
                      </c:pt>
                      <c:pt idx="19">
                        <c:v>2040</c:v>
                      </c:pt>
                      <c:pt idx="20">
                        <c:v>2041</c:v>
                      </c:pt>
                      <c:pt idx="21">
                        <c:v>2042</c:v>
                      </c:pt>
                      <c:pt idx="22">
                        <c:v>2043</c:v>
                      </c:pt>
                      <c:pt idx="23">
                        <c:v>2044</c:v>
                      </c:pt>
                      <c:pt idx="24">
                        <c:v>2045</c:v>
                      </c:pt>
                      <c:pt idx="25">
                        <c:v>2046</c:v>
                      </c:pt>
                      <c:pt idx="26">
                        <c:v>2047</c:v>
                      </c:pt>
                      <c:pt idx="27">
                        <c:v>2048</c:v>
                      </c:pt>
                      <c:pt idx="28">
                        <c:v>2049</c:v>
                      </c:pt>
                      <c:pt idx="29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'USER INPUTS'!$P$66:$AS$66</c15:sqref>
                        </c15:formulaRef>
                      </c:ext>
                    </c:extLst>
                    <c:numCache>
                      <c:formatCode>0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16666.666666666668</c:v>
                      </c:pt>
                      <c:pt idx="5">
                        <c:v>33333.333333333336</c:v>
                      </c:pt>
                      <c:pt idx="6">
                        <c:v>50000</c:v>
                      </c:pt>
                      <c:pt idx="7">
                        <c:v>66666.666666666672</c:v>
                      </c:pt>
                      <c:pt idx="8">
                        <c:v>83333.333333333343</c:v>
                      </c:pt>
                      <c:pt idx="9">
                        <c:v>100000.00000000001</c:v>
                      </c:pt>
                      <c:pt idx="10">
                        <c:v>100000.00000000001</c:v>
                      </c:pt>
                      <c:pt idx="11">
                        <c:v>100000.00000000001</c:v>
                      </c:pt>
                      <c:pt idx="12">
                        <c:v>100000.00000000001</c:v>
                      </c:pt>
                      <c:pt idx="13">
                        <c:v>100000.00000000001</c:v>
                      </c:pt>
                      <c:pt idx="14">
                        <c:v>100000.00000000001</c:v>
                      </c:pt>
                      <c:pt idx="15">
                        <c:v>100000.00000000001</c:v>
                      </c:pt>
                      <c:pt idx="16">
                        <c:v>100000.00000000001</c:v>
                      </c:pt>
                      <c:pt idx="17">
                        <c:v>100000.00000000001</c:v>
                      </c:pt>
                      <c:pt idx="18">
                        <c:v>100000.00000000001</c:v>
                      </c:pt>
                      <c:pt idx="19">
                        <c:v>100000.00000000001</c:v>
                      </c:pt>
                      <c:pt idx="20">
                        <c:v>100000.00000000001</c:v>
                      </c:pt>
                      <c:pt idx="21">
                        <c:v>100000.00000000001</c:v>
                      </c:pt>
                      <c:pt idx="22">
                        <c:v>100000.00000000001</c:v>
                      </c:pt>
                      <c:pt idx="23">
                        <c:v>100000.00000000001</c:v>
                      </c:pt>
                      <c:pt idx="24">
                        <c:v>100000.00000000001</c:v>
                      </c:pt>
                      <c:pt idx="25">
                        <c:v>100000.00000000001</c:v>
                      </c:pt>
                      <c:pt idx="26">
                        <c:v>100000.00000000001</c:v>
                      </c:pt>
                      <c:pt idx="27">
                        <c:v>100000.00000000001</c:v>
                      </c:pt>
                      <c:pt idx="28">
                        <c:v>100000.00000000001</c:v>
                      </c:pt>
                      <c:pt idx="29">
                        <c:v>100000.00000000001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8772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75168"/>
        <c:crosses val="autoZero"/>
        <c:auto val="1"/>
        <c:lblAlgn val="ctr"/>
        <c:lblOffset val="100"/>
        <c:noMultiLvlLbl val="0"/>
      </c:catAx>
      <c:valAx>
        <c:axId val="418775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7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t-EE" sz="1200" b="0"/>
              <a:t>WITHOUT POLICY</a:t>
            </a:r>
            <a:endParaRPr lang="en-US" sz="1200" b="0"/>
          </a:p>
        </c:rich>
      </c:tx>
      <c:layout>
        <c:manualLayout>
          <c:xMode val="edge"/>
          <c:yMode val="edge"/>
          <c:x val="0.3301125524661051"/>
          <c:y val="3.5423402156177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'USER INPUTS'!$B$113:$B$115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Drop" dropStyle="combo" dx="25" fmlaLink="$B$4" fmlaRange="$A$189:$A$220" sel="15" val="10"/>
</file>

<file path=xl/ctrlProps/ctrlProp10.xml><?xml version="1.0" encoding="utf-8"?>
<formControlPr xmlns="http://schemas.microsoft.com/office/spreadsheetml/2009/9/main" objectType="Drop" dropLines="49" dropStyle="combo" dx="25" fmlaLink="$C$94" fmlaRange="$B$189:$B$218" sel="5" val="0"/>
</file>

<file path=xl/ctrlProps/ctrlProp11.xml><?xml version="1.0" encoding="utf-8"?>
<formControlPr xmlns="http://schemas.microsoft.com/office/spreadsheetml/2009/9/main" objectType="Drop" dropLines="49" dropStyle="combo" dx="25" fmlaLink="$B$99" fmlaRange="$B$189:$B$218" sel="10" val="0"/>
</file>

<file path=xl/ctrlProps/ctrlProp12.xml><?xml version="1.0" encoding="utf-8"?>
<formControlPr xmlns="http://schemas.microsoft.com/office/spreadsheetml/2009/9/main" objectType="Drop" dropLines="49" dropStyle="combo" dx="25" fmlaLink="$C$99" fmlaRange="$B$189:$B$218" sel="12" val="0"/>
</file>

<file path=xl/ctrlProps/ctrlProp13.xml><?xml version="1.0" encoding="utf-8"?>
<formControlPr xmlns="http://schemas.microsoft.com/office/spreadsheetml/2009/9/main" objectType="Drop" dropLines="49" dropStyle="combo" dx="25" fmlaLink="$B$109" fmlaRange="$B$189:$B$218" sel="5" val="0"/>
</file>

<file path=xl/ctrlProps/ctrlProp14.xml><?xml version="1.0" encoding="utf-8"?>
<formControlPr xmlns="http://schemas.microsoft.com/office/spreadsheetml/2009/9/main" objectType="Drop" dropLines="49" dropStyle="combo" dx="25" fmlaLink="$C$109" fmlaRange="$B$189:$B$218" sel="5" val="0"/>
</file>

<file path=xl/ctrlProps/ctrlProp15.xml><?xml version="1.0" encoding="utf-8"?>
<formControlPr xmlns="http://schemas.microsoft.com/office/spreadsheetml/2009/9/main" objectType="Drop" dropLines="49" dropStyle="combo" dx="25" fmlaLink="$B$129" fmlaRange="$B$189:$B$218" sel="5" val="0"/>
</file>

<file path=xl/ctrlProps/ctrlProp16.xml><?xml version="1.0" encoding="utf-8"?>
<formControlPr xmlns="http://schemas.microsoft.com/office/spreadsheetml/2009/9/main" objectType="Drop" dropLines="49" dropStyle="combo" dx="25" fmlaLink="$C$129" fmlaRange="$B$189:$B$218" sel="5" val="0"/>
</file>

<file path=xl/ctrlProps/ctrlProp17.xml><?xml version="1.0" encoding="utf-8"?>
<formControlPr xmlns="http://schemas.microsoft.com/office/spreadsheetml/2009/9/main" objectType="Drop" dropLines="49" dropStyle="combo" dx="25" fmlaLink="$B$150" fmlaRange="$B$189:$B$218" sel="5" val="0"/>
</file>

<file path=xl/ctrlProps/ctrlProp18.xml><?xml version="1.0" encoding="utf-8"?>
<formControlPr xmlns="http://schemas.microsoft.com/office/spreadsheetml/2009/9/main" objectType="Drop" dropLines="49" dropStyle="combo" dx="25" fmlaLink="$C$150" fmlaRange="$B$189:$B$218" sel="5" val="0"/>
</file>

<file path=xl/ctrlProps/ctrlProp19.xml><?xml version="1.0" encoding="utf-8"?>
<formControlPr xmlns="http://schemas.microsoft.com/office/spreadsheetml/2009/9/main" objectType="Drop" dropLines="49" dropStyle="combo" dx="25" fmlaLink="$B$118" fmlaRange="$B$189:$B$218" sel="5" val="0"/>
</file>

<file path=xl/ctrlProps/ctrlProp2.xml><?xml version="1.0" encoding="utf-8"?>
<formControlPr xmlns="http://schemas.microsoft.com/office/spreadsheetml/2009/9/main" objectType="Drop" dropStyle="combo" dx="25" fmlaLink="$B$2" fmlaRange="$B$189:$B$198" sel="1" val="2"/>
</file>

<file path=xl/ctrlProps/ctrlProp20.xml><?xml version="1.0" encoding="utf-8"?>
<formControlPr xmlns="http://schemas.microsoft.com/office/spreadsheetml/2009/9/main" objectType="Drop" dropLines="49" dropStyle="combo" dx="25" fmlaLink="$C$118" fmlaRange="$B$189:$B$218" sel="10" val="0"/>
</file>

<file path=xl/ctrlProps/ctrlProp21.xml><?xml version="1.0" encoding="utf-8"?>
<formControlPr xmlns="http://schemas.microsoft.com/office/spreadsheetml/2009/9/main" objectType="Drop" dropLines="49" dropStyle="combo" dx="25" fmlaLink="$B$156" fmlaRange="$B$189:$B$218" sel="15" val="0"/>
</file>

<file path=xl/ctrlProps/ctrlProp22.xml><?xml version="1.0" encoding="utf-8"?>
<formControlPr xmlns="http://schemas.microsoft.com/office/spreadsheetml/2009/9/main" objectType="Drop" dropLines="49" dropStyle="combo" dx="25" fmlaLink="$C$156" fmlaRange="$B$189:$B$218" sel="15" val="0"/>
</file>

<file path=xl/ctrlProps/ctrlProp23.xml><?xml version="1.0" encoding="utf-8"?>
<formControlPr xmlns="http://schemas.microsoft.com/office/spreadsheetml/2009/9/main" objectType="Drop" dropLines="49" dropStyle="combo" dx="25" fmlaLink="$B$129" fmlaRange="$B$189:$B$218" sel="5" val="0"/>
</file>

<file path=xl/ctrlProps/ctrlProp3.xml><?xml version="1.0" encoding="utf-8"?>
<formControlPr xmlns="http://schemas.microsoft.com/office/spreadsheetml/2009/9/main" objectType="Drop" dropLines="49" dropStyle="combo" dx="25" fmlaLink="$B$78" fmlaRange="$B$189:$B$218" sel="5" val="0"/>
</file>

<file path=xl/ctrlProps/ctrlProp4.xml><?xml version="1.0" encoding="utf-8"?>
<formControlPr xmlns="http://schemas.microsoft.com/office/spreadsheetml/2009/9/main" objectType="Drop" dropLines="49" dropStyle="combo" dx="25" fmlaLink="$C$78" fmlaRange="$B$189:$B$218" sel="10" val="0"/>
</file>

<file path=xl/ctrlProps/ctrlProp5.xml><?xml version="1.0" encoding="utf-8"?>
<formControlPr xmlns="http://schemas.microsoft.com/office/spreadsheetml/2009/9/main" objectType="Drop" dropLines="3" dropStyle="combo" dx="25" fmlaLink="B19" fmlaRange="$C$204:$C$206" sel="2" val="0"/>
</file>

<file path=xl/ctrlProps/ctrlProp6.xml><?xml version="1.0" encoding="utf-8"?>
<formControlPr xmlns="http://schemas.microsoft.com/office/spreadsheetml/2009/9/main" objectType="Drop" dropLines="5" dropStyle="combo" dx="25" fmlaLink="B20" fmlaRange="$C$209:$C$213" sel="3" val="0"/>
</file>

<file path=xl/ctrlProps/ctrlProp7.xml><?xml version="1.0" encoding="utf-8"?>
<formControlPr xmlns="http://schemas.microsoft.com/office/spreadsheetml/2009/9/main" objectType="Drop" dropLines="5" dropStyle="combo" dx="25" fmlaLink="B21" fmlaRange="$C$215:$C$219" sel="3" val="0"/>
</file>

<file path=xl/ctrlProps/ctrlProp8.xml><?xml version="1.0" encoding="utf-8"?>
<formControlPr xmlns="http://schemas.microsoft.com/office/spreadsheetml/2009/9/main" objectType="Drop" dropLines="5" dropStyle="combo" dx="25" fmlaLink="B22" fmlaRange="$C$221:$C$225" sel="2" val="0"/>
</file>

<file path=xl/ctrlProps/ctrlProp9.xml><?xml version="1.0" encoding="utf-8"?>
<formControlPr xmlns="http://schemas.microsoft.com/office/spreadsheetml/2009/9/main" objectType="Drop" dropLines="49" dropStyle="combo" dx="25" fmlaLink="$B$94" fmlaRange="$B$189:$B$218" sel="5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630151</xdr:colOff>
      <xdr:row>7</xdr:row>
      <xdr:rowOff>220963</xdr:rowOff>
    </xdr:from>
    <xdr:to>
      <xdr:col>0</xdr:col>
      <xdr:colOff>2551592</xdr:colOff>
      <xdr:row>12</xdr:row>
      <xdr:rowOff>203955</xdr:rowOff>
    </xdr:to>
    <xdr:graphicFrame macro="">
      <xdr:nvGraphicFramePr>
        <xdr:cNvPr id="6" name="Kaavi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2838450</xdr:colOff>
          <xdr:row>3</xdr:row>
          <xdr:rowOff>0</xdr:rowOff>
        </xdr:from>
        <xdr:to>
          <xdr:col>2</xdr:col>
          <xdr:colOff>0</xdr:colOff>
          <xdr:row>3</xdr:row>
          <xdr:rowOff>219075</xdr:rowOff>
        </xdr:to>
        <xdr:sp macro="" textlink="">
          <xdr:nvSpPr>
            <xdr:cNvPr id="7184" name="Drop Down 16" hidden="1">
              <a:extLst>
                <a:ext uri="{63B3BB69-23CF-44E3-9099-C40C66FF867C}">
                  <a14:compatExt spid="_x0000_s7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475810</xdr:colOff>
      <xdr:row>27</xdr:row>
      <xdr:rowOff>187855</xdr:rowOff>
    </xdr:from>
    <xdr:to>
      <xdr:col>6</xdr:col>
      <xdr:colOff>38365</xdr:colOff>
      <xdr:row>47</xdr:row>
      <xdr:rowOff>124354</xdr:rowOff>
    </xdr:to>
    <xdr:graphicFrame macro="">
      <xdr:nvGraphicFramePr>
        <xdr:cNvPr id="4" name="Kaavi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2</xdr:col>
          <xdr:colOff>0</xdr:colOff>
          <xdr:row>1</xdr:row>
          <xdr:rowOff>219075</xdr:rowOff>
        </xdr:to>
        <xdr:sp macro="" textlink="">
          <xdr:nvSpPr>
            <xdr:cNvPr id="7190" name="Drop Down 22" hidden="1">
              <a:extLst>
                <a:ext uri="{63B3BB69-23CF-44E3-9099-C40C66FF867C}">
                  <a14:compatExt spid="_x0000_s7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77</xdr:row>
          <xdr:rowOff>0</xdr:rowOff>
        </xdr:from>
        <xdr:to>
          <xdr:col>2</xdr:col>
          <xdr:colOff>0</xdr:colOff>
          <xdr:row>78</xdr:row>
          <xdr:rowOff>47625</xdr:rowOff>
        </xdr:to>
        <xdr:sp macro="" textlink="">
          <xdr:nvSpPr>
            <xdr:cNvPr id="7192" name="Drop Down 24" hidden="1">
              <a:extLst>
                <a:ext uri="{63B3BB69-23CF-44E3-9099-C40C66FF867C}">
                  <a14:compatExt spid="_x0000_s7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77</xdr:row>
          <xdr:rowOff>0</xdr:rowOff>
        </xdr:from>
        <xdr:to>
          <xdr:col>3</xdr:col>
          <xdr:colOff>0</xdr:colOff>
          <xdr:row>78</xdr:row>
          <xdr:rowOff>47625</xdr:rowOff>
        </xdr:to>
        <xdr:sp macro="" textlink="">
          <xdr:nvSpPr>
            <xdr:cNvPr id="7193" name="Drop Down 25" hidden="1">
              <a:extLst>
                <a:ext uri="{63B3BB69-23CF-44E3-9099-C40C66FF867C}">
                  <a14:compatExt spid="_x0000_s7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9525</xdr:rowOff>
        </xdr:from>
        <xdr:to>
          <xdr:col>2</xdr:col>
          <xdr:colOff>0</xdr:colOff>
          <xdr:row>19</xdr:row>
          <xdr:rowOff>0</xdr:rowOff>
        </xdr:to>
        <xdr:sp macro="" textlink="">
          <xdr:nvSpPr>
            <xdr:cNvPr id="7195" name="Drop Down 27" hidden="1">
              <a:extLst>
                <a:ext uri="{63B3BB69-23CF-44E3-9099-C40C66FF867C}">
                  <a14:compatExt spid="_x0000_s7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9525</xdr:rowOff>
        </xdr:from>
        <xdr:to>
          <xdr:col>2</xdr:col>
          <xdr:colOff>0</xdr:colOff>
          <xdr:row>20</xdr:row>
          <xdr:rowOff>0</xdr:rowOff>
        </xdr:to>
        <xdr:sp macro="" textlink="">
          <xdr:nvSpPr>
            <xdr:cNvPr id="7196" name="Drop Down 28" hidden="1">
              <a:extLst>
                <a:ext uri="{63B3BB69-23CF-44E3-9099-C40C66FF867C}">
                  <a14:compatExt spid="_x0000_s7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9525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7197" name="Drop Down 29" hidden="1">
              <a:extLst>
                <a:ext uri="{63B3BB69-23CF-44E3-9099-C40C66FF867C}">
                  <a14:compatExt spid="_x0000_s7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21</xdr:row>
          <xdr:rowOff>9525</xdr:rowOff>
        </xdr:from>
        <xdr:to>
          <xdr:col>2</xdr:col>
          <xdr:colOff>0</xdr:colOff>
          <xdr:row>22</xdr:row>
          <xdr:rowOff>0</xdr:rowOff>
        </xdr:to>
        <xdr:sp macro="" textlink="">
          <xdr:nvSpPr>
            <xdr:cNvPr id="7198" name="Drop Down 30" hidden="1">
              <a:extLst>
                <a:ext uri="{63B3BB69-23CF-44E3-9099-C40C66FF867C}">
                  <a14:compatExt spid="_x0000_s7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93</xdr:row>
          <xdr:rowOff>0</xdr:rowOff>
        </xdr:from>
        <xdr:to>
          <xdr:col>2</xdr:col>
          <xdr:colOff>0</xdr:colOff>
          <xdr:row>94</xdr:row>
          <xdr:rowOff>47625</xdr:rowOff>
        </xdr:to>
        <xdr:sp macro="" textlink="">
          <xdr:nvSpPr>
            <xdr:cNvPr id="7205" name="Drop Down 37" hidden="1">
              <a:extLst>
                <a:ext uri="{63B3BB69-23CF-44E3-9099-C40C66FF867C}">
                  <a14:compatExt spid="_x0000_s7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93</xdr:row>
          <xdr:rowOff>0</xdr:rowOff>
        </xdr:from>
        <xdr:to>
          <xdr:col>3</xdr:col>
          <xdr:colOff>0</xdr:colOff>
          <xdr:row>94</xdr:row>
          <xdr:rowOff>47625</xdr:rowOff>
        </xdr:to>
        <xdr:sp macro="" textlink="">
          <xdr:nvSpPr>
            <xdr:cNvPr id="7206" name="Drop Down 38" hidden="1">
              <a:extLst>
                <a:ext uri="{63B3BB69-23CF-44E3-9099-C40C66FF867C}">
                  <a14:compatExt spid="_x0000_s7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98</xdr:row>
          <xdr:rowOff>0</xdr:rowOff>
        </xdr:from>
        <xdr:to>
          <xdr:col>2</xdr:col>
          <xdr:colOff>0</xdr:colOff>
          <xdr:row>99</xdr:row>
          <xdr:rowOff>47625</xdr:rowOff>
        </xdr:to>
        <xdr:sp macro="" textlink="">
          <xdr:nvSpPr>
            <xdr:cNvPr id="7207" name="Drop Down 39" hidden="1">
              <a:extLst>
                <a:ext uri="{63B3BB69-23CF-44E3-9099-C40C66FF867C}">
                  <a14:compatExt spid="_x0000_s7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98</xdr:row>
          <xdr:rowOff>0</xdr:rowOff>
        </xdr:from>
        <xdr:to>
          <xdr:col>3</xdr:col>
          <xdr:colOff>0</xdr:colOff>
          <xdr:row>99</xdr:row>
          <xdr:rowOff>47625</xdr:rowOff>
        </xdr:to>
        <xdr:sp macro="" textlink="">
          <xdr:nvSpPr>
            <xdr:cNvPr id="7208" name="Drop Down 40" hidden="1">
              <a:extLst>
                <a:ext uri="{63B3BB69-23CF-44E3-9099-C40C66FF867C}">
                  <a14:compatExt spid="_x0000_s7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108</xdr:row>
          <xdr:rowOff>0</xdr:rowOff>
        </xdr:from>
        <xdr:to>
          <xdr:col>2</xdr:col>
          <xdr:colOff>0</xdr:colOff>
          <xdr:row>109</xdr:row>
          <xdr:rowOff>47625</xdr:rowOff>
        </xdr:to>
        <xdr:sp macro="" textlink="">
          <xdr:nvSpPr>
            <xdr:cNvPr id="7209" name="Drop Down 41" hidden="1">
              <a:extLst>
                <a:ext uri="{63B3BB69-23CF-44E3-9099-C40C66FF867C}">
                  <a14:compatExt spid="_x0000_s7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108</xdr:row>
          <xdr:rowOff>0</xdr:rowOff>
        </xdr:from>
        <xdr:to>
          <xdr:col>3</xdr:col>
          <xdr:colOff>0</xdr:colOff>
          <xdr:row>109</xdr:row>
          <xdr:rowOff>47625</xdr:rowOff>
        </xdr:to>
        <xdr:sp macro="" textlink="">
          <xdr:nvSpPr>
            <xdr:cNvPr id="7210" name="Drop Down 42" hidden="1">
              <a:extLst>
                <a:ext uri="{63B3BB69-23CF-44E3-9099-C40C66FF867C}">
                  <a14:compatExt spid="_x0000_s7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128</xdr:row>
          <xdr:rowOff>0</xdr:rowOff>
        </xdr:from>
        <xdr:to>
          <xdr:col>2</xdr:col>
          <xdr:colOff>0</xdr:colOff>
          <xdr:row>129</xdr:row>
          <xdr:rowOff>47625</xdr:rowOff>
        </xdr:to>
        <xdr:sp macro="" textlink="">
          <xdr:nvSpPr>
            <xdr:cNvPr id="7211" name="Drop Down 43" hidden="1">
              <a:extLst>
                <a:ext uri="{63B3BB69-23CF-44E3-9099-C40C66FF867C}">
                  <a14:compatExt spid="_x0000_s7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128</xdr:row>
          <xdr:rowOff>0</xdr:rowOff>
        </xdr:from>
        <xdr:to>
          <xdr:col>3</xdr:col>
          <xdr:colOff>0</xdr:colOff>
          <xdr:row>129</xdr:row>
          <xdr:rowOff>47625</xdr:rowOff>
        </xdr:to>
        <xdr:sp macro="" textlink="">
          <xdr:nvSpPr>
            <xdr:cNvPr id="7212" name="Drop Down 44" hidden="1">
              <a:extLst>
                <a:ext uri="{63B3BB69-23CF-44E3-9099-C40C66FF867C}">
                  <a14:compatExt spid="_x0000_s7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149</xdr:row>
          <xdr:rowOff>0</xdr:rowOff>
        </xdr:from>
        <xdr:to>
          <xdr:col>2</xdr:col>
          <xdr:colOff>0</xdr:colOff>
          <xdr:row>150</xdr:row>
          <xdr:rowOff>47625</xdr:rowOff>
        </xdr:to>
        <xdr:sp macro="" textlink="">
          <xdr:nvSpPr>
            <xdr:cNvPr id="7213" name="Drop Down 45" hidden="1">
              <a:extLst>
                <a:ext uri="{63B3BB69-23CF-44E3-9099-C40C66FF867C}">
                  <a14:compatExt spid="_x0000_s7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149</xdr:row>
          <xdr:rowOff>0</xdr:rowOff>
        </xdr:from>
        <xdr:to>
          <xdr:col>3</xdr:col>
          <xdr:colOff>0</xdr:colOff>
          <xdr:row>150</xdr:row>
          <xdr:rowOff>47625</xdr:rowOff>
        </xdr:to>
        <xdr:sp macro="" textlink="">
          <xdr:nvSpPr>
            <xdr:cNvPr id="7214" name="Drop Down 46" hidden="1">
              <a:extLst>
                <a:ext uri="{63B3BB69-23CF-44E3-9099-C40C66FF867C}">
                  <a14:compatExt spid="_x0000_s7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117</xdr:row>
          <xdr:rowOff>0</xdr:rowOff>
        </xdr:from>
        <xdr:to>
          <xdr:col>2</xdr:col>
          <xdr:colOff>0</xdr:colOff>
          <xdr:row>118</xdr:row>
          <xdr:rowOff>47625</xdr:rowOff>
        </xdr:to>
        <xdr:sp macro="" textlink="">
          <xdr:nvSpPr>
            <xdr:cNvPr id="7215" name="Drop Down 47" hidden="1">
              <a:extLst>
                <a:ext uri="{63B3BB69-23CF-44E3-9099-C40C66FF867C}">
                  <a14:compatExt spid="_x0000_s7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117</xdr:row>
          <xdr:rowOff>0</xdr:rowOff>
        </xdr:from>
        <xdr:to>
          <xdr:col>3</xdr:col>
          <xdr:colOff>0</xdr:colOff>
          <xdr:row>118</xdr:row>
          <xdr:rowOff>47625</xdr:rowOff>
        </xdr:to>
        <xdr:sp macro="" textlink="">
          <xdr:nvSpPr>
            <xdr:cNvPr id="7216" name="Drop Down 48" hidden="1">
              <a:extLst>
                <a:ext uri="{63B3BB69-23CF-44E3-9099-C40C66FF867C}">
                  <a14:compatExt spid="_x0000_s7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155</xdr:row>
          <xdr:rowOff>0</xdr:rowOff>
        </xdr:from>
        <xdr:to>
          <xdr:col>2</xdr:col>
          <xdr:colOff>0</xdr:colOff>
          <xdr:row>156</xdr:row>
          <xdr:rowOff>28575</xdr:rowOff>
        </xdr:to>
        <xdr:sp macro="" textlink="">
          <xdr:nvSpPr>
            <xdr:cNvPr id="7217" name="Drop Down 49" hidden="1">
              <a:extLst>
                <a:ext uri="{63B3BB69-23CF-44E3-9099-C40C66FF867C}">
                  <a14:compatExt spid="_x0000_s7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155</xdr:row>
          <xdr:rowOff>0</xdr:rowOff>
        </xdr:from>
        <xdr:to>
          <xdr:col>3</xdr:col>
          <xdr:colOff>0</xdr:colOff>
          <xdr:row>156</xdr:row>
          <xdr:rowOff>28575</xdr:rowOff>
        </xdr:to>
        <xdr:sp macro="" textlink="">
          <xdr:nvSpPr>
            <xdr:cNvPr id="7218" name="Drop Down 50" hidden="1">
              <a:extLst>
                <a:ext uri="{63B3BB69-23CF-44E3-9099-C40C66FF867C}">
                  <a14:compatExt spid="_x0000_s7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304800</xdr:colOff>
      <xdr:row>98</xdr:row>
      <xdr:rowOff>66675</xdr:rowOff>
    </xdr:from>
    <xdr:to>
      <xdr:col>12</xdr:col>
      <xdr:colOff>161925</xdr:colOff>
      <xdr:row>107</xdr:row>
      <xdr:rowOff>133351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219075</xdr:colOff>
      <xdr:row>108</xdr:row>
      <xdr:rowOff>33337</xdr:rowOff>
    </xdr:from>
    <xdr:to>
      <xdr:col>12</xdr:col>
      <xdr:colOff>309564</xdr:colOff>
      <xdr:row>117</xdr:row>
      <xdr:rowOff>104775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190500</xdr:colOff>
      <xdr:row>119</xdr:row>
      <xdr:rowOff>26194</xdr:rowOff>
    </xdr:from>
    <xdr:to>
      <xdr:col>12</xdr:col>
      <xdr:colOff>452439</xdr:colOff>
      <xdr:row>128</xdr:row>
      <xdr:rowOff>123825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228600</xdr:colOff>
      <xdr:row>132</xdr:row>
      <xdr:rowOff>171450</xdr:rowOff>
    </xdr:from>
    <xdr:to>
      <xdr:col>12</xdr:col>
      <xdr:colOff>664369</xdr:colOff>
      <xdr:row>151</xdr:row>
      <xdr:rowOff>171449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157</xdr:row>
      <xdr:rowOff>185056</xdr:rowOff>
    </xdr:from>
    <xdr:to>
      <xdr:col>13</xdr:col>
      <xdr:colOff>0</xdr:colOff>
      <xdr:row>184</xdr:row>
      <xdr:rowOff>138792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1285874</xdr:colOff>
      <xdr:row>73</xdr:row>
      <xdr:rowOff>137582</xdr:rowOff>
    </xdr:from>
    <xdr:to>
      <xdr:col>12</xdr:col>
      <xdr:colOff>486833</xdr:colOff>
      <xdr:row>86</xdr:row>
      <xdr:rowOff>154517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149</xdr:row>
          <xdr:rowOff>0</xdr:rowOff>
        </xdr:from>
        <xdr:to>
          <xdr:col>2</xdr:col>
          <xdr:colOff>0</xdr:colOff>
          <xdr:row>150</xdr:row>
          <xdr:rowOff>47625</xdr:rowOff>
        </xdr:to>
        <xdr:sp macro="" textlink="">
          <xdr:nvSpPr>
            <xdr:cNvPr id="7219" name="Drop Down 51" hidden="1">
              <a:extLst>
                <a:ext uri="{63B3BB69-23CF-44E3-9099-C40C66FF867C}">
                  <a14:compatExt spid="_x0000_s7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1333500</xdr:colOff>
      <xdr:row>108</xdr:row>
      <xdr:rowOff>47625</xdr:rowOff>
    </xdr:from>
    <xdr:to>
      <xdr:col>9</xdr:col>
      <xdr:colOff>52389</xdr:colOff>
      <xdr:row>117</xdr:row>
      <xdr:rowOff>119063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314325</xdr:colOff>
      <xdr:row>118</xdr:row>
      <xdr:rowOff>166689</xdr:rowOff>
    </xdr:from>
    <xdr:to>
      <xdr:col>8</xdr:col>
      <xdr:colOff>376239</xdr:colOff>
      <xdr:row>128</xdr:row>
      <xdr:rowOff>126207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1066800</xdr:colOff>
      <xdr:row>132</xdr:row>
      <xdr:rowOff>171450</xdr:rowOff>
    </xdr:from>
    <xdr:to>
      <xdr:col>10</xdr:col>
      <xdr:colOff>188119</xdr:colOff>
      <xdr:row>151</xdr:row>
      <xdr:rowOff>171449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47625</xdr:colOff>
      <xdr:row>98</xdr:row>
      <xdr:rowOff>83344</xdr:rowOff>
    </xdr:from>
    <xdr:to>
      <xdr:col>8</xdr:col>
      <xdr:colOff>619125</xdr:colOff>
      <xdr:row>107</xdr:row>
      <xdr:rowOff>150020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333375</xdr:colOff>
      <xdr:row>50</xdr:row>
      <xdr:rowOff>45242</xdr:rowOff>
    </xdr:from>
    <xdr:to>
      <xdr:col>6</xdr:col>
      <xdr:colOff>535781</xdr:colOff>
      <xdr:row>68</xdr:row>
      <xdr:rowOff>83343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odyssee-mure.eu/publications/efficiency-by-sector/transport/passenger-mobility-per-capita.html" TargetMode="External"/><Relationship Id="rId1" Type="http://schemas.openxmlformats.org/officeDocument/2006/relationships/hyperlink" Target="https://igees.gov.ie/wp-content/uploads/2021/03/Transport-Trends-2020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ul1">
    <tabColor theme="9" tint="0.59999389629810485"/>
  </sheetPr>
  <dimension ref="A1:AY283"/>
  <sheetViews>
    <sheetView showGridLines="0" zoomScale="80" zoomScaleNormal="80" workbookViewId="0">
      <selection activeCell="Q49" sqref="Q49"/>
    </sheetView>
  </sheetViews>
  <sheetFormatPr defaultRowHeight="15"/>
  <cols>
    <col min="1" max="1" width="40.7109375" customWidth="1"/>
    <col min="2" max="4" width="20.5703125" customWidth="1"/>
    <col min="5" max="13" width="10.7109375" style="7" customWidth="1"/>
    <col min="15" max="15" width="40.7109375" customWidth="1"/>
    <col min="16" max="16" width="13.7109375" bestFit="1" customWidth="1"/>
    <col min="17" max="42" width="12.28515625" bestFit="1" customWidth="1"/>
    <col min="43" max="45" width="12.140625" bestFit="1" customWidth="1"/>
    <col min="46" max="46" width="50.7109375" style="467" customWidth="1"/>
  </cols>
  <sheetData>
    <row r="1" spans="1:46" s="203" customFormat="1" ht="20.100000000000001" customHeight="1" thickBot="1">
      <c r="A1" s="757" t="s">
        <v>504</v>
      </c>
      <c r="B1" s="758"/>
      <c r="C1" s="758"/>
      <c r="D1" s="758"/>
      <c r="E1" s="758"/>
      <c r="F1" s="758"/>
      <c r="G1" s="758"/>
      <c r="H1" s="758"/>
      <c r="I1" s="758"/>
      <c r="J1" s="758"/>
      <c r="K1" s="758"/>
      <c r="L1" s="758"/>
      <c r="M1" s="759"/>
      <c r="Q1" s="779" t="s">
        <v>776</v>
      </c>
      <c r="AT1" s="466"/>
    </row>
    <row r="2" spans="1:46" s="7" customFormat="1" ht="18" customHeight="1">
      <c r="A2" s="124" t="s">
        <v>102</v>
      </c>
      <c r="B2" s="121">
        <v>1</v>
      </c>
      <c r="C2" s="25"/>
      <c r="D2" s="121"/>
      <c r="E2" s="121"/>
      <c r="F2" s="121"/>
      <c r="G2" s="121"/>
      <c r="H2" s="125" t="s">
        <v>742</v>
      </c>
      <c r="I2" s="19"/>
      <c r="J2" s="19"/>
      <c r="K2" s="19"/>
      <c r="L2" s="19"/>
      <c r="M2" s="180"/>
      <c r="Q2" s="779"/>
      <c r="AT2" s="467"/>
    </row>
    <row r="3" spans="1:46" s="7" customFormat="1" ht="18" customHeight="1">
      <c r="A3" s="122"/>
      <c r="B3" s="120"/>
      <c r="C3" s="120"/>
      <c r="D3" s="120"/>
      <c r="E3" s="120"/>
      <c r="F3" s="120"/>
      <c r="G3" s="120"/>
      <c r="H3" s="2"/>
      <c r="I3" s="296" t="s">
        <v>744</v>
      </c>
      <c r="J3" s="37"/>
      <c r="K3" s="37"/>
      <c r="L3" s="37"/>
      <c r="M3" s="38"/>
      <c r="O3" s="532"/>
      <c r="AT3" s="467"/>
    </row>
    <row r="4" spans="1:46" ht="18" customHeight="1">
      <c r="A4" s="27" t="s">
        <v>160</v>
      </c>
      <c r="B4" s="37">
        <v>15</v>
      </c>
      <c r="C4" s="37"/>
      <c r="D4" s="2"/>
      <c r="E4" s="2"/>
      <c r="F4" s="2"/>
      <c r="G4" s="2"/>
      <c r="H4" s="296" t="str">
        <f>'LOCAL DATASET INPUTS'!A137</f>
        <v>no metro</v>
      </c>
      <c r="I4" s="282">
        <v>0</v>
      </c>
      <c r="J4" s="302" t="s">
        <v>250</v>
      </c>
      <c r="K4" s="37"/>
      <c r="L4" s="37"/>
      <c r="M4" s="38"/>
      <c r="Q4" s="7"/>
      <c r="R4" s="7"/>
    </row>
    <row r="5" spans="1:46" ht="18" customHeight="1">
      <c r="A5" s="27"/>
      <c r="B5" s="37"/>
      <c r="C5" s="37"/>
      <c r="D5" s="37"/>
      <c r="E5" s="37"/>
      <c r="F5" s="37"/>
      <c r="G5" s="37"/>
      <c r="H5" s="296" t="str">
        <f>'LOCAL DATASET INPUTS'!A138</f>
        <v>-</v>
      </c>
      <c r="I5" s="282">
        <v>0</v>
      </c>
      <c r="J5" s="303" t="s">
        <v>251</v>
      </c>
      <c r="K5" s="37"/>
      <c r="L5" s="37"/>
      <c r="M5" s="38"/>
      <c r="Q5" s="7"/>
      <c r="R5" s="7"/>
      <c r="S5" s="7"/>
    </row>
    <row r="6" spans="1:46" ht="18" customHeight="1">
      <c r="A6" s="27" t="s">
        <v>50</v>
      </c>
      <c r="B6" s="739">
        <v>15000</v>
      </c>
      <c r="C6" s="735"/>
      <c r="D6" s="37"/>
      <c r="E6" s="37"/>
      <c r="F6" s="37"/>
      <c r="G6" s="37"/>
      <c r="H6" s="296" t="str">
        <f>'LOCAL DATASET INPUTS'!A139</f>
        <v>-</v>
      </c>
      <c r="I6" s="282">
        <v>0</v>
      </c>
      <c r="J6" s="296"/>
      <c r="K6" s="37"/>
      <c r="L6" s="37"/>
      <c r="M6" s="38"/>
      <c r="Q6" s="7"/>
      <c r="R6" s="7"/>
      <c r="S6" s="7"/>
    </row>
    <row r="7" spans="1:46" ht="18" customHeight="1">
      <c r="A7" s="27"/>
      <c r="B7" s="37"/>
      <c r="C7" s="37"/>
      <c r="D7" s="37"/>
      <c r="E7" s="37"/>
      <c r="F7" s="37"/>
      <c r="G7" s="37"/>
      <c r="H7" s="296" t="str">
        <f>'LOCAL DATASET INPUTS'!A140</f>
        <v>-</v>
      </c>
      <c r="I7" s="282">
        <v>0</v>
      </c>
      <c r="J7" s="296"/>
      <c r="K7" s="37"/>
      <c r="L7" s="37"/>
      <c r="M7" s="38"/>
      <c r="Q7" s="7"/>
      <c r="R7" s="7"/>
      <c r="S7" s="7"/>
    </row>
    <row r="8" spans="1:46" s="7" customFormat="1" ht="18" customHeight="1">
      <c r="A8" s="43" t="s">
        <v>764</v>
      </c>
      <c r="B8" s="645" t="s">
        <v>729</v>
      </c>
      <c r="C8" s="60"/>
      <c r="D8" s="28"/>
      <c r="E8" s="37"/>
      <c r="F8" s="37"/>
      <c r="G8" s="37"/>
      <c r="H8" s="296" t="str">
        <f>'LOCAL DATASET INPUTS'!A141</f>
        <v>-</v>
      </c>
      <c r="I8" s="282">
        <v>0</v>
      </c>
      <c r="J8" s="296"/>
      <c r="K8" s="37"/>
      <c r="L8" s="37"/>
      <c r="M8" s="38"/>
      <c r="AT8" s="467"/>
    </row>
    <row r="9" spans="1:46" s="7" customFormat="1" ht="18" customHeight="1">
      <c r="A9" s="27" t="str">
        <f>'LOCAL DATASET INPUTS'!A59</f>
        <v>CITY</v>
      </c>
      <c r="B9" s="211">
        <v>100</v>
      </c>
      <c r="C9" s="60"/>
      <c r="D9" s="37"/>
      <c r="E9" s="37"/>
      <c r="F9" s="37"/>
      <c r="G9" s="37"/>
      <c r="H9" s="296" t="str">
        <f>'LOCAL DATASET INPUTS'!A142</f>
        <v>-</v>
      </c>
      <c r="I9" s="282">
        <v>0</v>
      </c>
      <c r="J9" s="296"/>
      <c r="K9" s="37"/>
      <c r="L9" s="37"/>
      <c r="M9" s="38"/>
      <c r="AT9" s="467"/>
    </row>
    <row r="10" spans="1:46" ht="18" customHeight="1">
      <c r="A10" s="27" t="str">
        <f>'LOCAL DATASET INPUTS'!A60</f>
        <v>TOWN</v>
      </c>
      <c r="B10" s="211">
        <v>0</v>
      </c>
      <c r="C10" s="734" t="s">
        <v>544</v>
      </c>
      <c r="D10" s="37"/>
      <c r="E10" s="37"/>
      <c r="F10" s="37"/>
      <c r="G10" s="37"/>
      <c r="H10" s="296" t="str">
        <f>'LOCAL DATASET INPUTS'!A143</f>
        <v>-</v>
      </c>
      <c r="I10" s="282">
        <v>0</v>
      </c>
      <c r="J10" s="296"/>
      <c r="K10" s="37"/>
      <c r="L10" s="37"/>
      <c r="M10" s="38"/>
    </row>
    <row r="11" spans="1:46" s="7" customFormat="1" ht="18" customHeight="1">
      <c r="A11" s="27" t="str">
        <f>'LOCAL DATASET INPUTS'!A61</f>
        <v>SUBURBAN</v>
      </c>
      <c r="B11" s="211">
        <v>0</v>
      </c>
      <c r="C11" s="734" t="s">
        <v>543</v>
      </c>
      <c r="D11" s="37"/>
      <c r="E11" s="37"/>
      <c r="F11" s="37"/>
      <c r="G11" s="37"/>
      <c r="H11" s="174" t="s">
        <v>743</v>
      </c>
      <c r="I11" s="2"/>
      <c r="J11" s="2"/>
      <c r="K11" s="37"/>
      <c r="L11" s="37"/>
      <c r="M11" s="38"/>
      <c r="AT11" s="467"/>
    </row>
    <row r="12" spans="1:46" ht="18" customHeight="1">
      <c r="A12" s="27" t="str">
        <f>'LOCAL DATASET INPUTS'!A62</f>
        <v xml:space="preserve">RURAL </v>
      </c>
      <c r="B12" s="211">
        <v>0</v>
      </c>
      <c r="C12" s="388"/>
      <c r="D12" s="37"/>
      <c r="E12" s="37"/>
      <c r="F12" s="37"/>
      <c r="G12" s="37"/>
      <c r="H12" s="2"/>
      <c r="I12" s="296" t="s">
        <v>745</v>
      </c>
      <c r="J12" s="296"/>
      <c r="K12" s="37"/>
      <c r="L12" s="37"/>
      <c r="M12" s="38"/>
    </row>
    <row r="13" spans="1:46" s="7" customFormat="1" ht="18" customHeight="1">
      <c r="A13" s="27"/>
      <c r="B13" s="216">
        <v>0</v>
      </c>
      <c r="C13" s="388"/>
      <c r="D13" s="37"/>
      <c r="E13" s="37"/>
      <c r="F13" s="37"/>
      <c r="G13" s="37"/>
      <c r="H13" s="296" t="str">
        <f>'LOCAL DATASET INPUTS'!A153</f>
        <v>Dublin</v>
      </c>
      <c r="I13" s="282">
        <v>0</v>
      </c>
      <c r="J13" s="302" t="s">
        <v>250</v>
      </c>
      <c r="K13" s="37"/>
      <c r="L13" s="37"/>
      <c r="M13" s="38"/>
      <c r="AT13" s="467"/>
    </row>
    <row r="14" spans="1:46" s="7" customFormat="1" ht="18" customHeight="1">
      <c r="A14" s="43" t="s">
        <v>731</v>
      </c>
      <c r="B14" s="645" t="s">
        <v>730</v>
      </c>
      <c r="C14" s="223" t="s">
        <v>732</v>
      </c>
      <c r="D14" s="37"/>
      <c r="E14" s="37"/>
      <c r="F14" s="37"/>
      <c r="G14" s="37"/>
      <c r="H14" s="296" t="str">
        <f>'LOCAL DATASET INPUTS'!A154</f>
        <v>-</v>
      </c>
      <c r="I14" s="282">
        <v>0</v>
      </c>
      <c r="J14" s="303" t="s">
        <v>251</v>
      </c>
      <c r="K14" s="37"/>
      <c r="L14" s="37"/>
      <c r="M14" s="38"/>
      <c r="AT14" s="467"/>
    </row>
    <row r="15" spans="1:46" s="7" customFormat="1" ht="18" customHeight="1">
      <c r="A15" s="27" t="s">
        <v>734</v>
      </c>
      <c r="B15" s="211">
        <v>100</v>
      </c>
      <c r="C15" s="223" t="s">
        <v>733</v>
      </c>
      <c r="D15" s="223" t="s">
        <v>736</v>
      </c>
      <c r="E15" s="37"/>
      <c r="F15" s="37"/>
      <c r="G15" s="37"/>
      <c r="H15" s="296" t="str">
        <f>'LOCAL DATASET INPUTS'!A155</f>
        <v>-</v>
      </c>
      <c r="I15" s="282">
        <v>0</v>
      </c>
      <c r="J15" s="37"/>
      <c r="K15" s="37"/>
      <c r="L15" s="37"/>
      <c r="M15" s="38"/>
      <c r="AT15" s="467"/>
    </row>
    <row r="16" spans="1:46" s="7" customFormat="1" ht="17.45" customHeight="1">
      <c r="A16" s="27" t="s">
        <v>735</v>
      </c>
      <c r="B16" s="211">
        <v>100</v>
      </c>
      <c r="C16" s="2"/>
      <c r="D16" s="37"/>
      <c r="E16" s="37"/>
      <c r="F16" s="37"/>
      <c r="G16" s="37"/>
      <c r="H16" s="296" t="str">
        <f>'LOCAL DATASET INPUTS'!A156</f>
        <v>-</v>
      </c>
      <c r="I16" s="282">
        <v>0</v>
      </c>
      <c r="J16" s="37"/>
      <c r="K16" s="37"/>
      <c r="L16" s="37"/>
      <c r="M16" s="38"/>
      <c r="AT16" s="467"/>
    </row>
    <row r="17" spans="1:46" s="7" customFormat="1" ht="18" customHeight="1">
      <c r="A17" s="1"/>
      <c r="B17" s="1"/>
      <c r="C17" s="1"/>
      <c r="D17" s="37"/>
      <c r="E17" s="37"/>
      <c r="F17" s="37"/>
      <c r="G17" s="37"/>
      <c r="H17" s="296" t="str">
        <f>'LOCAL DATASET INPUTS'!A157</f>
        <v>-</v>
      </c>
      <c r="I17" s="282">
        <v>0</v>
      </c>
      <c r="J17" s="37"/>
      <c r="K17" s="37"/>
      <c r="L17" s="37"/>
      <c r="M17" s="38"/>
      <c r="AT17" s="467"/>
    </row>
    <row r="18" spans="1:46" s="7" customFormat="1" ht="18" customHeight="1">
      <c r="A18" s="43" t="s">
        <v>741</v>
      </c>
      <c r="B18" s="100"/>
      <c r="C18" s="213" t="s">
        <v>172</v>
      </c>
      <c r="D18" s="37"/>
      <c r="E18" s="37"/>
      <c r="F18" s="37"/>
      <c r="G18" s="37"/>
      <c r="H18" s="296" t="str">
        <f>'LOCAL DATASET INPUTS'!A158</f>
        <v>-</v>
      </c>
      <c r="I18" s="282">
        <v>0</v>
      </c>
      <c r="J18" s="37"/>
      <c r="K18" s="37"/>
      <c r="L18" s="37"/>
      <c r="M18" s="38"/>
      <c r="AT18" s="467"/>
    </row>
    <row r="19" spans="1:46" s="7" customFormat="1" ht="18" customHeight="1">
      <c r="A19" s="27" t="s">
        <v>737</v>
      </c>
      <c r="B19" s="37">
        <v>2</v>
      </c>
      <c r="C19" s="50">
        <f>INDEX(D204:D206,B19,1)</f>
        <v>1</v>
      </c>
      <c r="D19" s="37"/>
      <c r="E19" s="37"/>
      <c r="F19" s="37"/>
      <c r="G19" s="37"/>
      <c r="H19" s="296" t="str">
        <f>'LOCAL DATASET INPUTS'!A159</f>
        <v>-</v>
      </c>
      <c r="I19" s="282">
        <v>0</v>
      </c>
      <c r="J19" s="37"/>
      <c r="K19" s="37"/>
      <c r="L19" s="37"/>
      <c r="M19" s="38"/>
      <c r="AT19" s="467"/>
    </row>
    <row r="20" spans="1:46" s="7" customFormat="1" ht="18" customHeight="1">
      <c r="A20" s="27" t="s">
        <v>738</v>
      </c>
      <c r="B20" s="37">
        <v>3</v>
      </c>
      <c r="C20" s="50">
        <f>INDEX(D209:D213,B20,1)</f>
        <v>1</v>
      </c>
      <c r="D20" s="37"/>
      <c r="E20" s="37"/>
      <c r="F20" s="37"/>
      <c r="G20" s="37"/>
      <c r="H20" s="296" t="str">
        <f>'LOCAL DATASET INPUTS'!A160</f>
        <v>-</v>
      </c>
      <c r="I20" s="282">
        <v>0</v>
      </c>
      <c r="J20" s="37"/>
      <c r="K20" s="37"/>
      <c r="L20" s="37"/>
      <c r="M20" s="38"/>
      <c r="AT20" s="467"/>
    </row>
    <row r="21" spans="1:46" s="7" customFormat="1" ht="18" customHeight="1">
      <c r="A21" s="27" t="s">
        <v>740</v>
      </c>
      <c r="B21" s="37">
        <v>3</v>
      </c>
      <c r="C21" s="50">
        <f>INDEX(D215:D219,B21,1)</f>
        <v>1</v>
      </c>
      <c r="D21" s="37"/>
      <c r="E21" s="37"/>
      <c r="F21" s="37"/>
      <c r="G21" s="37"/>
      <c r="H21" s="296" t="str">
        <f>'LOCAL DATASET INPUTS'!A161</f>
        <v>-</v>
      </c>
      <c r="I21" s="282">
        <v>0</v>
      </c>
      <c r="J21" s="37"/>
      <c r="K21" s="37"/>
      <c r="L21" s="37"/>
      <c r="M21" s="38"/>
      <c r="AT21" s="467"/>
    </row>
    <row r="22" spans="1:46" s="7" customFormat="1" ht="18" customHeight="1">
      <c r="A22" s="27" t="s">
        <v>739</v>
      </c>
      <c r="B22" s="37">
        <v>2</v>
      </c>
      <c r="C22" s="50">
        <f>INDEX(D221:D225,B22,1)</f>
        <v>0.25</v>
      </c>
      <c r="D22" s="37"/>
      <c r="E22" s="37"/>
      <c r="F22" s="37"/>
      <c r="G22" s="37"/>
      <c r="H22" s="296" t="str">
        <f>'LOCAL DATASET INPUTS'!A162</f>
        <v>-</v>
      </c>
      <c r="I22" s="282">
        <v>0</v>
      </c>
      <c r="J22" s="37"/>
      <c r="K22" s="37"/>
      <c r="L22" s="37"/>
      <c r="M22" s="38"/>
      <c r="AT22" s="467"/>
    </row>
    <row r="23" spans="1:46" s="7" customFormat="1" ht="18" customHeight="1">
      <c r="A23" s="1"/>
      <c r="B23" s="1"/>
      <c r="C23" s="1"/>
      <c r="D23" s="1"/>
      <c r="E23" s="37"/>
      <c r="F23" s="37"/>
      <c r="G23" s="37"/>
      <c r="H23" s="296" t="str">
        <f>'LOCAL DATASET INPUTS'!A163</f>
        <v>-</v>
      </c>
      <c r="I23" s="282">
        <v>0</v>
      </c>
      <c r="J23" s="37"/>
      <c r="K23" s="37"/>
      <c r="L23" s="37"/>
      <c r="M23" s="38"/>
      <c r="AT23" s="467"/>
    </row>
    <row r="24" spans="1:46" s="7" customFormat="1" ht="18" customHeight="1">
      <c r="A24" s="1"/>
      <c r="B24" s="1"/>
      <c r="C24" s="1"/>
      <c r="D24" s="1"/>
      <c r="E24" s="37"/>
      <c r="F24" s="37"/>
      <c r="G24" s="37"/>
      <c r="H24" s="296" t="str">
        <f>'LOCAL DATASET INPUTS'!A164</f>
        <v>-</v>
      </c>
      <c r="I24" s="282">
        <v>0</v>
      </c>
      <c r="J24" s="37"/>
      <c r="K24" s="37"/>
      <c r="L24" s="37"/>
      <c r="M24" s="38"/>
      <c r="AT24" s="467"/>
    </row>
    <row r="25" spans="1:46" s="7" customFormat="1" ht="18" customHeight="1">
      <c r="A25" s="27"/>
      <c r="B25" s="37"/>
      <c r="C25" s="37"/>
      <c r="D25" s="37"/>
      <c r="E25" s="37"/>
      <c r="F25" s="37"/>
      <c r="G25" s="37"/>
      <c r="H25" s="296" t="str">
        <f>'LOCAL DATASET INPUTS'!A165</f>
        <v>-</v>
      </c>
      <c r="I25" s="282">
        <v>0</v>
      </c>
      <c r="J25" s="37"/>
      <c r="K25" s="37"/>
      <c r="L25" s="37"/>
      <c r="M25" s="38"/>
      <c r="AT25" s="467"/>
    </row>
    <row r="26" spans="1:46" s="7" customFormat="1" ht="18" customHeight="1">
      <c r="A26" s="436" t="s">
        <v>123</v>
      </c>
      <c r="B26" s="37"/>
      <c r="C26" s="37"/>
      <c r="D26" s="37"/>
      <c r="E26" s="37"/>
      <c r="F26" s="37"/>
      <c r="G26" s="37"/>
      <c r="H26" s="296" t="str">
        <f>'LOCAL DATASET INPUTS'!A166</f>
        <v>-</v>
      </c>
      <c r="I26" s="282">
        <v>0</v>
      </c>
      <c r="J26" s="37"/>
      <c r="K26" s="37"/>
      <c r="L26" s="37"/>
      <c r="M26" s="38"/>
      <c r="AT26" s="467"/>
    </row>
    <row r="27" spans="1:46" s="7" customFormat="1" ht="18" customHeight="1">
      <c r="A27" s="27"/>
      <c r="B27" s="37"/>
      <c r="C27" s="37"/>
      <c r="D27" s="37"/>
      <c r="E27" s="37"/>
      <c r="F27" s="37"/>
      <c r="G27" s="37"/>
      <c r="H27" s="296" t="str">
        <f>'LOCAL DATASET INPUTS'!A167</f>
        <v>-</v>
      </c>
      <c r="I27" s="282">
        <v>0</v>
      </c>
      <c r="J27" s="37"/>
      <c r="K27" s="37"/>
      <c r="L27" s="37"/>
      <c r="M27" s="38"/>
      <c r="AT27" s="467"/>
    </row>
    <row r="28" spans="1:46" s="7" customFormat="1" ht="18" customHeight="1">
      <c r="A28" s="27"/>
      <c r="B28" s="37"/>
      <c r="C28" s="37"/>
      <c r="D28" s="37"/>
      <c r="E28" s="37"/>
      <c r="F28" s="37"/>
      <c r="G28" s="37"/>
      <c r="H28" s="296" t="str">
        <f>'LOCAL DATASET INPUTS'!A168</f>
        <v>-</v>
      </c>
      <c r="I28" s="282">
        <v>0</v>
      </c>
      <c r="J28" s="37"/>
      <c r="K28" s="37"/>
      <c r="L28" s="37"/>
      <c r="M28" s="38"/>
      <c r="AT28" s="467"/>
    </row>
    <row r="29" spans="1:46" s="7" customFormat="1" ht="18" customHeight="1">
      <c r="A29" s="27"/>
      <c r="B29" s="37"/>
      <c r="C29" s="37"/>
      <c r="D29" s="37"/>
      <c r="E29" s="37"/>
      <c r="F29" s="37"/>
      <c r="G29" s="37"/>
      <c r="H29" s="296" t="str">
        <f>'LOCAL DATASET INPUTS'!A169</f>
        <v>-</v>
      </c>
      <c r="I29" s="282">
        <v>0</v>
      </c>
      <c r="J29" s="37"/>
      <c r="K29" s="37"/>
      <c r="L29" s="37"/>
      <c r="M29" s="38"/>
      <c r="AT29" s="467"/>
    </row>
    <row r="30" spans="1:46" s="7" customFormat="1" ht="18" customHeight="1">
      <c r="A30" s="27"/>
      <c r="B30" s="37"/>
      <c r="C30" s="37"/>
      <c r="D30" s="37"/>
      <c r="E30" s="37"/>
      <c r="F30" s="37"/>
      <c r="G30" s="37"/>
      <c r="H30" s="296" t="str">
        <f>'LOCAL DATASET INPUTS'!A170</f>
        <v>-</v>
      </c>
      <c r="I30" s="282">
        <v>0</v>
      </c>
      <c r="J30" s="37"/>
      <c r="K30" s="37"/>
      <c r="L30" s="37"/>
      <c r="M30" s="38"/>
      <c r="AT30" s="467"/>
    </row>
    <row r="31" spans="1:46" s="7" customFormat="1" ht="18" customHeight="1">
      <c r="A31" s="27"/>
      <c r="B31" s="37"/>
      <c r="C31" s="37"/>
      <c r="D31" s="37"/>
      <c r="E31" s="37"/>
      <c r="F31" s="37"/>
      <c r="G31" s="37"/>
      <c r="H31" s="296" t="str">
        <f>'LOCAL DATASET INPUTS'!A171</f>
        <v>-</v>
      </c>
      <c r="I31" s="282">
        <v>0</v>
      </c>
      <c r="J31" s="37"/>
      <c r="K31" s="37"/>
      <c r="L31" s="37"/>
      <c r="M31" s="38"/>
      <c r="AT31" s="467"/>
    </row>
    <row r="32" spans="1:46" s="7" customFormat="1" ht="18" customHeight="1">
      <c r="A32" s="27"/>
      <c r="B32" s="37"/>
      <c r="C32" s="37"/>
      <c r="D32" s="37"/>
      <c r="E32" s="37"/>
      <c r="F32" s="37"/>
      <c r="G32" s="37"/>
      <c r="H32" s="296" t="str">
        <f>'LOCAL DATASET INPUTS'!A172</f>
        <v>-</v>
      </c>
      <c r="I32" s="282">
        <v>0</v>
      </c>
      <c r="J32" s="37"/>
      <c r="K32" s="37"/>
      <c r="L32" s="37"/>
      <c r="M32" s="38"/>
      <c r="AT32" s="467"/>
    </row>
    <row r="33" spans="1:46" s="7" customFormat="1" ht="18" customHeight="1">
      <c r="A33" s="27"/>
      <c r="B33" s="37"/>
      <c r="C33" s="37"/>
      <c r="D33" s="37"/>
      <c r="E33" s="37"/>
      <c r="F33" s="37"/>
      <c r="G33" s="37"/>
      <c r="H33" s="296" t="str">
        <f>'LOCAL DATASET INPUTS'!A173</f>
        <v>-</v>
      </c>
      <c r="I33" s="282">
        <v>0</v>
      </c>
      <c r="J33" s="37"/>
      <c r="K33" s="37"/>
      <c r="L33" s="37"/>
      <c r="M33" s="38"/>
      <c r="AT33" s="467"/>
    </row>
    <row r="34" spans="1:46" s="7" customFormat="1" ht="18" customHeight="1">
      <c r="A34" s="27"/>
      <c r="B34" s="37"/>
      <c r="C34" s="37"/>
      <c r="D34" s="37"/>
      <c r="E34" s="37"/>
      <c r="F34" s="37"/>
      <c r="G34" s="37"/>
      <c r="H34" s="296" t="str">
        <f>'LOCAL DATASET INPUTS'!A174</f>
        <v>-</v>
      </c>
      <c r="I34" s="282">
        <v>0</v>
      </c>
      <c r="J34" s="37"/>
      <c r="K34" s="37"/>
      <c r="L34" s="37"/>
      <c r="M34" s="38"/>
      <c r="AT34" s="467"/>
    </row>
    <row r="35" spans="1:46" s="7" customFormat="1" ht="18" customHeight="1">
      <c r="A35" s="27"/>
      <c r="B35" s="37"/>
      <c r="C35" s="37"/>
      <c r="D35" s="37"/>
      <c r="E35" s="37"/>
      <c r="F35" s="37"/>
      <c r="G35" s="37"/>
      <c r="H35" s="296" t="str">
        <f>'LOCAL DATASET INPUTS'!A175</f>
        <v>-</v>
      </c>
      <c r="I35" s="282">
        <v>0</v>
      </c>
      <c r="J35" s="37"/>
      <c r="K35" s="37"/>
      <c r="L35" s="37"/>
      <c r="M35" s="38"/>
      <c r="AT35" s="467"/>
    </row>
    <row r="36" spans="1:46" s="7" customFormat="1" ht="18" customHeight="1">
      <c r="A36" s="27"/>
      <c r="B36" s="37"/>
      <c r="C36" s="37"/>
      <c r="D36" s="37"/>
      <c r="E36" s="37"/>
      <c r="F36" s="37"/>
      <c r="G36" s="37"/>
      <c r="H36" s="296" t="str">
        <f>'LOCAL DATASET INPUTS'!A176</f>
        <v>-</v>
      </c>
      <c r="I36" s="282">
        <v>0</v>
      </c>
      <c r="J36" s="37"/>
      <c r="K36" s="37"/>
      <c r="L36" s="37"/>
      <c r="M36" s="38"/>
      <c r="AT36" s="467"/>
    </row>
    <row r="37" spans="1:46" s="7" customFormat="1" ht="18" customHeight="1">
      <c r="A37" s="27"/>
      <c r="B37" s="37"/>
      <c r="C37" s="37"/>
      <c r="D37" s="37"/>
      <c r="E37" s="37"/>
      <c r="F37" s="37"/>
      <c r="G37" s="37"/>
      <c r="H37" s="296" t="str">
        <f>'LOCAL DATASET INPUTS'!A177</f>
        <v>-</v>
      </c>
      <c r="I37" s="282">
        <v>0</v>
      </c>
      <c r="J37" s="37"/>
      <c r="K37" s="37"/>
      <c r="L37" s="37"/>
      <c r="M37" s="38"/>
      <c r="AT37" s="467"/>
    </row>
    <row r="38" spans="1:46" s="7" customFormat="1" ht="18" customHeight="1">
      <c r="A38" s="27"/>
      <c r="B38" s="37"/>
      <c r="C38" s="37"/>
      <c r="D38" s="37"/>
      <c r="E38" s="37"/>
      <c r="F38" s="37"/>
      <c r="G38" s="37"/>
      <c r="H38" s="296" t="str">
        <f>'LOCAL DATASET INPUTS'!A178</f>
        <v>-</v>
      </c>
      <c r="I38" s="282">
        <v>0</v>
      </c>
      <c r="J38" s="37"/>
      <c r="K38" s="37"/>
      <c r="L38" s="37"/>
      <c r="M38" s="38"/>
      <c r="AT38" s="467"/>
    </row>
    <row r="39" spans="1:46" s="7" customFormat="1" ht="18" customHeight="1">
      <c r="A39" s="27"/>
      <c r="B39" s="37"/>
      <c r="C39" s="37"/>
      <c r="D39" s="37"/>
      <c r="E39" s="37"/>
      <c r="F39" s="37"/>
      <c r="G39" s="37"/>
      <c r="H39" s="296" t="str">
        <f>'LOCAL DATASET INPUTS'!A179</f>
        <v>-</v>
      </c>
      <c r="I39" s="282">
        <v>0</v>
      </c>
      <c r="J39" s="37"/>
      <c r="K39" s="37"/>
      <c r="L39" s="37"/>
      <c r="M39" s="38"/>
      <c r="AT39" s="467"/>
    </row>
    <row r="40" spans="1:46" s="7" customFormat="1" ht="18" customHeight="1">
      <c r="A40" s="27"/>
      <c r="B40" s="37"/>
      <c r="C40" s="37"/>
      <c r="D40" s="37"/>
      <c r="E40" s="37"/>
      <c r="F40" s="37"/>
      <c r="G40" s="37"/>
      <c r="H40" s="296" t="str">
        <f>'LOCAL DATASET INPUTS'!A180</f>
        <v>-</v>
      </c>
      <c r="I40" s="282">
        <v>0</v>
      </c>
      <c r="J40" s="37"/>
      <c r="K40" s="37"/>
      <c r="L40" s="37"/>
      <c r="M40" s="38"/>
      <c r="AT40" s="467"/>
    </row>
    <row r="41" spans="1:46" s="7" customFormat="1" ht="18" customHeight="1">
      <c r="A41" s="27"/>
      <c r="B41" s="37"/>
      <c r="C41" s="37"/>
      <c r="D41" s="37"/>
      <c r="E41" s="37"/>
      <c r="F41" s="37"/>
      <c r="G41" s="37"/>
      <c r="H41" s="296" t="str">
        <f>'LOCAL DATASET INPUTS'!A181</f>
        <v>-</v>
      </c>
      <c r="I41" s="282">
        <v>0</v>
      </c>
      <c r="J41" s="37"/>
      <c r="K41" s="37"/>
      <c r="L41" s="37"/>
      <c r="M41" s="38"/>
      <c r="AT41" s="467"/>
    </row>
    <row r="42" spans="1:46" s="7" customFormat="1" ht="18" customHeight="1">
      <c r="A42" s="27"/>
      <c r="B42" s="37"/>
      <c r="C42" s="37"/>
      <c r="D42" s="37"/>
      <c r="E42" s="37"/>
      <c r="F42" s="37"/>
      <c r="G42" s="37"/>
      <c r="H42" s="296" t="str">
        <f>'LOCAL DATASET INPUTS'!A182</f>
        <v>-</v>
      </c>
      <c r="I42" s="282">
        <v>0</v>
      </c>
      <c r="J42" s="37"/>
      <c r="K42" s="37"/>
      <c r="L42" s="37"/>
      <c r="M42" s="38"/>
      <c r="AT42" s="467"/>
    </row>
    <row r="43" spans="1:46" s="7" customFormat="1" ht="18" customHeight="1">
      <c r="A43" s="27"/>
      <c r="B43" s="37"/>
      <c r="C43" s="37"/>
      <c r="D43" s="37"/>
      <c r="E43" s="37"/>
      <c r="F43" s="37"/>
      <c r="G43" s="37"/>
      <c r="H43" s="296" t="str">
        <f>'LOCAL DATASET INPUTS'!A183</f>
        <v>-</v>
      </c>
      <c r="I43" s="282">
        <v>0</v>
      </c>
      <c r="J43" s="37"/>
      <c r="K43" s="37"/>
      <c r="L43" s="37"/>
      <c r="M43" s="38"/>
      <c r="AT43" s="467"/>
    </row>
    <row r="44" spans="1:46" s="7" customFormat="1" ht="18" customHeight="1">
      <c r="A44" s="27"/>
      <c r="B44" s="37"/>
      <c r="C44" s="37"/>
      <c r="D44" s="37"/>
      <c r="E44" s="37"/>
      <c r="F44" s="37"/>
      <c r="G44" s="37"/>
      <c r="H44" s="296" t="str">
        <f>'LOCAL DATASET INPUTS'!A184</f>
        <v>-</v>
      </c>
      <c r="I44" s="282">
        <v>0</v>
      </c>
      <c r="J44" s="37"/>
      <c r="K44" s="37"/>
      <c r="L44" s="786" t="s">
        <v>777</v>
      </c>
      <c r="M44" s="38"/>
      <c r="AT44" s="467"/>
    </row>
    <row r="45" spans="1:46" s="7" customFormat="1" ht="18" customHeight="1">
      <c r="A45" s="27"/>
      <c r="B45" s="37"/>
      <c r="C45" s="37"/>
      <c r="D45" s="37"/>
      <c r="E45" s="37"/>
      <c r="F45" s="37"/>
      <c r="G45" s="37"/>
      <c r="H45" s="296" t="str">
        <f>'LOCAL DATASET INPUTS'!A185</f>
        <v>-</v>
      </c>
      <c r="I45" s="282">
        <v>0</v>
      </c>
      <c r="J45" s="37"/>
      <c r="K45" s="37"/>
      <c r="L45" s="780"/>
      <c r="M45" s="38"/>
      <c r="AT45" s="467"/>
    </row>
    <row r="46" spans="1:46" s="7" customFormat="1" ht="18" customHeight="1">
      <c r="A46" s="27"/>
      <c r="B46" s="37"/>
      <c r="C46" s="37"/>
      <c r="D46" s="37"/>
      <c r="E46" s="37"/>
      <c r="F46" s="37"/>
      <c r="G46" s="37"/>
      <c r="H46" s="296" t="str">
        <f>'LOCAL DATASET INPUTS'!A186</f>
        <v>-</v>
      </c>
      <c r="I46" s="282">
        <v>0</v>
      </c>
      <c r="J46" s="37"/>
      <c r="K46" s="37"/>
      <c r="L46" s="784" t="str">
        <f>IF($P$47=1,$Q$1,"")</f>
        <v/>
      </c>
      <c r="M46" s="38"/>
      <c r="AT46" s="467"/>
    </row>
    <row r="47" spans="1:46" s="7" customFormat="1" ht="18" customHeight="1">
      <c r="A47" s="27"/>
      <c r="B47" s="37"/>
      <c r="C47" s="37"/>
      <c r="D47" s="37"/>
      <c r="E47" s="37"/>
      <c r="F47" s="37"/>
      <c r="G47" s="37"/>
      <c r="H47" s="296" t="str">
        <f>'LOCAL DATASET INPUTS'!A187</f>
        <v>-</v>
      </c>
      <c r="I47" s="282">
        <v>0</v>
      </c>
      <c r="J47" s="37"/>
      <c r="K47" s="37"/>
      <c r="L47" s="785"/>
      <c r="M47" s="38"/>
      <c r="O47" s="787" t="s">
        <v>780</v>
      </c>
      <c r="P47" s="7">
        <v>3</v>
      </c>
      <c r="AT47" s="467"/>
    </row>
    <row r="48" spans="1:46" s="7" customFormat="1" ht="18" customHeight="1">
      <c r="A48" s="27"/>
      <c r="B48" s="37"/>
      <c r="C48" s="37"/>
      <c r="D48" s="37"/>
      <c r="E48" s="37"/>
      <c r="F48" s="37"/>
      <c r="G48" s="37"/>
      <c r="H48" s="296" t="str">
        <f>'LOCAL DATASET INPUTS'!A188</f>
        <v>-</v>
      </c>
      <c r="I48" s="282">
        <v>0</v>
      </c>
      <c r="J48" s="37"/>
      <c r="K48" s="37"/>
      <c r="L48" s="783" t="str">
        <f>IF($P$47=2,$Q$1,"")</f>
        <v/>
      </c>
      <c r="M48" s="38"/>
      <c r="AT48" s="467"/>
    </row>
    <row r="49" spans="1:46" s="7" customFormat="1" ht="18" customHeight="1">
      <c r="A49" s="27"/>
      <c r="B49" s="37"/>
      <c r="C49" s="37"/>
      <c r="D49" s="37"/>
      <c r="E49" s="37"/>
      <c r="F49" s="37"/>
      <c r="G49" s="37"/>
      <c r="H49" s="296" t="str">
        <f>'LOCAL DATASET INPUTS'!A189</f>
        <v>-</v>
      </c>
      <c r="I49" s="282">
        <v>0</v>
      </c>
      <c r="J49" s="37"/>
      <c r="K49" s="37"/>
      <c r="L49" s="780"/>
      <c r="M49" s="38"/>
      <c r="O49" s="7" t="s">
        <v>633</v>
      </c>
      <c r="AT49" s="467"/>
    </row>
    <row r="50" spans="1:46" s="7" customFormat="1" ht="18" customHeight="1">
      <c r="A50" s="27"/>
      <c r="B50" s="37"/>
      <c r="C50" s="37"/>
      <c r="D50" s="37"/>
      <c r="E50" s="37"/>
      <c r="F50" s="37"/>
      <c r="G50" s="37"/>
      <c r="H50" s="296" t="str">
        <f>'LOCAL DATASET INPUTS'!A190</f>
        <v>-</v>
      </c>
      <c r="I50" s="282">
        <v>0</v>
      </c>
      <c r="J50" s="37"/>
      <c r="K50" s="37"/>
      <c r="L50" s="782" t="str">
        <f>IF($P$47=3,$Q$1,"")</f>
        <v>•</v>
      </c>
      <c r="M50" s="38"/>
      <c r="AT50" s="467"/>
    </row>
    <row r="51" spans="1:46" s="7" customFormat="1" ht="18" customHeight="1">
      <c r="A51" s="208" t="s">
        <v>775</v>
      </c>
      <c r="B51" s="186">
        <f>2020+B2</f>
        <v>2021</v>
      </c>
      <c r="C51" s="37"/>
      <c r="D51" s="37"/>
      <c r="E51" s="37"/>
      <c r="F51" s="37"/>
      <c r="G51" s="37"/>
      <c r="H51" s="296" t="str">
        <f>'LOCAL DATASET INPUTS'!A191</f>
        <v>-</v>
      </c>
      <c r="I51" s="282">
        <v>0</v>
      </c>
      <c r="J51" s="37"/>
      <c r="K51" s="37"/>
      <c r="L51" s="781"/>
      <c r="M51" s="38"/>
      <c r="P51" s="397" t="str">
        <f>B52</f>
        <v>tnCO2e/resident, a</v>
      </c>
      <c r="AT51" s="467"/>
    </row>
    <row r="52" spans="1:46" s="7" customFormat="1" ht="18" customHeight="1">
      <c r="A52" s="63" t="s">
        <v>118</v>
      </c>
      <c r="B52" s="646" t="s">
        <v>171</v>
      </c>
      <c r="C52" s="37"/>
      <c r="D52" s="37"/>
      <c r="E52" s="37"/>
      <c r="F52" s="37"/>
      <c r="G52" s="37"/>
      <c r="H52" s="296" t="str">
        <f>'LOCAL DATASET INPUTS'!A192</f>
        <v>-</v>
      </c>
      <c r="I52" s="282">
        <v>0</v>
      </c>
      <c r="J52" s="37"/>
      <c r="K52" s="37"/>
      <c r="L52" s="1"/>
      <c r="M52" s="38"/>
      <c r="O52" s="472" t="s">
        <v>565</v>
      </c>
      <c r="P52" s="473">
        <v>2021</v>
      </c>
      <c r="Q52" s="473">
        <f>P52+1</f>
        <v>2022</v>
      </c>
      <c r="R52" s="473">
        <f t="shared" ref="R52:AS52" si="0">Q52+1</f>
        <v>2023</v>
      </c>
      <c r="S52" s="473">
        <f t="shared" si="0"/>
        <v>2024</v>
      </c>
      <c r="T52" s="473">
        <f t="shared" si="0"/>
        <v>2025</v>
      </c>
      <c r="U52" s="473">
        <f t="shared" si="0"/>
        <v>2026</v>
      </c>
      <c r="V52" s="473">
        <f t="shared" si="0"/>
        <v>2027</v>
      </c>
      <c r="W52" s="473">
        <f t="shared" si="0"/>
        <v>2028</v>
      </c>
      <c r="X52" s="473">
        <f t="shared" si="0"/>
        <v>2029</v>
      </c>
      <c r="Y52" s="473">
        <f t="shared" si="0"/>
        <v>2030</v>
      </c>
      <c r="Z52" s="473">
        <f t="shared" si="0"/>
        <v>2031</v>
      </c>
      <c r="AA52" s="473">
        <f t="shared" si="0"/>
        <v>2032</v>
      </c>
      <c r="AB52" s="473">
        <f t="shared" si="0"/>
        <v>2033</v>
      </c>
      <c r="AC52" s="473">
        <f t="shared" si="0"/>
        <v>2034</v>
      </c>
      <c r="AD52" s="473">
        <f t="shared" si="0"/>
        <v>2035</v>
      </c>
      <c r="AE52" s="473">
        <f t="shared" si="0"/>
        <v>2036</v>
      </c>
      <c r="AF52" s="473">
        <f t="shared" si="0"/>
        <v>2037</v>
      </c>
      <c r="AG52" s="473">
        <f t="shared" si="0"/>
        <v>2038</v>
      </c>
      <c r="AH52" s="473">
        <f t="shared" si="0"/>
        <v>2039</v>
      </c>
      <c r="AI52" s="473">
        <f t="shared" si="0"/>
        <v>2040</v>
      </c>
      <c r="AJ52" s="473">
        <f t="shared" si="0"/>
        <v>2041</v>
      </c>
      <c r="AK52" s="473">
        <f t="shared" si="0"/>
        <v>2042</v>
      </c>
      <c r="AL52" s="473">
        <f t="shared" si="0"/>
        <v>2043</v>
      </c>
      <c r="AM52" s="473">
        <f t="shared" si="0"/>
        <v>2044</v>
      </c>
      <c r="AN52" s="473">
        <f t="shared" si="0"/>
        <v>2045</v>
      </c>
      <c r="AO52" s="473">
        <f t="shared" si="0"/>
        <v>2046</v>
      </c>
      <c r="AP52" s="473">
        <f t="shared" si="0"/>
        <v>2047</v>
      </c>
      <c r="AQ52" s="473">
        <f>AP52+1</f>
        <v>2048</v>
      </c>
      <c r="AR52" s="473">
        <f t="shared" si="0"/>
        <v>2049</v>
      </c>
      <c r="AS52" s="473">
        <f t="shared" si="0"/>
        <v>2050</v>
      </c>
      <c r="AT52" s="467"/>
    </row>
    <row r="53" spans="1:46" s="7" customFormat="1" ht="18" customHeight="1">
      <c r="A53" s="37" t="str">
        <f>'LOCAL DATASET INPUTS'!A20</f>
        <v>Motor coaches, buses and trolley buses</v>
      </c>
      <c r="B53" s="83">
        <f>'LOCAL DATASET INPUTS'!E71/B6</f>
        <v>7.6549372212823624E-2</v>
      </c>
      <c r="C53" s="37"/>
      <c r="D53" s="37"/>
      <c r="E53" s="37"/>
      <c r="F53" s="37"/>
      <c r="G53" s="37"/>
      <c r="H53" s="296" t="str">
        <f>'LOCAL DATASET INPUTS'!A193</f>
        <v>-</v>
      </c>
      <c r="I53" s="282">
        <v>0</v>
      </c>
      <c r="J53" s="37"/>
      <c r="K53" s="37"/>
      <c r="L53" s="786" t="s">
        <v>778</v>
      </c>
      <c r="M53" s="38"/>
      <c r="O53" s="474" t="str">
        <f t="shared" ref="O53:O61" si="1">A53</f>
        <v>Motor coaches, buses and trolley buses</v>
      </c>
      <c r="P53" s="620">
        <f>'LOCAL DATASET INPUTS'!E71/B6</f>
        <v>7.6549372212823624E-2</v>
      </c>
      <c r="Q53" s="620">
        <f>'LOCAL DATASET INPUTS'!F71/'LOCAL DATASET INPUTS'!F10</f>
        <v>7.7069777090508565E-2</v>
      </c>
      <c r="R53" s="620">
        <f>'LOCAL DATASET INPUTS'!G71/'LOCAL DATASET INPUTS'!G10</f>
        <v>7.7362553708154563E-2</v>
      </c>
      <c r="S53" s="620">
        <f>'LOCAL DATASET INPUTS'!H71/'LOCAL DATASET INPUTS'!H10</f>
        <v>7.781113352474317E-2</v>
      </c>
      <c r="T53" s="620">
        <f>'LOCAL DATASET INPUTS'!I71/'LOCAL DATASET INPUTS'!I10</f>
        <v>7.8262311247197319E-2</v>
      </c>
      <c r="U53" s="620">
        <f>'LOCAL DATASET INPUTS'!J71/'LOCAL DATASET INPUTS'!J10</f>
        <v>7.8355954042284973E-2</v>
      </c>
      <c r="V53" s="620">
        <f>'LOCAL DATASET INPUTS'!K71/'LOCAL DATASET INPUTS'!K10</f>
        <v>7.946746829810139E-2</v>
      </c>
      <c r="W53" s="620">
        <f>'LOCAL DATASET INPUTS'!L71/'LOCAL DATASET INPUTS'!L10</f>
        <v>7.9641854173013379E-2</v>
      </c>
      <c r="X53" s="620">
        <f>'LOCAL DATASET INPUTS'!M71/'LOCAL DATASET INPUTS'!M10</f>
        <v>8.0134882506532307E-2</v>
      </c>
      <c r="Y53" s="620">
        <f>'LOCAL DATASET INPUTS'!N71/'LOCAL DATASET INPUTS'!N10</f>
        <v>8.0550840368005194E-2</v>
      </c>
      <c r="Z53" s="620">
        <f>'LOCAL DATASET INPUTS'!O71/'LOCAL DATASET INPUTS'!O10</f>
        <v>8.0422020316941178E-2</v>
      </c>
      <c r="AA53" s="620">
        <f>'LOCAL DATASET INPUTS'!P71/'LOCAL DATASET INPUTS'!P10</f>
        <v>8.0773696273148884E-2</v>
      </c>
      <c r="AB53" s="620">
        <f>'LOCAL DATASET INPUTS'!Q71/'LOCAL DATASET INPUTS'!Q10</f>
        <v>8.0966073913515429E-2</v>
      </c>
      <c r="AC53" s="620">
        <f>'LOCAL DATASET INPUTS'!R71/'LOCAL DATASET INPUTS'!R10</f>
        <v>8.115888003878606E-2</v>
      </c>
      <c r="AD53" s="620">
        <f>'LOCAL DATASET INPUTS'!S71/'LOCAL DATASET INPUTS'!S10</f>
        <v>8.0948182445860328E-2</v>
      </c>
      <c r="AE53" s="620">
        <f>'LOCAL DATASET INPUTS'!T71/'LOCAL DATASET INPUTS'!T10</f>
        <v>8.122146332284734E-2</v>
      </c>
      <c r="AF53" s="620">
        <f>'LOCAL DATASET INPUTS'!U71/'LOCAL DATASET INPUTS'!U10</f>
        <v>8.1657334557505762E-2</v>
      </c>
      <c r="AG53" s="620">
        <f>'LOCAL DATASET INPUTS'!V71/'LOCAL DATASET INPUTS'!V10</f>
        <v>8.1689101248961074E-2</v>
      </c>
      <c r="AH53" s="620">
        <f>'LOCAL DATASET INPUTS'!W71/'LOCAL DATASET INPUTS'!W10</f>
        <v>8.139559309742915E-2</v>
      </c>
      <c r="AI53" s="620">
        <f>'LOCAL DATASET INPUTS'!X71/'LOCAL DATASET INPUTS'!X10</f>
        <v>8.1022060508416982E-2</v>
      </c>
      <c r="AJ53" s="620">
        <f>'LOCAL DATASET INPUTS'!Y71/'LOCAL DATASET INPUTS'!Y10</f>
        <v>8.0650210886931112E-2</v>
      </c>
      <c r="AK53" s="620">
        <f>'LOCAL DATASET INPUTS'!Z71/'LOCAL DATASET INPUTS'!Z10</f>
        <v>8.0280036856286166E-2</v>
      </c>
      <c r="AL53" s="620">
        <f>'LOCAL DATASET INPUTS'!AA71/'LOCAL DATASET INPUTS'!AA10</f>
        <v>7.9911531065601227E-2</v>
      </c>
      <c r="AM53" s="620">
        <f>'LOCAL DATASET INPUTS'!AB71/'LOCAL DATASET INPUTS'!AB10</f>
        <v>7.9544686190052366E-2</v>
      </c>
      <c r="AN53" s="620">
        <f>'LOCAL DATASET INPUTS'!AC71/'LOCAL DATASET INPUTS'!AC10</f>
        <v>7.917949493110514E-2</v>
      </c>
      <c r="AO53" s="620">
        <f>'LOCAL DATASET INPUTS'!AD71/'LOCAL DATASET INPUTS'!AD10</f>
        <v>7.8815950016728198E-2</v>
      </c>
      <c r="AP53" s="620">
        <f>'LOCAL DATASET INPUTS'!AE71/'LOCAL DATASET INPUTS'!AE10</f>
        <v>7.8454044201588871E-2</v>
      </c>
      <c r="AQ53" s="620">
        <f>'LOCAL DATASET INPUTS'!AF71/'LOCAL DATASET INPUTS'!AF10</f>
        <v>7.8093770267231605E-2</v>
      </c>
      <c r="AR53" s="620">
        <f>'LOCAL DATASET INPUTS'!AG71/'LOCAL DATASET INPUTS'!AG10</f>
        <v>7.7735121022240325E-2</v>
      </c>
      <c r="AS53" s="620">
        <f>'LOCAL DATASET INPUTS'!AH71/'LOCAL DATASET INPUTS'!AH10</f>
        <v>7.7378089302385517E-2</v>
      </c>
      <c r="AT53" s="467"/>
    </row>
    <row r="54" spans="1:46" s="7" customFormat="1" ht="18" customHeight="1">
      <c r="A54" s="37" t="str">
        <f>'LOCAL DATASET INPUTS'!A21</f>
        <v>Passenger cars</v>
      </c>
      <c r="B54" s="83">
        <f>'LOCAL DATASET INPUTS'!E121/B6</f>
        <v>1.3360591831187487</v>
      </c>
      <c r="C54" s="37"/>
      <c r="D54" s="37"/>
      <c r="E54" s="37"/>
      <c r="F54" s="37"/>
      <c r="G54" s="37"/>
      <c r="H54" s="296" t="str">
        <f>'LOCAL DATASET INPUTS'!A194</f>
        <v>-</v>
      </c>
      <c r="I54" s="282">
        <v>0</v>
      </c>
      <c r="J54" s="37"/>
      <c r="K54" s="37"/>
      <c r="L54" s="780"/>
      <c r="M54" s="38"/>
      <c r="O54" s="474" t="str">
        <f t="shared" si="1"/>
        <v>Passenger cars</v>
      </c>
      <c r="P54" s="620">
        <f>'LOCAL DATASET INPUTS'!E121/B6</f>
        <v>1.3360591831187487</v>
      </c>
      <c r="Q54" s="620">
        <f>'LOCAL DATASET INPUTS'!F121/'LOCAL DATASET INPUTS'!F10</f>
        <v>1.3613576081091405</v>
      </c>
      <c r="R54" s="620">
        <f>'LOCAL DATASET INPUTS'!G121/'LOCAL DATASET INPUTS'!G10</f>
        <v>1.3855776350347428</v>
      </c>
      <c r="S54" s="620">
        <f>'LOCAL DATASET INPUTS'!H121/'LOCAL DATASET INPUTS'!H10</f>
        <v>1.4102285030646386</v>
      </c>
      <c r="T54" s="620">
        <f>'LOCAL DATASET INPUTS'!I121/'LOCAL DATASET INPUTS'!I10</f>
        <v>1.4353178751898599</v>
      </c>
      <c r="U54" s="620">
        <f>'LOCAL DATASET INPUTS'!J121/'LOCAL DATASET INPUTS'!J10</f>
        <v>1.4611535969432774</v>
      </c>
      <c r="V54" s="620">
        <f>'LOCAL DATASET INPUTS'!K121/'LOCAL DATASET INPUTS'!K10</f>
        <v>1.4874543616882567</v>
      </c>
      <c r="W54" s="620">
        <f>'LOCAL DATASET INPUTS'!L121/'LOCAL DATASET INPUTS'!L10</f>
        <v>1.5142285401986453</v>
      </c>
      <c r="X54" s="620">
        <f>'LOCAL DATASET INPUTS'!M121/'LOCAL DATASET INPUTS'!M10</f>
        <v>1.5414846539222211</v>
      </c>
      <c r="Y54" s="620">
        <f>'LOCAL DATASET INPUTS'!N121/'LOCAL DATASET INPUTS'!N10</f>
        <v>1.5692313776928211</v>
      </c>
      <c r="Z54" s="620">
        <f>'LOCAL DATASET INPUTS'!O121/'LOCAL DATASET INPUTS'!O10</f>
        <v>1.5911130901307688</v>
      </c>
      <c r="AA54" s="620">
        <f>'LOCAL DATASET INPUTS'!P121/'LOCAL DATASET INPUTS'!P10</f>
        <v>1.6132999260489267</v>
      </c>
      <c r="AB54" s="620">
        <f>'LOCAL DATASET INPUTS'!Q121/'LOCAL DATASET INPUTS'!Q10</f>
        <v>1.6357961401571788</v>
      </c>
      <c r="AC54" s="620">
        <f>'LOCAL DATASET INPUTS'!R121/'LOCAL DATASET INPUTS'!R10</f>
        <v>1.658606046494032</v>
      </c>
      <c r="AD54" s="620">
        <f>'LOCAL DATASET INPUTS'!S121/'LOCAL DATASET INPUTS'!S10</f>
        <v>1.6817340192539088</v>
      </c>
      <c r="AE54" s="620">
        <f>'LOCAL DATASET INPUTS'!T121/'LOCAL DATASET INPUTS'!T10</f>
        <v>1.7051844936259752</v>
      </c>
      <c r="AF54" s="620">
        <f>'LOCAL DATASET INPUTS'!U121/'LOCAL DATASET INPUTS'!U10</f>
        <v>1.7289619666446641</v>
      </c>
      <c r="AG54" s="620">
        <f>'LOCAL DATASET INPUTS'!V121/'LOCAL DATASET INPUTS'!V10</f>
        <v>1.7530709980520602</v>
      </c>
      <c r="AH54" s="620">
        <f>'LOCAL DATASET INPUTS'!W121/'LOCAL DATASET INPUTS'!W10</f>
        <v>1.7775162111723077</v>
      </c>
      <c r="AI54" s="620">
        <f>'LOCAL DATASET INPUTS'!X121/'LOCAL DATASET INPUTS'!X10</f>
        <v>1.802302219629615</v>
      </c>
      <c r="AJ54" s="620">
        <f>'LOCAL DATASET INPUTS'!Y121/'LOCAL DATASET INPUTS'!Y10</f>
        <v>1.8274338515422806</v>
      </c>
      <c r="AK54" s="620">
        <f>'LOCAL DATASET INPUTS'!Z121/'LOCAL DATASET INPUTS'!Z10</f>
        <v>1.8529159263160464</v>
      </c>
      <c r="AL54" s="620">
        <f>'LOCAL DATASET INPUTS'!AA121/'LOCAL DATASET INPUTS'!AA10</f>
        <v>1.8787533305606239</v>
      </c>
      <c r="AM54" s="620">
        <f>'LOCAL DATASET INPUTS'!AB121/'LOCAL DATASET INPUTS'!AB10</f>
        <v>1.9049510190267767</v>
      </c>
      <c r="AN54" s="620">
        <f>'LOCAL DATASET INPUTS'!AC121/'LOCAL DATASET INPUTS'!AC10</f>
        <v>1.9315140155564683</v>
      </c>
      <c r="AO54" s="620">
        <f>'LOCAL DATASET INPUTS'!AD121/'LOCAL DATASET INPUTS'!AD10</f>
        <v>1.9584474140462553</v>
      </c>
      <c r="AP54" s="620">
        <f>'LOCAL DATASET INPUTS'!AE121/'LOCAL DATASET INPUTS'!AE10</f>
        <v>1.9857563794241244</v>
      </c>
      <c r="AQ54" s="620">
        <f>'LOCAL DATASET INPUTS'!AF121/'LOCAL DATASET INPUTS'!AF10</f>
        <v>2.0134461486399435</v>
      </c>
      <c r="AR54" s="620">
        <f>'LOCAL DATASET INPUTS'!AG121/'LOCAL DATASET INPUTS'!AG10</f>
        <v>2.0415220316697273</v>
      </c>
      <c r="AS54" s="620">
        <f>'LOCAL DATASET INPUTS'!AH121/'LOCAL DATASET INPUTS'!AH10</f>
        <v>2.0699894125339053</v>
      </c>
      <c r="AT54" s="467"/>
    </row>
    <row r="55" spans="1:46" s="7" customFormat="1" ht="18" customHeight="1">
      <c r="A55" s="37" t="s">
        <v>553</v>
      </c>
      <c r="B55" s="83">
        <f>'LOCAL DATASET INPUTS'!E149/B6</f>
        <v>0</v>
      </c>
      <c r="C55" s="37"/>
      <c r="D55" s="37"/>
      <c r="E55" s="37"/>
      <c r="F55" s="37"/>
      <c r="G55" s="37"/>
      <c r="H55" s="296" t="str">
        <f>'LOCAL DATASET INPUTS'!A195</f>
        <v>-</v>
      </c>
      <c r="I55" s="282">
        <v>0</v>
      </c>
      <c r="J55" s="37"/>
      <c r="K55" s="37"/>
      <c r="L55" s="784" t="str">
        <f>IF(P47=1,Q1,"")</f>
        <v/>
      </c>
      <c r="M55" s="38"/>
      <c r="O55" s="474" t="str">
        <f t="shared" si="1"/>
        <v>Metro</v>
      </c>
      <c r="P55" s="620">
        <f>'LOCAL DATASET INPUTS'!E149/B6</f>
        <v>0</v>
      </c>
      <c r="Q55" s="620">
        <f>'LOCAL DATASET INPUTS'!F149/'LOCAL DATASET INPUTS'!F10</f>
        <v>0</v>
      </c>
      <c r="R55" s="620">
        <f>'LOCAL DATASET INPUTS'!G149/'LOCAL DATASET INPUTS'!G10</f>
        <v>0</v>
      </c>
      <c r="S55" s="620">
        <f>'LOCAL DATASET INPUTS'!H149/'LOCAL DATASET INPUTS'!H10</f>
        <v>0</v>
      </c>
      <c r="T55" s="620">
        <f>'LOCAL DATASET INPUTS'!I149/'LOCAL DATASET INPUTS'!I10</f>
        <v>0</v>
      </c>
      <c r="U55" s="620">
        <f>'LOCAL DATASET INPUTS'!J149/'LOCAL DATASET INPUTS'!J10</f>
        <v>0</v>
      </c>
      <c r="V55" s="620">
        <f>'LOCAL DATASET INPUTS'!K149/'LOCAL DATASET INPUTS'!K10</f>
        <v>0</v>
      </c>
      <c r="W55" s="620">
        <f>'LOCAL DATASET INPUTS'!L149/'LOCAL DATASET INPUTS'!L10</f>
        <v>0</v>
      </c>
      <c r="X55" s="620">
        <f>'LOCAL DATASET INPUTS'!M149/'LOCAL DATASET INPUTS'!M10</f>
        <v>0</v>
      </c>
      <c r="Y55" s="620">
        <f>'LOCAL DATASET INPUTS'!N149/'LOCAL DATASET INPUTS'!N10</f>
        <v>0</v>
      </c>
      <c r="Z55" s="620">
        <f>'LOCAL DATASET INPUTS'!O149/'LOCAL DATASET INPUTS'!O10</f>
        <v>0</v>
      </c>
      <c r="AA55" s="620">
        <f>'LOCAL DATASET INPUTS'!P149/'LOCAL DATASET INPUTS'!P10</f>
        <v>0</v>
      </c>
      <c r="AB55" s="620">
        <f>'LOCAL DATASET INPUTS'!Q149/'LOCAL DATASET INPUTS'!Q10</f>
        <v>0</v>
      </c>
      <c r="AC55" s="620">
        <f>'LOCAL DATASET INPUTS'!R149/'LOCAL DATASET INPUTS'!R10</f>
        <v>0</v>
      </c>
      <c r="AD55" s="620">
        <f>'LOCAL DATASET INPUTS'!S149/'LOCAL DATASET INPUTS'!S10</f>
        <v>0</v>
      </c>
      <c r="AE55" s="620">
        <f>'LOCAL DATASET INPUTS'!T149/'LOCAL DATASET INPUTS'!T10</f>
        <v>0</v>
      </c>
      <c r="AF55" s="620">
        <f>'LOCAL DATASET INPUTS'!U149/'LOCAL DATASET INPUTS'!U10</f>
        <v>0</v>
      </c>
      <c r="AG55" s="620">
        <f>'LOCAL DATASET INPUTS'!V149/'LOCAL DATASET INPUTS'!V10</f>
        <v>0</v>
      </c>
      <c r="AH55" s="620">
        <f>'LOCAL DATASET INPUTS'!W149/'LOCAL DATASET INPUTS'!W10</f>
        <v>0</v>
      </c>
      <c r="AI55" s="620">
        <f>'LOCAL DATASET INPUTS'!X149/'LOCAL DATASET INPUTS'!X10</f>
        <v>0</v>
      </c>
      <c r="AJ55" s="620">
        <f>'LOCAL DATASET INPUTS'!Y149/'LOCAL DATASET INPUTS'!Y10</f>
        <v>0</v>
      </c>
      <c r="AK55" s="620">
        <f>'LOCAL DATASET INPUTS'!Z149/'LOCAL DATASET INPUTS'!Z10</f>
        <v>0</v>
      </c>
      <c r="AL55" s="620">
        <f>'LOCAL DATASET INPUTS'!AA149/'LOCAL DATASET INPUTS'!AA10</f>
        <v>0</v>
      </c>
      <c r="AM55" s="620">
        <f>'LOCAL DATASET INPUTS'!AB149/'LOCAL DATASET INPUTS'!AB10</f>
        <v>0</v>
      </c>
      <c r="AN55" s="620">
        <f>'LOCAL DATASET INPUTS'!AC149/'LOCAL DATASET INPUTS'!AC10</f>
        <v>0</v>
      </c>
      <c r="AO55" s="620">
        <f>'LOCAL DATASET INPUTS'!AD149/'LOCAL DATASET INPUTS'!AD10</f>
        <v>0</v>
      </c>
      <c r="AP55" s="620">
        <f>'LOCAL DATASET INPUTS'!AE149/'LOCAL DATASET INPUTS'!AE10</f>
        <v>0</v>
      </c>
      <c r="AQ55" s="620">
        <f>'LOCAL DATASET INPUTS'!AF149/'LOCAL DATASET INPUTS'!AF10</f>
        <v>0</v>
      </c>
      <c r="AR55" s="620">
        <f>'LOCAL DATASET INPUTS'!AG149/'LOCAL DATASET INPUTS'!AG10</f>
        <v>0</v>
      </c>
      <c r="AS55" s="620">
        <f>'LOCAL DATASET INPUTS'!AH149/'LOCAL DATASET INPUTS'!AH10</f>
        <v>0</v>
      </c>
      <c r="AT55" s="467"/>
    </row>
    <row r="56" spans="1:46" s="7" customFormat="1" ht="18" customHeight="1">
      <c r="A56" s="37" t="s">
        <v>554</v>
      </c>
      <c r="B56" s="83">
        <f>'LOCAL DATASET INPUTS'!E216/B6</f>
        <v>0</v>
      </c>
      <c r="C56" s="37"/>
      <c r="D56" s="37"/>
      <c r="E56" s="37"/>
      <c r="F56" s="37"/>
      <c r="G56" s="37"/>
      <c r="H56" s="296" t="str">
        <f>'LOCAL DATASET INPUTS'!A196</f>
        <v>-</v>
      </c>
      <c r="I56" s="282">
        <v>0</v>
      </c>
      <c r="J56" s="37"/>
      <c r="K56" s="37"/>
      <c r="L56" s="780"/>
      <c r="M56" s="38"/>
      <c r="O56" s="474" t="str">
        <f t="shared" si="1"/>
        <v>Tram, light train</v>
      </c>
      <c r="P56" s="620">
        <f>'LOCAL DATASET INPUTS'!E216/B6</f>
        <v>0</v>
      </c>
      <c r="Q56" s="620">
        <f>'LOCAL DATASET INPUTS'!F216/'LOCAL DATASET INPUTS'!F10</f>
        <v>0</v>
      </c>
      <c r="R56" s="620">
        <f>'LOCAL DATASET INPUTS'!G216/'LOCAL DATASET INPUTS'!G10</f>
        <v>0</v>
      </c>
      <c r="S56" s="620">
        <f>'LOCAL DATASET INPUTS'!H216/'LOCAL DATASET INPUTS'!H10</f>
        <v>0</v>
      </c>
      <c r="T56" s="620">
        <f>'LOCAL DATASET INPUTS'!I216/'LOCAL DATASET INPUTS'!I10</f>
        <v>0</v>
      </c>
      <c r="U56" s="620">
        <f>'LOCAL DATASET INPUTS'!J216/'LOCAL DATASET INPUTS'!J10</f>
        <v>0</v>
      </c>
      <c r="V56" s="620">
        <f>'LOCAL DATASET INPUTS'!K216/'LOCAL DATASET INPUTS'!K10</f>
        <v>0</v>
      </c>
      <c r="W56" s="620">
        <f>'LOCAL DATASET INPUTS'!L216/'LOCAL DATASET INPUTS'!L10</f>
        <v>0</v>
      </c>
      <c r="X56" s="620">
        <f>'LOCAL DATASET INPUTS'!M216/'LOCAL DATASET INPUTS'!M10</f>
        <v>0</v>
      </c>
      <c r="Y56" s="620">
        <f>'LOCAL DATASET INPUTS'!N216/'LOCAL DATASET INPUTS'!N10</f>
        <v>0</v>
      </c>
      <c r="Z56" s="620">
        <f>'LOCAL DATASET INPUTS'!O216/'LOCAL DATASET INPUTS'!O10</f>
        <v>0</v>
      </c>
      <c r="AA56" s="620">
        <f>'LOCAL DATASET INPUTS'!P216/'LOCAL DATASET INPUTS'!P10</f>
        <v>0</v>
      </c>
      <c r="AB56" s="620">
        <f>'LOCAL DATASET INPUTS'!Q216/'LOCAL DATASET INPUTS'!Q10</f>
        <v>0</v>
      </c>
      <c r="AC56" s="620">
        <f>'LOCAL DATASET INPUTS'!R216/'LOCAL DATASET INPUTS'!R10</f>
        <v>0</v>
      </c>
      <c r="AD56" s="620">
        <f>'LOCAL DATASET INPUTS'!S216/'LOCAL DATASET INPUTS'!S10</f>
        <v>0</v>
      </c>
      <c r="AE56" s="620">
        <f>'LOCAL DATASET INPUTS'!T216/'LOCAL DATASET INPUTS'!T10</f>
        <v>0</v>
      </c>
      <c r="AF56" s="620">
        <f>'LOCAL DATASET INPUTS'!U216/'LOCAL DATASET INPUTS'!U10</f>
        <v>0</v>
      </c>
      <c r="AG56" s="620">
        <f>'LOCAL DATASET INPUTS'!V216/'LOCAL DATASET INPUTS'!V10</f>
        <v>0</v>
      </c>
      <c r="AH56" s="620">
        <f>'LOCAL DATASET INPUTS'!W216/'LOCAL DATASET INPUTS'!W10</f>
        <v>0</v>
      </c>
      <c r="AI56" s="620">
        <f>'LOCAL DATASET INPUTS'!X216/'LOCAL DATASET INPUTS'!X10</f>
        <v>0</v>
      </c>
      <c r="AJ56" s="620">
        <f>'LOCAL DATASET INPUTS'!Y216/'LOCAL DATASET INPUTS'!Y10</f>
        <v>0</v>
      </c>
      <c r="AK56" s="620">
        <f>'LOCAL DATASET INPUTS'!Z216/'LOCAL DATASET INPUTS'!Z10</f>
        <v>0</v>
      </c>
      <c r="AL56" s="620">
        <f>'LOCAL DATASET INPUTS'!AA216/'LOCAL DATASET INPUTS'!AA10</f>
        <v>0</v>
      </c>
      <c r="AM56" s="620">
        <f>'LOCAL DATASET INPUTS'!AB216/'LOCAL DATASET INPUTS'!AB10</f>
        <v>0</v>
      </c>
      <c r="AN56" s="620">
        <f>'LOCAL DATASET INPUTS'!AC216/'LOCAL DATASET INPUTS'!AC10</f>
        <v>0</v>
      </c>
      <c r="AO56" s="620">
        <f>'LOCAL DATASET INPUTS'!AD216/'LOCAL DATASET INPUTS'!AD10</f>
        <v>0</v>
      </c>
      <c r="AP56" s="620">
        <f>'LOCAL DATASET INPUTS'!AE216/'LOCAL DATASET INPUTS'!AE10</f>
        <v>0</v>
      </c>
      <c r="AQ56" s="620">
        <f>'LOCAL DATASET INPUTS'!AF216/'LOCAL DATASET INPUTS'!AF10</f>
        <v>0</v>
      </c>
      <c r="AR56" s="620">
        <f>'LOCAL DATASET INPUTS'!AG216/'LOCAL DATASET INPUTS'!AG10</f>
        <v>0</v>
      </c>
      <c r="AS56" s="620">
        <f>'LOCAL DATASET INPUTS'!AH216/'LOCAL DATASET INPUTS'!AH10</f>
        <v>0</v>
      </c>
      <c r="AT56" s="467"/>
    </row>
    <row r="57" spans="1:46" s="7" customFormat="1" ht="18" customHeight="1">
      <c r="A57" s="37" t="str">
        <f>'LOCAL DATASET INPUTS'!A23</f>
        <v>Passenger trains</v>
      </c>
      <c r="B57" s="83">
        <f>'LOCAL DATASET INPUTS'!E240/B6</f>
        <v>9.2101198979936126E-6</v>
      </c>
      <c r="C57" s="37"/>
      <c r="D57" s="37"/>
      <c r="E57" s="37"/>
      <c r="F57" s="37"/>
      <c r="G57" s="37"/>
      <c r="H57" s="296" t="str">
        <f>'LOCAL DATASET INPUTS'!A197</f>
        <v>-</v>
      </c>
      <c r="I57" s="282">
        <v>0</v>
      </c>
      <c r="J57" s="37"/>
      <c r="K57" s="37"/>
      <c r="L57" s="783" t="str">
        <f>IF(P47=2,Q1,"")</f>
        <v/>
      </c>
      <c r="M57" s="38"/>
      <c r="O57" s="474" t="str">
        <f t="shared" si="1"/>
        <v>Passenger trains</v>
      </c>
      <c r="P57" s="621">
        <f>'LOCAL DATASET INPUTS'!E240/B6</f>
        <v>9.2101198979936126E-6</v>
      </c>
      <c r="Q57" s="621">
        <f>'LOCAL DATASET INPUTS'!F240/'LOCAL DATASET INPUTS'!F10</f>
        <v>9.2838008571775618E-6</v>
      </c>
      <c r="R57" s="621">
        <f>'LOCAL DATASET INPUTS'!G240/'LOCAL DATASET INPUTS'!G10</f>
        <v>9.3580712640349826E-6</v>
      </c>
      <c r="S57" s="621">
        <f>'LOCAL DATASET INPUTS'!H240/'LOCAL DATASET INPUTS'!H10</f>
        <v>9.4329358341472636E-6</v>
      </c>
      <c r="T57" s="621">
        <f>'LOCAL DATASET INPUTS'!I240/'LOCAL DATASET INPUTS'!I10</f>
        <v>9.5083993208204399E-6</v>
      </c>
      <c r="U57" s="621">
        <f>'LOCAL DATASET INPUTS'!J240/'LOCAL DATASET INPUTS'!J10</f>
        <v>9.5844665153870035E-6</v>
      </c>
      <c r="V57" s="621">
        <f>'LOCAL DATASET INPUTS'!K240/'LOCAL DATASET INPUTS'!K10</f>
        <v>9.6611422475100995E-6</v>
      </c>
      <c r="W57" s="621">
        <f>'LOCAL DATASET INPUTS'!L240/'LOCAL DATASET INPUTS'!L10</f>
        <v>9.738431385490181E-6</v>
      </c>
      <c r="X57" s="621">
        <f>'LOCAL DATASET INPUTS'!M240/'LOCAL DATASET INPUTS'!M10</f>
        <v>9.816338836574103E-6</v>
      </c>
      <c r="Y57" s="621">
        <f>'LOCAL DATASET INPUTS'!N240/'LOCAL DATASET INPUTS'!N10</f>
        <v>9.8948695472666956E-6</v>
      </c>
      <c r="Z57" s="621">
        <f>'LOCAL DATASET INPUTS'!O240/'LOCAL DATASET INPUTS'!O10</f>
        <v>9.914580442779177E-6</v>
      </c>
      <c r="AA57" s="621">
        <f>'LOCAL DATASET INPUTS'!P240/'LOCAL DATASET INPUTS'!P10</f>
        <v>9.9343306030237576E-6</v>
      </c>
      <c r="AB57" s="621">
        <f>'LOCAL DATASET INPUTS'!Q240/'LOCAL DATASET INPUTS'!Q10</f>
        <v>9.9541201062170319E-6</v>
      </c>
      <c r="AC57" s="621">
        <f>'LOCAL DATASET INPUTS'!R240/'LOCAL DATASET INPUTS'!R10</f>
        <v>9.9739490307314092E-6</v>
      </c>
      <c r="AD57" s="621">
        <f>'LOCAL DATASET INPUTS'!S240/'LOCAL DATASET INPUTS'!S10</f>
        <v>9.9938174550954143E-6</v>
      </c>
      <c r="AE57" s="621">
        <f>'LOCAL DATASET INPUTS'!T240/'LOCAL DATASET INPUTS'!T10</f>
        <v>1.0013725457994012E-5</v>
      </c>
      <c r="AF57" s="621">
        <f>'LOCAL DATASET INPUTS'!U240/'LOCAL DATASET INPUTS'!U10</f>
        <v>1.0033673118268901E-5</v>
      </c>
      <c r="AG57" s="621">
        <f>'LOCAL DATASET INPUTS'!V240/'LOCAL DATASET INPUTS'!V10</f>
        <v>1.0053660514918836E-5</v>
      </c>
      <c r="AH57" s="621">
        <f>'LOCAL DATASET INPUTS'!W240/'LOCAL DATASET INPUTS'!W10</f>
        <v>1.0073687727099949E-5</v>
      </c>
      <c r="AI57" s="621">
        <f>'LOCAL DATASET INPUTS'!X240/'LOCAL DATASET INPUTS'!X10</f>
        <v>9.8534358725951026E-6</v>
      </c>
      <c r="AJ57" s="621">
        <f>'LOCAL DATASET INPUTS'!Y240/'LOCAL DATASET INPUTS'!Y10</f>
        <v>9.6414168583585208E-6</v>
      </c>
      <c r="AK57" s="621">
        <f>'LOCAL DATASET INPUTS'!Z240/'LOCAL DATASET INPUTS'!Z10</f>
        <v>9.4373341817556182E-6</v>
      </c>
      <c r="AL57" s="621">
        <f>'LOCAL DATASET INPUTS'!AA240/'LOCAL DATASET INPUTS'!AA10</f>
        <v>9.2409020401859573E-6</v>
      </c>
      <c r="AM57" s="621">
        <f>'LOCAL DATASET INPUTS'!AB240/'LOCAL DATASET INPUTS'!AB10</f>
        <v>9.0518449449890591E-6</v>
      </c>
      <c r="AN57" s="621">
        <f>'LOCAL DATASET INPUTS'!AC240/'LOCAL DATASET INPUTS'!AC10</f>
        <v>8.8698973492818926E-6</v>
      </c>
      <c r="AO57" s="621">
        <f>'LOCAL DATASET INPUTS'!AD240/'LOCAL DATASET INPUTS'!AD10</f>
        <v>8.6948032892253765E-6</v>
      </c>
      <c r="AP57" s="621">
        <f>'LOCAL DATASET INPUTS'!AE240/'LOCAL DATASET INPUTS'!AE10</f>
        <v>8.5263160382352845E-6</v>
      </c>
      <c r="AQ57" s="621">
        <f>'LOCAL DATASET INPUTS'!AF240/'LOCAL DATASET INPUTS'!AF10</f>
        <v>8.364197773670528E-6</v>
      </c>
      <c r="AR57" s="621">
        <f>'LOCAL DATASET INPUTS'!AG240/'LOCAL DATASET INPUTS'!AG10</f>
        <v>8.2082192555485128E-6</v>
      </c>
      <c r="AS57" s="621">
        <f>'LOCAL DATASET INPUTS'!AH240/'LOCAL DATASET INPUTS'!AH10</f>
        <v>8.0581595168536545E-6</v>
      </c>
      <c r="AT57" s="467"/>
    </row>
    <row r="58" spans="1:46" s="7" customFormat="1" ht="18" customHeight="1">
      <c r="A58" s="37" t="str">
        <f>'LOCAL DATASET INPUTS'!A246</f>
        <v>Rail freight</v>
      </c>
      <c r="B58" s="83">
        <f>'LOCAL DATASET INPUTS'!E277/B6</f>
        <v>1.3690045358541809E-5</v>
      </c>
      <c r="C58" s="37"/>
      <c r="D58" s="37"/>
      <c r="E58" s="37"/>
      <c r="F58" s="37"/>
      <c r="G58" s="37"/>
      <c r="H58" s="296" t="str">
        <f>'LOCAL DATASET INPUTS'!A198</f>
        <v>-</v>
      </c>
      <c r="I58" s="282">
        <v>0</v>
      </c>
      <c r="J58" s="37"/>
      <c r="K58" s="37"/>
      <c r="L58" s="780"/>
      <c r="M58" s="38"/>
      <c r="O58" s="474" t="str">
        <f t="shared" si="1"/>
        <v>Rail freight</v>
      </c>
      <c r="P58" s="621">
        <f>'LOCAL DATASET INPUTS'!E277/B6</f>
        <v>1.3690045358541809E-5</v>
      </c>
      <c r="Q58" s="621">
        <f>'LOCAL DATASET INPUTS'!F277/'LOCAL DATASET INPUTS'!F10</f>
        <v>1.3690045358541809E-5</v>
      </c>
      <c r="R58" s="621">
        <f>'LOCAL DATASET INPUTS'!G277/'LOCAL DATASET INPUTS'!G10</f>
        <v>1.3690045358541809E-5</v>
      </c>
      <c r="S58" s="621">
        <f>'LOCAL DATASET INPUTS'!H277/'LOCAL DATASET INPUTS'!H10</f>
        <v>1.3690045358541809E-5</v>
      </c>
      <c r="T58" s="621">
        <f>'LOCAL DATASET INPUTS'!I277/'LOCAL DATASET INPUTS'!I10</f>
        <v>1.3690045358541809E-5</v>
      </c>
      <c r="U58" s="621">
        <f>'LOCAL DATASET INPUTS'!J277/'LOCAL DATASET INPUTS'!J10</f>
        <v>1.3690045358541809E-5</v>
      </c>
      <c r="V58" s="621">
        <f>'LOCAL DATASET INPUTS'!K277/'LOCAL DATASET INPUTS'!K10</f>
        <v>1.3690045358541809E-5</v>
      </c>
      <c r="W58" s="621">
        <f>'LOCAL DATASET INPUTS'!L277/'LOCAL DATASET INPUTS'!L10</f>
        <v>1.3690045358541809E-5</v>
      </c>
      <c r="X58" s="621">
        <f>'LOCAL DATASET INPUTS'!M277/'LOCAL DATASET INPUTS'!M10</f>
        <v>1.3690045358541809E-5</v>
      </c>
      <c r="Y58" s="621">
        <f>'LOCAL DATASET INPUTS'!N277/'LOCAL DATASET INPUTS'!N10</f>
        <v>1.3690045358541809E-5</v>
      </c>
      <c r="Z58" s="621">
        <f>'LOCAL DATASET INPUTS'!O277/'LOCAL DATASET INPUTS'!O10</f>
        <v>1.3635503345161164E-5</v>
      </c>
      <c r="AA58" s="621">
        <f>'LOCAL DATASET INPUTS'!P277/'LOCAL DATASET INPUTS'!P10</f>
        <v>1.3581178630638609E-5</v>
      </c>
      <c r="AB58" s="621">
        <f>'LOCAL DATASET INPUTS'!Q277/'LOCAL DATASET INPUTS'!Q10</f>
        <v>1.3527070349241641E-5</v>
      </c>
      <c r="AC58" s="621">
        <f>'LOCAL DATASET INPUTS'!R277/'LOCAL DATASET INPUTS'!R10</f>
        <v>1.3473177638686893E-5</v>
      </c>
      <c r="AD58" s="621">
        <f>'LOCAL DATASET INPUTS'!S277/'LOCAL DATASET INPUTS'!S10</f>
        <v>1.3419499640126388E-5</v>
      </c>
      <c r="AE58" s="621">
        <f>'LOCAL DATASET INPUTS'!T277/'LOCAL DATASET INPUTS'!T10</f>
        <v>1.3366035498133853E-5</v>
      </c>
      <c r="AF58" s="621">
        <f>'LOCAL DATASET INPUTS'!U277/'LOCAL DATASET INPUTS'!U10</f>
        <v>1.3312784360691088E-5</v>
      </c>
      <c r="AG58" s="621">
        <f>'LOCAL DATASET INPUTS'!V277/'LOCAL DATASET INPUTS'!V10</f>
        <v>1.3259745379174391E-5</v>
      </c>
      <c r="AH58" s="621">
        <f>'LOCAL DATASET INPUTS'!W277/'LOCAL DATASET INPUTS'!W10</f>
        <v>1.3206917708341028E-5</v>
      </c>
      <c r="AI58" s="621">
        <f>'LOCAL DATASET INPUTS'!X277/'LOCAL DATASET INPUTS'!X10</f>
        <v>1.3154300506315764E-5</v>
      </c>
      <c r="AJ58" s="621">
        <f>'LOCAL DATASET INPUTS'!Y277/'LOCAL DATASET INPUTS'!Y10</f>
        <v>1.3101892934577454E-5</v>
      </c>
      <c r="AK58" s="621">
        <f>'LOCAL DATASET INPUTS'!Z277/'LOCAL DATASET INPUTS'!Z10</f>
        <v>1.3049694157945671E-5</v>
      </c>
      <c r="AL58" s="621">
        <f>'LOCAL DATASET INPUTS'!AA277/'LOCAL DATASET INPUTS'!AA10</f>
        <v>1.2997703344567401E-5</v>
      </c>
      <c r="AM58" s="621">
        <f>'LOCAL DATASET INPUTS'!AB277/'LOCAL DATASET INPUTS'!AB10</f>
        <v>1.2945919665903787E-5</v>
      </c>
      <c r="AN58" s="621">
        <f>'LOCAL DATASET INPUTS'!AC277/'LOCAL DATASET INPUTS'!AC10</f>
        <v>1.2894342296716918E-5</v>
      </c>
      <c r="AO58" s="621">
        <f>'LOCAL DATASET INPUTS'!AD277/'LOCAL DATASET INPUTS'!AD10</f>
        <v>1.2842970415056692E-5</v>
      </c>
      <c r="AP58" s="621">
        <f>'LOCAL DATASET INPUTS'!AE277/'LOCAL DATASET INPUTS'!AE10</f>
        <v>1.2791803202247702E-5</v>
      </c>
      <c r="AQ58" s="621">
        <f>'LOCAL DATASET INPUTS'!AF277/'LOCAL DATASET INPUTS'!AF10</f>
        <v>1.2740839842876196E-5</v>
      </c>
      <c r="AR58" s="621">
        <f>'LOCAL DATASET INPUTS'!AG277/'LOCAL DATASET INPUTS'!AG10</f>
        <v>1.2690079524777087E-5</v>
      </c>
      <c r="AS58" s="621">
        <f>'LOCAL DATASET INPUTS'!AH277/'LOCAL DATASET INPUTS'!AH10</f>
        <v>1.2639521439021002E-5</v>
      </c>
      <c r="AT58" s="467"/>
    </row>
    <row r="59" spans="1:46" s="7" customFormat="1" ht="18" customHeight="1">
      <c r="A59" s="37" t="str">
        <f>'LOCAL DATASET INPUTS'!A247</f>
        <v>Road freight</v>
      </c>
      <c r="B59" s="83">
        <f>'LOCAL DATASET INPUTS'!E323/B6</f>
        <v>1.5975664130382566E-4</v>
      </c>
      <c r="C59" s="37"/>
      <c r="D59" s="37"/>
      <c r="E59" s="37"/>
      <c r="F59" s="37"/>
      <c r="G59" s="37"/>
      <c r="H59" s="296" t="str">
        <f>'LOCAL DATASET INPUTS'!A199</f>
        <v>-</v>
      </c>
      <c r="I59" s="282">
        <v>0</v>
      </c>
      <c r="J59" s="37"/>
      <c r="K59" s="37"/>
      <c r="L59" s="782" t="str">
        <f>IF(P47=3,Q1,"")</f>
        <v>•</v>
      </c>
      <c r="M59" s="38"/>
      <c r="O59" s="474" t="str">
        <f t="shared" si="1"/>
        <v>Road freight</v>
      </c>
      <c r="P59" s="621">
        <f>'LOCAL DATASET INPUTS'!E323/B6</f>
        <v>1.5975664130382566E-4</v>
      </c>
      <c r="Q59" s="621">
        <f>'LOCAL DATASET INPUTS'!F323/'LOCAL DATASET INPUTS'!F10</f>
        <v>1.6375055733642126E-4</v>
      </c>
      <c r="R59" s="621">
        <f>'LOCAL DATASET INPUTS'!G323/'LOCAL DATASET INPUTS'!G10</f>
        <v>1.6784432126983176E-4</v>
      </c>
      <c r="S59" s="621">
        <f>'LOCAL DATASET INPUTS'!H323/'LOCAL DATASET INPUTS'!H10</f>
        <v>1.7204042930157756E-4</v>
      </c>
      <c r="T59" s="621">
        <f>'LOCAL DATASET INPUTS'!I323/'LOCAL DATASET INPUTS'!I10</f>
        <v>1.76341440034117E-4</v>
      </c>
      <c r="U59" s="621">
        <f>'LOCAL DATASET INPUTS'!J323/'LOCAL DATASET INPUTS'!J10</f>
        <v>1.807499760349699E-4</v>
      </c>
      <c r="V59" s="621">
        <f>'LOCAL DATASET INPUTS'!K323/'LOCAL DATASET INPUTS'!K10</f>
        <v>1.8526872543584414E-4</v>
      </c>
      <c r="W59" s="621">
        <f>'LOCAL DATASET INPUTS'!L323/'LOCAL DATASET INPUTS'!L10</f>
        <v>1.8990044357174019E-4</v>
      </c>
      <c r="X59" s="621">
        <f>'LOCAL DATASET INPUTS'!M323/'LOCAL DATASET INPUTS'!M10</f>
        <v>1.9464795466103373E-4</v>
      </c>
      <c r="Y59" s="621">
        <f>'LOCAL DATASET INPUTS'!N323/'LOCAL DATASET INPUTS'!N10</f>
        <v>1.9951415352755954E-4</v>
      </c>
      <c r="Z59" s="621">
        <f>'LOCAL DATASET INPUTS'!O323/'LOCAL DATASET INPUTS'!O10</f>
        <v>2.0130262701535635E-4</v>
      </c>
      <c r="AA59" s="621">
        <f>'LOCAL DATASET INPUTS'!P323/'LOCAL DATASET INPUTS'!P10</f>
        <v>2.0310713263601193E-4</v>
      </c>
      <c r="AB59" s="621">
        <f>'LOCAL DATASET INPUTS'!Q323/'LOCAL DATASET INPUTS'!Q10</f>
        <v>2.049278141038646E-4</v>
      </c>
      <c r="AC59" s="621">
        <f>'LOCAL DATASET INPUTS'!R323/'LOCAL DATASET INPUTS'!R10</f>
        <v>2.0676481642152868E-4</v>
      </c>
      <c r="AD59" s="621">
        <f>'LOCAL DATASET INPUTS'!S323/'LOCAL DATASET INPUTS'!S10</f>
        <v>2.0861828589144278E-4</v>
      </c>
      <c r="AE59" s="621">
        <f>'LOCAL DATASET INPUTS'!T323/'LOCAL DATASET INPUTS'!T10</f>
        <v>2.104883701275214E-4</v>
      </c>
      <c r="AF59" s="621">
        <f>'LOCAL DATASET INPUTS'!U323/'LOCAL DATASET INPUTS'!U10</f>
        <v>2.1237521806691153E-4</v>
      </c>
      <c r="AG59" s="621">
        <f>'LOCAL DATASET INPUTS'!V323/'LOCAL DATASET INPUTS'!V10</f>
        <v>2.1427897998185395E-4</v>
      </c>
      <c r="AH59" s="621">
        <f>'LOCAL DATASET INPUTS'!W323/'LOCAL DATASET INPUTS'!W10</f>
        <v>2.1619980749165141E-4</v>
      </c>
      <c r="AI59" s="621">
        <f>'LOCAL DATASET INPUTS'!X323/'LOCAL DATASET INPUTS'!X10</f>
        <v>2.181378535747439E-4</v>
      </c>
      <c r="AJ59" s="621">
        <f>'LOCAL DATASET INPUTS'!Y323/'LOCAL DATASET INPUTS'!Y10</f>
        <v>2.2009327258089195E-4</v>
      </c>
      <c r="AK59" s="621">
        <f>'LOCAL DATASET INPUTS'!Z323/'LOCAL DATASET INPUTS'!Z10</f>
        <v>2.2206622024346963E-4</v>
      </c>
      <c r="AL59" s="621">
        <f>'LOCAL DATASET INPUTS'!AA323/'LOCAL DATASET INPUTS'!AA10</f>
        <v>2.2405685369186726E-4</v>
      </c>
      <c r="AM59" s="621">
        <f>'LOCAL DATASET INPUTS'!AB323/'LOCAL DATASET INPUTS'!AB10</f>
        <v>2.2606533146400548E-4</v>
      </c>
      <c r="AN59" s="621">
        <f>'LOCAL DATASET INPUTS'!AC323/'LOCAL DATASET INPUTS'!AC10</f>
        <v>2.2809181351896168E-4</v>
      </c>
      <c r="AO59" s="621">
        <f>'LOCAL DATASET INPUTS'!AD323/'LOCAL DATASET INPUTS'!AD10</f>
        <v>2.3013646124970931E-4</v>
      </c>
      <c r="AP59" s="621">
        <f>'LOCAL DATASET INPUTS'!AE323/'LOCAL DATASET INPUTS'!AE10</f>
        <v>2.321994374959716E-4</v>
      </c>
      <c r="AQ59" s="621">
        <f>'LOCAL DATASET INPUTS'!AF323/'LOCAL DATASET INPUTS'!AF10</f>
        <v>2.3428090655719044E-4</v>
      </c>
      <c r="AR59" s="621">
        <f>'LOCAL DATASET INPUTS'!AG323/'LOCAL DATASET INPUTS'!AG10</f>
        <v>2.3638103420561146E-4</v>
      </c>
      <c r="AS59" s="621">
        <f>'LOCAL DATASET INPUTS'!AH323/'LOCAL DATASET INPUTS'!AH10</f>
        <v>2.3849998769948642E-4</v>
      </c>
      <c r="AT59" s="467"/>
    </row>
    <row r="60" spans="1:46" s="7" customFormat="1" ht="18" customHeight="1">
      <c r="A60" s="72" t="str">
        <f>'LOCAL DATASET INPUTS'!A248</f>
        <v>Inland waterways freight</v>
      </c>
      <c r="B60" s="90">
        <f>'LOCAL DATASET INPUTS'!E349/B6</f>
        <v>0</v>
      </c>
      <c r="C60" s="37"/>
      <c r="D60" s="37"/>
      <c r="E60" s="37"/>
      <c r="F60" s="37"/>
      <c r="G60" s="37"/>
      <c r="H60" s="296" t="str">
        <f>'LOCAL DATASET INPUTS'!A200</f>
        <v>-</v>
      </c>
      <c r="I60" s="282">
        <v>0</v>
      </c>
      <c r="J60" s="37"/>
      <c r="K60" s="37"/>
      <c r="L60" s="781"/>
      <c r="M60" s="38"/>
      <c r="O60" s="474" t="str">
        <f t="shared" si="1"/>
        <v>Inland waterways freight</v>
      </c>
      <c r="P60" s="621">
        <f>'LOCAL DATASET INPUTS'!E349/B6</f>
        <v>0</v>
      </c>
      <c r="Q60" s="621">
        <f>'LOCAL DATASET INPUTS'!F349/'LOCAL DATASET INPUTS'!F10</f>
        <v>0</v>
      </c>
      <c r="R60" s="621">
        <f>'LOCAL DATASET INPUTS'!G349/'LOCAL DATASET INPUTS'!G10</f>
        <v>0</v>
      </c>
      <c r="S60" s="621">
        <f>'LOCAL DATASET INPUTS'!H349/'LOCAL DATASET INPUTS'!H10</f>
        <v>0</v>
      </c>
      <c r="T60" s="621">
        <f>'LOCAL DATASET INPUTS'!I349/'LOCAL DATASET INPUTS'!I10</f>
        <v>0</v>
      </c>
      <c r="U60" s="621">
        <f>'LOCAL DATASET INPUTS'!J349/'LOCAL DATASET INPUTS'!J10</f>
        <v>0</v>
      </c>
      <c r="V60" s="621">
        <f>'LOCAL DATASET INPUTS'!K349/'LOCAL DATASET INPUTS'!K10</f>
        <v>0</v>
      </c>
      <c r="W60" s="621">
        <f>'LOCAL DATASET INPUTS'!L349/'LOCAL DATASET INPUTS'!L10</f>
        <v>0</v>
      </c>
      <c r="X60" s="621">
        <f>'LOCAL DATASET INPUTS'!M349/'LOCAL DATASET INPUTS'!M10</f>
        <v>0</v>
      </c>
      <c r="Y60" s="621">
        <f>'LOCAL DATASET INPUTS'!N349/'LOCAL DATASET INPUTS'!N10</f>
        <v>0</v>
      </c>
      <c r="Z60" s="621">
        <f>'LOCAL DATASET INPUTS'!O349/'LOCAL DATASET INPUTS'!O10</f>
        <v>0</v>
      </c>
      <c r="AA60" s="621">
        <f>'LOCAL DATASET INPUTS'!P349/'LOCAL DATASET INPUTS'!P10</f>
        <v>0</v>
      </c>
      <c r="AB60" s="621">
        <f>'LOCAL DATASET INPUTS'!Q349/'LOCAL DATASET INPUTS'!Q10</f>
        <v>0</v>
      </c>
      <c r="AC60" s="621">
        <f>'LOCAL DATASET INPUTS'!R349/'LOCAL DATASET INPUTS'!R10</f>
        <v>0</v>
      </c>
      <c r="AD60" s="621">
        <f>'LOCAL DATASET INPUTS'!S349/'LOCAL DATASET INPUTS'!S10</f>
        <v>0</v>
      </c>
      <c r="AE60" s="621">
        <f>'LOCAL DATASET INPUTS'!T349/'LOCAL DATASET INPUTS'!T10</f>
        <v>0</v>
      </c>
      <c r="AF60" s="621">
        <f>'LOCAL DATASET INPUTS'!U349/'LOCAL DATASET INPUTS'!U10</f>
        <v>0</v>
      </c>
      <c r="AG60" s="621">
        <f>'LOCAL DATASET INPUTS'!V349/'LOCAL DATASET INPUTS'!V10</f>
        <v>0</v>
      </c>
      <c r="AH60" s="621">
        <f>'LOCAL DATASET INPUTS'!W349/'LOCAL DATASET INPUTS'!W10</f>
        <v>0</v>
      </c>
      <c r="AI60" s="621">
        <f>'LOCAL DATASET INPUTS'!X349/'LOCAL DATASET INPUTS'!X10</f>
        <v>0</v>
      </c>
      <c r="AJ60" s="621">
        <f>'LOCAL DATASET INPUTS'!Y349/'LOCAL DATASET INPUTS'!Y10</f>
        <v>0</v>
      </c>
      <c r="AK60" s="621">
        <f>'LOCAL DATASET INPUTS'!Z349/'LOCAL DATASET INPUTS'!Z10</f>
        <v>0</v>
      </c>
      <c r="AL60" s="621">
        <f>'LOCAL DATASET INPUTS'!AA349/'LOCAL DATASET INPUTS'!AA10</f>
        <v>0</v>
      </c>
      <c r="AM60" s="621">
        <f>'LOCAL DATASET INPUTS'!AB349/'LOCAL DATASET INPUTS'!AB10</f>
        <v>0</v>
      </c>
      <c r="AN60" s="621">
        <f>'LOCAL DATASET INPUTS'!AC349/'LOCAL DATASET INPUTS'!AC10</f>
        <v>0</v>
      </c>
      <c r="AO60" s="621">
        <f>'LOCAL DATASET INPUTS'!AD349/'LOCAL DATASET INPUTS'!AD10</f>
        <v>0</v>
      </c>
      <c r="AP60" s="621">
        <f>'LOCAL DATASET INPUTS'!AE349/'LOCAL DATASET INPUTS'!AE10</f>
        <v>0</v>
      </c>
      <c r="AQ60" s="621">
        <f>'LOCAL DATASET INPUTS'!AF349/'LOCAL DATASET INPUTS'!AF10</f>
        <v>0</v>
      </c>
      <c r="AR60" s="621">
        <f>'LOCAL DATASET INPUTS'!AG349/'LOCAL DATASET INPUTS'!AG10</f>
        <v>0</v>
      </c>
      <c r="AS60" s="621">
        <f>'LOCAL DATASET INPUTS'!AH349/'LOCAL DATASET INPUTS'!AH10</f>
        <v>0</v>
      </c>
      <c r="AT60" s="467"/>
    </row>
    <row r="61" spans="1:46" s="7" customFormat="1" ht="18" customHeight="1">
      <c r="A61" s="27" t="s">
        <v>100</v>
      </c>
      <c r="B61" s="83">
        <f>SUM(B53:B60)</f>
        <v>1.4127912121381327</v>
      </c>
      <c r="C61" s="37"/>
      <c r="D61" s="37"/>
      <c r="E61" s="37"/>
      <c r="F61" s="37"/>
      <c r="G61" s="37"/>
      <c r="H61" s="296" t="str">
        <f>'LOCAL DATASET INPUTS'!A201</f>
        <v>-</v>
      </c>
      <c r="I61" s="282">
        <v>0</v>
      </c>
      <c r="J61" s="37"/>
      <c r="K61" s="37"/>
      <c r="L61" s="37"/>
      <c r="M61" s="38"/>
      <c r="O61" s="474" t="str">
        <f t="shared" si="1"/>
        <v>Total</v>
      </c>
      <c r="P61" s="620">
        <f>SUM(P53:P60)</f>
        <v>1.4127912121381327</v>
      </c>
      <c r="Q61" s="620">
        <f t="shared" ref="Q61:AS61" si="2">SUM(Q53:Q60)</f>
        <v>1.4386141096032012</v>
      </c>
      <c r="R61" s="620">
        <f t="shared" si="2"/>
        <v>1.4631310811807898</v>
      </c>
      <c r="S61" s="620">
        <f t="shared" si="2"/>
        <v>1.488234799999876</v>
      </c>
      <c r="T61" s="620">
        <f t="shared" si="2"/>
        <v>1.5137797263217707</v>
      </c>
      <c r="U61" s="620">
        <f t="shared" si="2"/>
        <v>1.539713575473471</v>
      </c>
      <c r="V61" s="620">
        <f t="shared" si="2"/>
        <v>1.5671304498993999</v>
      </c>
      <c r="W61" s="620">
        <f t="shared" si="2"/>
        <v>1.5940837232919742</v>
      </c>
      <c r="X61" s="620">
        <f t="shared" si="2"/>
        <v>1.6218376907676095</v>
      </c>
      <c r="Y61" s="620">
        <f t="shared" si="2"/>
        <v>1.6500053171292597</v>
      </c>
      <c r="Z61" s="620">
        <f t="shared" si="2"/>
        <v>1.6717599631585134</v>
      </c>
      <c r="AA61" s="620">
        <f t="shared" si="2"/>
        <v>1.6943002449639453</v>
      </c>
      <c r="AB61" s="620">
        <f t="shared" si="2"/>
        <v>1.7169906230752534</v>
      </c>
      <c r="AC61" s="620">
        <f t="shared" si="2"/>
        <v>1.7399951384759089</v>
      </c>
      <c r="AD61" s="620">
        <f t="shared" si="2"/>
        <v>1.7629142333027559</v>
      </c>
      <c r="AE61" s="620">
        <f t="shared" si="2"/>
        <v>1.7866398250799063</v>
      </c>
      <c r="AF61" s="620">
        <f t="shared" si="2"/>
        <v>1.8108550228777158</v>
      </c>
      <c r="AG61" s="620">
        <f t="shared" si="2"/>
        <v>1.8349976916868975</v>
      </c>
      <c r="AH61" s="620">
        <f t="shared" si="2"/>
        <v>1.8591512846826639</v>
      </c>
      <c r="AI61" s="620">
        <f t="shared" si="2"/>
        <v>1.8835654257279857</v>
      </c>
      <c r="AJ61" s="620">
        <f t="shared" si="2"/>
        <v>1.9083268990115856</v>
      </c>
      <c r="AK61" s="620">
        <f t="shared" si="2"/>
        <v>1.9334405164209156</v>
      </c>
      <c r="AL61" s="620">
        <f t="shared" si="2"/>
        <v>1.9589111570853017</v>
      </c>
      <c r="AM61" s="620">
        <f t="shared" si="2"/>
        <v>1.9847437683129039</v>
      </c>
      <c r="AN61" s="620">
        <f t="shared" si="2"/>
        <v>2.0109433665407384</v>
      </c>
      <c r="AO61" s="620">
        <f t="shared" si="2"/>
        <v>2.0375150382979377</v>
      </c>
      <c r="AP61" s="620">
        <f t="shared" si="2"/>
        <v>2.0644639411824497</v>
      </c>
      <c r="AQ61" s="620">
        <f t="shared" si="2"/>
        <v>2.0917953048513485</v>
      </c>
      <c r="AR61" s="620">
        <f t="shared" si="2"/>
        <v>2.1195144320249537</v>
      </c>
      <c r="AS61" s="620">
        <f t="shared" si="2"/>
        <v>2.1476266995049462</v>
      </c>
      <c r="AT61" s="467"/>
    </row>
    <row r="62" spans="1:46" s="7" customFormat="1" ht="18" customHeight="1">
      <c r="A62" s="27"/>
      <c r="B62" s="37"/>
      <c r="C62" s="37"/>
      <c r="D62" s="37"/>
      <c r="E62" s="37"/>
      <c r="F62" s="37"/>
      <c r="G62" s="37"/>
      <c r="H62" s="296" t="str">
        <f>'LOCAL DATASET INPUTS'!A202</f>
        <v>-</v>
      </c>
      <c r="I62" s="282">
        <v>0</v>
      </c>
      <c r="J62" s="37"/>
      <c r="K62" s="37"/>
      <c r="L62" s="755" t="s">
        <v>779</v>
      </c>
      <c r="M62" s="38"/>
      <c r="O62" s="475"/>
      <c r="P62" s="475"/>
      <c r="Q62" s="475"/>
      <c r="R62" s="475"/>
      <c r="S62" s="475"/>
      <c r="T62" s="475"/>
      <c r="U62" s="475"/>
      <c r="V62" s="475"/>
      <c r="W62" s="475"/>
      <c r="X62" s="475"/>
      <c r="Y62" s="475"/>
      <c r="Z62" s="475"/>
      <c r="AA62" s="475"/>
      <c r="AB62" s="475"/>
      <c r="AC62" s="475"/>
      <c r="AD62" s="475"/>
      <c r="AE62" s="475"/>
      <c r="AF62" s="475"/>
      <c r="AG62" s="475"/>
      <c r="AH62" s="475"/>
      <c r="AI62" s="475"/>
      <c r="AJ62" s="475"/>
      <c r="AK62" s="475"/>
      <c r="AL62" s="475"/>
      <c r="AM62" s="475"/>
      <c r="AN62" s="475"/>
      <c r="AO62" s="475"/>
      <c r="AP62" s="475"/>
      <c r="AQ62" s="475"/>
      <c r="AR62" s="475"/>
      <c r="AS62" s="475"/>
      <c r="AT62" s="467"/>
    </row>
    <row r="63" spans="1:46" s="7" customFormat="1" ht="18" customHeight="1">
      <c r="A63" s="27"/>
      <c r="B63" s="37"/>
      <c r="C63" s="37"/>
      <c r="D63" s="37"/>
      <c r="E63" s="37"/>
      <c r="F63" s="37"/>
      <c r="G63" s="37"/>
      <c r="H63" s="296" t="str">
        <f>'LOCAL DATASET INPUTS'!A203</f>
        <v>-</v>
      </c>
      <c r="I63" s="282">
        <v>0</v>
      </c>
      <c r="J63" s="37"/>
      <c r="K63" s="37"/>
      <c r="L63" s="780"/>
      <c r="M63" s="38"/>
      <c r="O63" s="475" t="s">
        <v>589</v>
      </c>
      <c r="P63" s="475"/>
      <c r="Q63" s="475"/>
      <c r="R63" s="475"/>
      <c r="S63" s="475"/>
      <c r="T63" s="475"/>
      <c r="U63" s="475"/>
      <c r="V63" s="475"/>
      <c r="W63" s="475"/>
      <c r="X63" s="475"/>
      <c r="Y63" s="475"/>
      <c r="Z63" s="475"/>
      <c r="AA63" s="475"/>
      <c r="AB63" s="475"/>
      <c r="AC63" s="475"/>
      <c r="AD63" s="475"/>
      <c r="AE63" s="475"/>
      <c r="AF63" s="475"/>
      <c r="AG63" s="475"/>
      <c r="AH63" s="475"/>
      <c r="AI63" s="475"/>
      <c r="AJ63" s="475"/>
      <c r="AK63" s="475"/>
      <c r="AL63" s="475"/>
      <c r="AM63" s="475"/>
      <c r="AN63" s="475"/>
      <c r="AO63" s="475"/>
      <c r="AP63" s="475"/>
      <c r="AQ63" s="475"/>
      <c r="AR63" s="475"/>
      <c r="AS63" s="475"/>
      <c r="AT63" s="467"/>
    </row>
    <row r="64" spans="1:46" s="7" customFormat="1" ht="18" customHeight="1">
      <c r="A64" s="27"/>
      <c r="B64" s="37"/>
      <c r="C64" s="37"/>
      <c r="D64" s="37"/>
      <c r="E64" s="37"/>
      <c r="F64" s="37"/>
      <c r="G64" s="37"/>
      <c r="H64" s="296" t="str">
        <f>'LOCAL DATASET INPUTS'!A204</f>
        <v>-</v>
      </c>
      <c r="I64" s="282">
        <v>0</v>
      </c>
      <c r="J64" s="37"/>
      <c r="K64" s="37"/>
      <c r="L64" s="784" t="str">
        <f>IF(P47=1,Q1,"")</f>
        <v/>
      </c>
      <c r="M64" s="38"/>
      <c r="O64" s="476" t="s">
        <v>562</v>
      </c>
      <c r="P64" s="477">
        <v>2021</v>
      </c>
      <c r="Q64" s="477">
        <f>P64+1</f>
        <v>2022</v>
      </c>
      <c r="R64" s="477">
        <f t="shared" ref="R64:AS64" si="3">Q64+1</f>
        <v>2023</v>
      </c>
      <c r="S64" s="477">
        <f t="shared" si="3"/>
        <v>2024</v>
      </c>
      <c r="T64" s="477">
        <f t="shared" si="3"/>
        <v>2025</v>
      </c>
      <c r="U64" s="477">
        <f t="shared" si="3"/>
        <v>2026</v>
      </c>
      <c r="V64" s="477">
        <f t="shared" si="3"/>
        <v>2027</v>
      </c>
      <c r="W64" s="477">
        <f t="shared" si="3"/>
        <v>2028</v>
      </c>
      <c r="X64" s="477">
        <f t="shared" si="3"/>
        <v>2029</v>
      </c>
      <c r="Y64" s="477">
        <f t="shared" si="3"/>
        <v>2030</v>
      </c>
      <c r="Z64" s="477">
        <f t="shared" si="3"/>
        <v>2031</v>
      </c>
      <c r="AA64" s="477">
        <f t="shared" si="3"/>
        <v>2032</v>
      </c>
      <c r="AB64" s="477">
        <f t="shared" si="3"/>
        <v>2033</v>
      </c>
      <c r="AC64" s="477">
        <f t="shared" si="3"/>
        <v>2034</v>
      </c>
      <c r="AD64" s="477">
        <f t="shared" si="3"/>
        <v>2035</v>
      </c>
      <c r="AE64" s="477">
        <f t="shared" si="3"/>
        <v>2036</v>
      </c>
      <c r="AF64" s="477">
        <f t="shared" si="3"/>
        <v>2037</v>
      </c>
      <c r="AG64" s="477">
        <f t="shared" si="3"/>
        <v>2038</v>
      </c>
      <c r="AH64" s="477">
        <f t="shared" si="3"/>
        <v>2039</v>
      </c>
      <c r="AI64" s="477">
        <f t="shared" si="3"/>
        <v>2040</v>
      </c>
      <c r="AJ64" s="477">
        <f t="shared" si="3"/>
        <v>2041</v>
      </c>
      <c r="AK64" s="477">
        <f t="shared" si="3"/>
        <v>2042</v>
      </c>
      <c r="AL64" s="477">
        <f t="shared" si="3"/>
        <v>2043</v>
      </c>
      <c r="AM64" s="477">
        <f t="shared" si="3"/>
        <v>2044</v>
      </c>
      <c r="AN64" s="477">
        <f t="shared" si="3"/>
        <v>2045</v>
      </c>
      <c r="AO64" s="477">
        <f t="shared" si="3"/>
        <v>2046</v>
      </c>
      <c r="AP64" s="477">
        <f t="shared" si="3"/>
        <v>2047</v>
      </c>
      <c r="AQ64" s="477">
        <f t="shared" si="3"/>
        <v>2048</v>
      </c>
      <c r="AR64" s="477">
        <f t="shared" si="3"/>
        <v>2049</v>
      </c>
      <c r="AS64" s="477">
        <f t="shared" si="3"/>
        <v>2050</v>
      </c>
      <c r="AT64" s="467"/>
    </row>
    <row r="65" spans="1:46" s="7" customFormat="1" ht="18" customHeight="1">
      <c r="A65" s="27"/>
      <c r="B65" s="37"/>
      <c r="C65" s="37"/>
      <c r="D65" s="37"/>
      <c r="E65" s="37"/>
      <c r="F65" s="37"/>
      <c r="G65" s="37"/>
      <c r="H65" s="296" t="str">
        <f>'LOCAL DATASET INPUTS'!A205</f>
        <v>-</v>
      </c>
      <c r="I65" s="282">
        <v>0</v>
      </c>
      <c r="J65" s="37"/>
      <c r="K65" s="37"/>
      <c r="L65" s="780"/>
      <c r="M65" s="38"/>
      <c r="O65" s="478" t="s">
        <v>559</v>
      </c>
      <c r="P65" s="479">
        <f>'LOCAL DATASET INPUTS'!E10</f>
        <v>15000</v>
      </c>
      <c r="Q65" s="479">
        <f>'LOCAL DATASET INPUTS'!F10</f>
        <v>15000</v>
      </c>
      <c r="R65" s="479">
        <f>'LOCAL DATASET INPUTS'!G10</f>
        <v>15000</v>
      </c>
      <c r="S65" s="479">
        <f>'LOCAL DATASET INPUTS'!H10</f>
        <v>15000</v>
      </c>
      <c r="T65" s="479">
        <f>'LOCAL DATASET INPUTS'!I10</f>
        <v>15000</v>
      </c>
      <c r="U65" s="479">
        <f>'LOCAL DATASET INPUTS'!J10</f>
        <v>15000</v>
      </c>
      <c r="V65" s="479">
        <f>'LOCAL DATASET INPUTS'!K10</f>
        <v>15000</v>
      </c>
      <c r="W65" s="479">
        <f>'LOCAL DATASET INPUTS'!L10</f>
        <v>15000</v>
      </c>
      <c r="X65" s="479">
        <f>'LOCAL DATASET INPUTS'!M10</f>
        <v>15000</v>
      </c>
      <c r="Y65" s="479">
        <f>'LOCAL DATASET INPUTS'!N10</f>
        <v>15000</v>
      </c>
      <c r="Z65" s="479">
        <f>'LOCAL DATASET INPUTS'!O10</f>
        <v>15060</v>
      </c>
      <c r="AA65" s="479">
        <f>'LOCAL DATASET INPUTS'!P10</f>
        <v>15120.24</v>
      </c>
      <c r="AB65" s="479">
        <f>'LOCAL DATASET INPUTS'!Q10</f>
        <v>15180.720960000001</v>
      </c>
      <c r="AC65" s="479">
        <f>'LOCAL DATASET INPUTS'!R10</f>
        <v>15241.443843840001</v>
      </c>
      <c r="AD65" s="479">
        <f>'LOCAL DATASET INPUTS'!S10</f>
        <v>15302.409619215361</v>
      </c>
      <c r="AE65" s="479">
        <f>'LOCAL DATASET INPUTS'!T10</f>
        <v>15363.619257692222</v>
      </c>
      <c r="AF65" s="479">
        <f>'LOCAL DATASET INPUTS'!U10</f>
        <v>15425.073734722992</v>
      </c>
      <c r="AG65" s="479">
        <f>'LOCAL DATASET INPUTS'!V10</f>
        <v>15486.774029661883</v>
      </c>
      <c r="AH65" s="479">
        <f>'LOCAL DATASET INPUTS'!W10</f>
        <v>15548.72112578053</v>
      </c>
      <c r="AI65" s="479">
        <f>'LOCAL DATASET INPUTS'!X10</f>
        <v>15610.916010283652</v>
      </c>
      <c r="AJ65" s="479">
        <f>'LOCAL DATASET INPUTS'!Y10</f>
        <v>15673.359674324787</v>
      </c>
      <c r="AK65" s="479">
        <f>'LOCAL DATASET INPUTS'!Z10</f>
        <v>15736.053113022086</v>
      </c>
      <c r="AL65" s="479">
        <f>'LOCAL DATASET INPUTS'!AA10</f>
        <v>15798.997325474174</v>
      </c>
      <c r="AM65" s="479">
        <f>'LOCAL DATASET INPUTS'!AB10</f>
        <v>15862.193314776072</v>
      </c>
      <c r="AN65" s="479">
        <f>'LOCAL DATASET INPUTS'!AC10</f>
        <v>15925.642088035176</v>
      </c>
      <c r="AO65" s="479">
        <f>'LOCAL DATASET INPUTS'!AD10</f>
        <v>15989.344656387317</v>
      </c>
      <c r="AP65" s="479">
        <f>'LOCAL DATASET INPUTS'!AE10</f>
        <v>16053.302035012866</v>
      </c>
      <c r="AQ65" s="479">
        <f>'LOCAL DATASET INPUTS'!AF10</f>
        <v>16117.515243152919</v>
      </c>
      <c r="AR65" s="479">
        <f>'LOCAL DATASET INPUTS'!AG10</f>
        <v>16181.98530412553</v>
      </c>
      <c r="AS65" s="479">
        <f>'LOCAL DATASET INPUTS'!AH10</f>
        <v>16246.713245342033</v>
      </c>
      <c r="AT65" s="467" t="s">
        <v>566</v>
      </c>
    </row>
    <row r="66" spans="1:46" s="7" customFormat="1" ht="18" customHeight="1">
      <c r="A66" s="27"/>
      <c r="B66" s="37"/>
      <c r="C66" s="37"/>
      <c r="D66" s="37"/>
      <c r="E66" s="37"/>
      <c r="F66" s="37"/>
      <c r="G66" s="37"/>
      <c r="H66" s="296" t="str">
        <f>'LOCAL DATASET INPUTS'!A206</f>
        <v>-</v>
      </c>
      <c r="I66" s="282">
        <v>0</v>
      </c>
      <c r="J66" s="37"/>
      <c r="K66" s="37"/>
      <c r="L66" s="783" t="str">
        <f>IF(P47=2,Q1,"")</f>
        <v/>
      </c>
      <c r="M66" s="38"/>
      <c r="O66" s="506" t="s">
        <v>560</v>
      </c>
      <c r="P66" s="515">
        <f>IF(AND((P64-2019)&gt;$B$78,(P64-2021)&lt;$C$78),($B$76/($C$78-$B$78+1)),0)</f>
        <v>0</v>
      </c>
      <c r="Q66" s="515">
        <f>IF(AND((Q64-2019)&gt;$B$78,(Q64-2021)&lt;$C$78),(P66+($B$76/($C$78-$B$78+1))),P66)</f>
        <v>0</v>
      </c>
      <c r="R66" s="515">
        <f t="shared" ref="R66:AS66" si="4">IF(AND((R64-2019)&gt;$B$78,(R64-2021)&lt;$C$78),(Q66+($B$76/($C$78-$B$78+1))),Q66)</f>
        <v>0</v>
      </c>
      <c r="S66" s="515">
        <f t="shared" si="4"/>
        <v>0</v>
      </c>
      <c r="T66" s="515">
        <f t="shared" si="4"/>
        <v>16666.666666666668</v>
      </c>
      <c r="U66" s="515">
        <f t="shared" si="4"/>
        <v>33333.333333333336</v>
      </c>
      <c r="V66" s="515">
        <f t="shared" si="4"/>
        <v>50000</v>
      </c>
      <c r="W66" s="515">
        <f t="shared" si="4"/>
        <v>66666.666666666672</v>
      </c>
      <c r="X66" s="515">
        <f t="shared" si="4"/>
        <v>83333.333333333343</v>
      </c>
      <c r="Y66" s="515">
        <f t="shared" si="4"/>
        <v>100000.00000000001</v>
      </c>
      <c r="Z66" s="515">
        <f t="shared" si="4"/>
        <v>100000.00000000001</v>
      </c>
      <c r="AA66" s="515">
        <f t="shared" si="4"/>
        <v>100000.00000000001</v>
      </c>
      <c r="AB66" s="515">
        <f t="shared" si="4"/>
        <v>100000.00000000001</v>
      </c>
      <c r="AC66" s="515">
        <f t="shared" si="4"/>
        <v>100000.00000000001</v>
      </c>
      <c r="AD66" s="515">
        <f t="shared" si="4"/>
        <v>100000.00000000001</v>
      </c>
      <c r="AE66" s="515">
        <f t="shared" si="4"/>
        <v>100000.00000000001</v>
      </c>
      <c r="AF66" s="515">
        <f t="shared" si="4"/>
        <v>100000.00000000001</v>
      </c>
      <c r="AG66" s="515">
        <f t="shared" si="4"/>
        <v>100000.00000000001</v>
      </c>
      <c r="AH66" s="515">
        <f t="shared" si="4"/>
        <v>100000.00000000001</v>
      </c>
      <c r="AI66" s="515">
        <f t="shared" si="4"/>
        <v>100000.00000000001</v>
      </c>
      <c r="AJ66" s="515">
        <f t="shared" si="4"/>
        <v>100000.00000000001</v>
      </c>
      <c r="AK66" s="515">
        <f t="shared" si="4"/>
        <v>100000.00000000001</v>
      </c>
      <c r="AL66" s="515">
        <f t="shared" si="4"/>
        <v>100000.00000000001</v>
      </c>
      <c r="AM66" s="515">
        <f t="shared" si="4"/>
        <v>100000.00000000001</v>
      </c>
      <c r="AN66" s="515">
        <f t="shared" si="4"/>
        <v>100000.00000000001</v>
      </c>
      <c r="AO66" s="515">
        <f t="shared" si="4"/>
        <v>100000.00000000001</v>
      </c>
      <c r="AP66" s="515">
        <f t="shared" si="4"/>
        <v>100000.00000000001</v>
      </c>
      <c r="AQ66" s="515">
        <f t="shared" si="4"/>
        <v>100000.00000000001</v>
      </c>
      <c r="AR66" s="515">
        <f t="shared" si="4"/>
        <v>100000.00000000001</v>
      </c>
      <c r="AS66" s="515">
        <f t="shared" si="4"/>
        <v>100000.00000000001</v>
      </c>
      <c r="AT66" s="467" t="s">
        <v>567</v>
      </c>
    </row>
    <row r="67" spans="1:46" s="7" customFormat="1" ht="18" customHeight="1">
      <c r="A67" s="27"/>
      <c r="B67" s="37"/>
      <c r="C67" s="37"/>
      <c r="D67" s="37"/>
      <c r="E67" s="37"/>
      <c r="F67" s="37"/>
      <c r="G67" s="37"/>
      <c r="H67" s="296" t="str">
        <f>'LOCAL DATASET INPUTS'!A207</f>
        <v>-</v>
      </c>
      <c r="I67" s="282">
        <v>0</v>
      </c>
      <c r="J67" s="37"/>
      <c r="K67" s="37"/>
      <c r="L67" s="780"/>
      <c r="M67" s="38"/>
      <c r="O67" s="478" t="s">
        <v>100</v>
      </c>
      <c r="P67" s="479">
        <f>SUM(P65:P66)</f>
        <v>15000</v>
      </c>
      <c r="Q67" s="479">
        <f t="shared" ref="Q67:AS67" si="5">SUM(Q65:Q66)</f>
        <v>15000</v>
      </c>
      <c r="R67" s="479">
        <f t="shared" si="5"/>
        <v>15000</v>
      </c>
      <c r="S67" s="479">
        <f t="shared" si="5"/>
        <v>15000</v>
      </c>
      <c r="T67" s="479">
        <f t="shared" si="5"/>
        <v>31666.666666666668</v>
      </c>
      <c r="U67" s="479">
        <f t="shared" si="5"/>
        <v>48333.333333333336</v>
      </c>
      <c r="V67" s="479">
        <f t="shared" si="5"/>
        <v>65000</v>
      </c>
      <c r="W67" s="479">
        <f t="shared" si="5"/>
        <v>81666.666666666672</v>
      </c>
      <c r="X67" s="479">
        <f t="shared" si="5"/>
        <v>98333.333333333343</v>
      </c>
      <c r="Y67" s="479">
        <f t="shared" si="5"/>
        <v>115000.00000000001</v>
      </c>
      <c r="Z67" s="479">
        <f t="shared" si="5"/>
        <v>115060.00000000001</v>
      </c>
      <c r="AA67" s="479">
        <f t="shared" si="5"/>
        <v>115120.24000000002</v>
      </c>
      <c r="AB67" s="479">
        <f t="shared" si="5"/>
        <v>115180.72096000002</v>
      </c>
      <c r="AC67" s="479">
        <f t="shared" si="5"/>
        <v>115241.44384384001</v>
      </c>
      <c r="AD67" s="479">
        <f t="shared" si="5"/>
        <v>115302.40961921538</v>
      </c>
      <c r="AE67" s="479">
        <f t="shared" si="5"/>
        <v>115363.61925769223</v>
      </c>
      <c r="AF67" s="479">
        <f t="shared" si="5"/>
        <v>115425.073734723</v>
      </c>
      <c r="AG67" s="479">
        <f t="shared" si="5"/>
        <v>115486.7740296619</v>
      </c>
      <c r="AH67" s="479">
        <f t="shared" si="5"/>
        <v>115548.72112578055</v>
      </c>
      <c r="AI67" s="479">
        <f t="shared" si="5"/>
        <v>115610.91601028366</v>
      </c>
      <c r="AJ67" s="479">
        <f t="shared" si="5"/>
        <v>115673.35967432481</v>
      </c>
      <c r="AK67" s="479">
        <f t="shared" si="5"/>
        <v>115736.05311302211</v>
      </c>
      <c r="AL67" s="479">
        <f t="shared" si="5"/>
        <v>115798.99732547419</v>
      </c>
      <c r="AM67" s="479">
        <f t="shared" si="5"/>
        <v>115862.19331477609</v>
      </c>
      <c r="AN67" s="479">
        <f t="shared" si="5"/>
        <v>115925.64208803519</v>
      </c>
      <c r="AO67" s="479">
        <f t="shared" si="5"/>
        <v>115989.34465638733</v>
      </c>
      <c r="AP67" s="479">
        <f t="shared" si="5"/>
        <v>116053.30203501288</v>
      </c>
      <c r="AQ67" s="479">
        <f t="shared" si="5"/>
        <v>116117.51524315293</v>
      </c>
      <c r="AR67" s="479">
        <f t="shared" si="5"/>
        <v>116181.98530412554</v>
      </c>
      <c r="AS67" s="479">
        <f t="shared" si="5"/>
        <v>116246.71324534205</v>
      </c>
      <c r="AT67" s="467" t="s">
        <v>568</v>
      </c>
    </row>
    <row r="68" spans="1:46" s="7" customFormat="1" ht="18" customHeight="1">
      <c r="A68" s="27"/>
      <c r="B68" s="37"/>
      <c r="C68" s="37"/>
      <c r="D68" s="37"/>
      <c r="E68" s="37"/>
      <c r="F68" s="37"/>
      <c r="G68" s="37"/>
      <c r="H68" s="296" t="str">
        <f>'LOCAL DATASET INPUTS'!A208</f>
        <v>-</v>
      </c>
      <c r="I68" s="282">
        <v>0</v>
      </c>
      <c r="J68" s="37"/>
      <c r="K68" s="37"/>
      <c r="L68" s="782" t="str">
        <f>IF(P47=3,Q1,"")</f>
        <v>•</v>
      </c>
      <c r="M68" s="38"/>
      <c r="O68" s="481" t="s">
        <v>561</v>
      </c>
      <c r="P68" s="493">
        <f t="shared" ref="P68:AS68" si="6">P67/P65</f>
        <v>1</v>
      </c>
      <c r="Q68" s="493">
        <f t="shared" si="6"/>
        <v>1</v>
      </c>
      <c r="R68" s="493">
        <f t="shared" si="6"/>
        <v>1</v>
      </c>
      <c r="S68" s="493">
        <f t="shared" si="6"/>
        <v>1</v>
      </c>
      <c r="T68" s="493">
        <f t="shared" si="6"/>
        <v>2.1111111111111112</v>
      </c>
      <c r="U68" s="493">
        <f t="shared" si="6"/>
        <v>3.2222222222222223</v>
      </c>
      <c r="V68" s="493">
        <f t="shared" si="6"/>
        <v>4.333333333333333</v>
      </c>
      <c r="W68" s="493">
        <f t="shared" si="6"/>
        <v>5.4444444444444446</v>
      </c>
      <c r="X68" s="493">
        <f t="shared" si="6"/>
        <v>6.5555555555555562</v>
      </c>
      <c r="Y68" s="493">
        <f t="shared" si="6"/>
        <v>7.6666666666666679</v>
      </c>
      <c r="Z68" s="493">
        <f t="shared" si="6"/>
        <v>7.6401062416998684</v>
      </c>
      <c r="AA68" s="493">
        <f t="shared" si="6"/>
        <v>7.6136516351592318</v>
      </c>
      <c r="AB68" s="493">
        <f t="shared" si="6"/>
        <v>7.587302425457402</v>
      </c>
      <c r="AC68" s="493">
        <f t="shared" si="6"/>
        <v>7.5610581926866542</v>
      </c>
      <c r="AD68" s="493">
        <f t="shared" si="6"/>
        <v>7.5349185186122059</v>
      </c>
      <c r="AE68" s="493">
        <f t="shared" si="6"/>
        <v>7.5088829866655438</v>
      </c>
      <c r="AF68" s="493">
        <f t="shared" si="6"/>
        <v>7.4829511819377919</v>
      </c>
      <c r="AG68" s="493">
        <f t="shared" si="6"/>
        <v>7.4571226911731001</v>
      </c>
      <c r="AH68" s="493">
        <f t="shared" si="6"/>
        <v>7.4313971027620518</v>
      </c>
      <c r="AI68" s="493">
        <f t="shared" si="6"/>
        <v>7.4057740067351112</v>
      </c>
      <c r="AJ68" s="493">
        <f t="shared" si="6"/>
        <v>7.3802529947560878</v>
      </c>
      <c r="AK68" s="493">
        <f t="shared" si="6"/>
        <v>7.3548336601156254</v>
      </c>
      <c r="AL68" s="493">
        <f t="shared" si="6"/>
        <v>7.3295155977247264</v>
      </c>
      <c r="AM68" s="493">
        <f t="shared" si="6"/>
        <v>7.3042984041082928</v>
      </c>
      <c r="AN68" s="493">
        <f t="shared" si="6"/>
        <v>7.2791816773986975</v>
      </c>
      <c r="AO68" s="493">
        <f t="shared" si="6"/>
        <v>7.2541650173293801</v>
      </c>
      <c r="AP68" s="493">
        <f t="shared" si="6"/>
        <v>7.2292480252284657</v>
      </c>
      <c r="AQ68" s="493">
        <f t="shared" si="6"/>
        <v>7.2044303040124156</v>
      </c>
      <c r="AR68" s="493">
        <f t="shared" si="6"/>
        <v>7.179711458179697</v>
      </c>
      <c r="AS68" s="493">
        <f t="shared" si="6"/>
        <v>7.1550910938044794</v>
      </c>
      <c r="AT68" s="468" t="s">
        <v>569</v>
      </c>
    </row>
    <row r="69" spans="1:46" s="7" customFormat="1" ht="18" customHeight="1">
      <c r="A69" s="27"/>
      <c r="B69" s="37"/>
      <c r="C69" s="37"/>
      <c r="D69" s="37"/>
      <c r="E69" s="37"/>
      <c r="F69" s="37"/>
      <c r="G69" s="37"/>
      <c r="H69" s="296" t="str">
        <f>'LOCAL DATASET INPUTS'!A209</f>
        <v>-</v>
      </c>
      <c r="I69" s="282">
        <v>0</v>
      </c>
      <c r="J69" s="37"/>
      <c r="K69" s="37"/>
      <c r="L69" s="781"/>
      <c r="M69" s="38"/>
      <c r="P69" s="475"/>
      <c r="Q69" s="475"/>
      <c r="R69" s="475"/>
      <c r="S69" s="475"/>
      <c r="T69" s="475"/>
      <c r="U69" s="475"/>
      <c r="V69" s="475"/>
      <c r="W69" s="475"/>
      <c r="X69" s="475"/>
      <c r="Y69" s="475"/>
      <c r="Z69" s="475"/>
      <c r="AA69" s="475"/>
      <c r="AB69" s="475"/>
      <c r="AC69" s="475"/>
      <c r="AD69" s="475"/>
      <c r="AE69" s="475"/>
      <c r="AF69" s="475"/>
      <c r="AG69" s="475"/>
      <c r="AH69" s="475"/>
      <c r="AI69" s="475"/>
      <c r="AJ69" s="475"/>
      <c r="AK69" s="475"/>
      <c r="AL69" s="475"/>
      <c r="AM69" s="475"/>
      <c r="AN69" s="475"/>
      <c r="AO69" s="475"/>
      <c r="AP69" s="475"/>
      <c r="AQ69" s="475"/>
      <c r="AR69" s="475"/>
      <c r="AS69" s="475"/>
      <c r="AT69" s="467"/>
    </row>
    <row r="70" spans="1:46" s="7" customFormat="1" ht="18" customHeight="1">
      <c r="A70" s="27"/>
      <c r="B70" s="37"/>
      <c r="C70" s="37"/>
      <c r="D70" s="37"/>
      <c r="E70" s="37"/>
      <c r="F70" s="37"/>
      <c r="G70" s="37"/>
      <c r="H70" s="296" t="str">
        <f>'LOCAL DATASET INPUTS'!A210</f>
        <v>-</v>
      </c>
      <c r="I70" s="282">
        <v>0</v>
      </c>
      <c r="J70" s="37"/>
      <c r="K70" s="2"/>
      <c r="L70" s="2"/>
      <c r="M70" s="14"/>
      <c r="O70" s="476" t="s">
        <v>650</v>
      </c>
      <c r="P70" s="473">
        <v>2021</v>
      </c>
      <c r="Q70" s="473">
        <v>2022</v>
      </c>
      <c r="R70" s="473">
        <v>2023</v>
      </c>
      <c r="S70" s="473">
        <v>2024</v>
      </c>
      <c r="T70" s="473">
        <v>2025</v>
      </c>
      <c r="U70" s="473">
        <v>2026</v>
      </c>
      <c r="V70" s="473">
        <v>2027</v>
      </c>
      <c r="W70" s="473">
        <v>2028</v>
      </c>
      <c r="X70" s="473">
        <v>2029</v>
      </c>
      <c r="Y70" s="473">
        <v>2030</v>
      </c>
      <c r="Z70" s="473">
        <v>2031</v>
      </c>
      <c r="AA70" s="473">
        <v>2032</v>
      </c>
      <c r="AB70" s="473">
        <v>2033</v>
      </c>
      <c r="AC70" s="473">
        <v>2034</v>
      </c>
      <c r="AD70" s="473">
        <v>2035</v>
      </c>
      <c r="AE70" s="473">
        <v>2036</v>
      </c>
      <c r="AF70" s="473">
        <v>2037</v>
      </c>
      <c r="AG70" s="473">
        <v>2038</v>
      </c>
      <c r="AH70" s="473">
        <v>2039</v>
      </c>
      <c r="AI70" s="473">
        <v>2040</v>
      </c>
      <c r="AJ70" s="473">
        <v>2041</v>
      </c>
      <c r="AK70" s="473">
        <v>2042</v>
      </c>
      <c r="AL70" s="473">
        <v>2043</v>
      </c>
      <c r="AM70" s="473">
        <v>2044</v>
      </c>
      <c r="AN70" s="473">
        <v>2045</v>
      </c>
      <c r="AO70" s="473">
        <v>2046</v>
      </c>
      <c r="AP70" s="473">
        <v>2047</v>
      </c>
      <c r="AQ70" s="473">
        <v>2048</v>
      </c>
      <c r="AR70" s="473">
        <v>2049</v>
      </c>
      <c r="AS70" s="473">
        <v>2050</v>
      </c>
      <c r="AT70" s="467"/>
    </row>
    <row r="71" spans="1:46" ht="15.75" thickBot="1">
      <c r="A71" s="15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37"/>
      <c r="O71" s="474" t="str">
        <f>'LOCAL DATASET INPUTS'!A59</f>
        <v>CITY</v>
      </c>
      <c r="P71" s="618">
        <f>(P65/P67*$B$82)+(P66/P67*$C$82)</f>
        <v>100</v>
      </c>
      <c r="Q71" s="618">
        <f t="shared" ref="Q71:AS71" si="7">(Q65/Q67*$B$82)+(Q66/Q67*$C$82)</f>
        <v>100</v>
      </c>
      <c r="R71" s="618">
        <f t="shared" si="7"/>
        <v>100</v>
      </c>
      <c r="S71" s="618">
        <f t="shared" si="7"/>
        <v>100</v>
      </c>
      <c r="T71" s="618">
        <f t="shared" si="7"/>
        <v>100</v>
      </c>
      <c r="U71" s="618">
        <f t="shared" si="7"/>
        <v>100</v>
      </c>
      <c r="V71" s="618">
        <f t="shared" si="7"/>
        <v>100.00000000000001</v>
      </c>
      <c r="W71" s="618">
        <f t="shared" si="7"/>
        <v>100</v>
      </c>
      <c r="X71" s="618">
        <f t="shared" si="7"/>
        <v>100</v>
      </c>
      <c r="Y71" s="618">
        <f t="shared" si="7"/>
        <v>100</v>
      </c>
      <c r="Z71" s="618">
        <f t="shared" si="7"/>
        <v>100</v>
      </c>
      <c r="AA71" s="618">
        <f t="shared" si="7"/>
        <v>100</v>
      </c>
      <c r="AB71" s="618">
        <f t="shared" si="7"/>
        <v>100</v>
      </c>
      <c r="AC71" s="618">
        <f t="shared" si="7"/>
        <v>100</v>
      </c>
      <c r="AD71" s="618">
        <f t="shared" si="7"/>
        <v>100</v>
      </c>
      <c r="AE71" s="618">
        <f t="shared" si="7"/>
        <v>100.00000000000001</v>
      </c>
      <c r="AF71" s="618">
        <f t="shared" si="7"/>
        <v>100</v>
      </c>
      <c r="AG71" s="618">
        <f t="shared" si="7"/>
        <v>100</v>
      </c>
      <c r="AH71" s="618">
        <f t="shared" si="7"/>
        <v>100</v>
      </c>
      <c r="AI71" s="618">
        <f t="shared" si="7"/>
        <v>100</v>
      </c>
      <c r="AJ71" s="618">
        <f t="shared" si="7"/>
        <v>100</v>
      </c>
      <c r="AK71" s="618">
        <f t="shared" si="7"/>
        <v>100</v>
      </c>
      <c r="AL71" s="618">
        <f t="shared" si="7"/>
        <v>100</v>
      </c>
      <c r="AM71" s="618">
        <f t="shared" si="7"/>
        <v>99.999999999999986</v>
      </c>
      <c r="AN71" s="618">
        <f t="shared" si="7"/>
        <v>99.999999999999986</v>
      </c>
      <c r="AO71" s="618">
        <f t="shared" si="7"/>
        <v>100</v>
      </c>
      <c r="AP71" s="618">
        <f t="shared" si="7"/>
        <v>100</v>
      </c>
      <c r="AQ71" s="618">
        <f t="shared" si="7"/>
        <v>100.00000000000001</v>
      </c>
      <c r="AR71" s="618">
        <f t="shared" si="7"/>
        <v>100</v>
      </c>
      <c r="AS71" s="618">
        <f t="shared" si="7"/>
        <v>100</v>
      </c>
    </row>
    <row r="72" spans="1:46" ht="15.75" thickBot="1">
      <c r="O72" s="474" t="str">
        <f>'LOCAL DATASET INPUTS'!A60</f>
        <v>TOWN</v>
      </c>
      <c r="P72" s="618">
        <f>(P65/P67*$B$83)+(P66/P67*$C$83)</f>
        <v>0</v>
      </c>
      <c r="Q72" s="618">
        <f t="shared" ref="Q72:AS72" si="8">(Q65/Q67*$B$83)+(Q66/Q67*$C$83)</f>
        <v>0</v>
      </c>
      <c r="R72" s="618">
        <f t="shared" si="8"/>
        <v>0</v>
      </c>
      <c r="S72" s="618">
        <f t="shared" si="8"/>
        <v>0</v>
      </c>
      <c r="T72" s="618">
        <f t="shared" si="8"/>
        <v>0</v>
      </c>
      <c r="U72" s="618">
        <f t="shared" si="8"/>
        <v>0</v>
      </c>
      <c r="V72" s="618">
        <f t="shared" si="8"/>
        <v>0</v>
      </c>
      <c r="W72" s="618">
        <f t="shared" si="8"/>
        <v>0</v>
      </c>
      <c r="X72" s="618">
        <f t="shared" si="8"/>
        <v>0</v>
      </c>
      <c r="Y72" s="618">
        <f t="shared" si="8"/>
        <v>0</v>
      </c>
      <c r="Z72" s="618">
        <f t="shared" si="8"/>
        <v>0</v>
      </c>
      <c r="AA72" s="618">
        <f t="shared" si="8"/>
        <v>0</v>
      </c>
      <c r="AB72" s="618">
        <f t="shared" si="8"/>
        <v>0</v>
      </c>
      <c r="AC72" s="618">
        <f t="shared" si="8"/>
        <v>0</v>
      </c>
      <c r="AD72" s="618">
        <f t="shared" si="8"/>
        <v>0</v>
      </c>
      <c r="AE72" s="618">
        <f t="shared" si="8"/>
        <v>0</v>
      </c>
      <c r="AF72" s="618">
        <f t="shared" si="8"/>
        <v>0</v>
      </c>
      <c r="AG72" s="618">
        <f t="shared" si="8"/>
        <v>0</v>
      </c>
      <c r="AH72" s="618">
        <f t="shared" si="8"/>
        <v>0</v>
      </c>
      <c r="AI72" s="618">
        <f t="shared" si="8"/>
        <v>0</v>
      </c>
      <c r="AJ72" s="618">
        <f t="shared" si="8"/>
        <v>0</v>
      </c>
      <c r="AK72" s="618">
        <f t="shared" si="8"/>
        <v>0</v>
      </c>
      <c r="AL72" s="618">
        <f t="shared" si="8"/>
        <v>0</v>
      </c>
      <c r="AM72" s="618">
        <f t="shared" si="8"/>
        <v>0</v>
      </c>
      <c r="AN72" s="618">
        <f t="shared" si="8"/>
        <v>0</v>
      </c>
      <c r="AO72" s="618">
        <f t="shared" si="8"/>
        <v>0</v>
      </c>
      <c r="AP72" s="618">
        <f t="shared" si="8"/>
        <v>0</v>
      </c>
      <c r="AQ72" s="618">
        <f t="shared" si="8"/>
        <v>0</v>
      </c>
      <c r="AR72" s="618">
        <f t="shared" si="8"/>
        <v>0</v>
      </c>
      <c r="AS72" s="618">
        <f t="shared" si="8"/>
        <v>0</v>
      </c>
    </row>
    <row r="73" spans="1:46" ht="20.100000000000001" customHeight="1" thickBot="1">
      <c r="A73" s="757" t="s">
        <v>511</v>
      </c>
      <c r="B73" s="758"/>
      <c r="C73" s="758"/>
      <c r="D73" s="758"/>
      <c r="E73" s="758"/>
      <c r="F73" s="758"/>
      <c r="G73" s="758"/>
      <c r="H73" s="758"/>
      <c r="I73" s="758"/>
      <c r="J73" s="758"/>
      <c r="K73" s="758"/>
      <c r="L73" s="758"/>
      <c r="M73" s="759"/>
      <c r="N73" s="21"/>
      <c r="O73" s="474" t="str">
        <f>'LOCAL DATASET INPUTS'!A61</f>
        <v>SUBURBAN</v>
      </c>
      <c r="P73" s="618">
        <f>(P65/P67*$B$84)+(P66/P67*$C$84)</f>
        <v>0</v>
      </c>
      <c r="Q73" s="618">
        <f t="shared" ref="Q73:AS73" si="9">(Q65/Q67*$B$84)+(Q66/Q67*$C$84)</f>
        <v>0</v>
      </c>
      <c r="R73" s="618">
        <f t="shared" si="9"/>
        <v>0</v>
      </c>
      <c r="S73" s="618">
        <f t="shared" si="9"/>
        <v>0</v>
      </c>
      <c r="T73" s="618">
        <f t="shared" si="9"/>
        <v>0</v>
      </c>
      <c r="U73" s="618">
        <f t="shared" si="9"/>
        <v>0</v>
      </c>
      <c r="V73" s="618">
        <f t="shared" si="9"/>
        <v>0</v>
      </c>
      <c r="W73" s="618">
        <f t="shared" si="9"/>
        <v>0</v>
      </c>
      <c r="X73" s="618">
        <f t="shared" si="9"/>
        <v>0</v>
      </c>
      <c r="Y73" s="618">
        <f t="shared" si="9"/>
        <v>0</v>
      </c>
      <c r="Z73" s="618">
        <f t="shared" si="9"/>
        <v>0</v>
      </c>
      <c r="AA73" s="618">
        <f t="shared" si="9"/>
        <v>0</v>
      </c>
      <c r="AB73" s="618">
        <f t="shared" si="9"/>
        <v>0</v>
      </c>
      <c r="AC73" s="618">
        <f t="shared" si="9"/>
        <v>0</v>
      </c>
      <c r="AD73" s="618">
        <f t="shared" si="9"/>
        <v>0</v>
      </c>
      <c r="AE73" s="618">
        <f t="shared" si="9"/>
        <v>0</v>
      </c>
      <c r="AF73" s="618">
        <f t="shared" si="9"/>
        <v>0</v>
      </c>
      <c r="AG73" s="618">
        <f t="shared" si="9"/>
        <v>0</v>
      </c>
      <c r="AH73" s="618">
        <f t="shared" si="9"/>
        <v>0</v>
      </c>
      <c r="AI73" s="618">
        <f t="shared" si="9"/>
        <v>0</v>
      </c>
      <c r="AJ73" s="618">
        <f t="shared" si="9"/>
        <v>0</v>
      </c>
      <c r="AK73" s="618">
        <f t="shared" si="9"/>
        <v>0</v>
      </c>
      <c r="AL73" s="618">
        <f t="shared" si="9"/>
        <v>0</v>
      </c>
      <c r="AM73" s="618">
        <f t="shared" si="9"/>
        <v>0</v>
      </c>
      <c r="AN73" s="618">
        <f t="shared" si="9"/>
        <v>0</v>
      </c>
      <c r="AO73" s="618">
        <f t="shared" si="9"/>
        <v>0</v>
      </c>
      <c r="AP73" s="618">
        <f t="shared" si="9"/>
        <v>0</v>
      </c>
      <c r="AQ73" s="618">
        <f t="shared" si="9"/>
        <v>0</v>
      </c>
      <c r="AR73" s="618">
        <f t="shared" si="9"/>
        <v>0</v>
      </c>
      <c r="AS73" s="618">
        <f t="shared" si="9"/>
        <v>0</v>
      </c>
    </row>
    <row r="74" spans="1:46">
      <c r="A74" s="9"/>
      <c r="B74" s="19"/>
      <c r="C74" s="19"/>
      <c r="D74" s="19"/>
      <c r="E74" s="58"/>
      <c r="F74" s="58"/>
      <c r="G74" s="58"/>
      <c r="H74" s="58"/>
      <c r="I74" s="58"/>
      <c r="J74" s="58"/>
      <c r="K74" s="58"/>
      <c r="L74" s="58"/>
      <c r="M74" s="59"/>
      <c r="N74" s="21"/>
      <c r="O74" s="474" t="str">
        <f>'LOCAL DATASET INPUTS'!A62</f>
        <v xml:space="preserve">RURAL </v>
      </c>
      <c r="P74" s="618">
        <f>(P65/P67*$B$85)+(P66/P67*$C$85)</f>
        <v>0</v>
      </c>
      <c r="Q74" s="618">
        <f t="shared" ref="Q74:AS74" si="10">(Q65/Q67*$B$85)+(Q66/Q67*$C$85)</f>
        <v>0</v>
      </c>
      <c r="R74" s="618">
        <f t="shared" si="10"/>
        <v>0</v>
      </c>
      <c r="S74" s="618">
        <f t="shared" si="10"/>
        <v>0</v>
      </c>
      <c r="T74" s="618">
        <f t="shared" si="10"/>
        <v>0</v>
      </c>
      <c r="U74" s="618">
        <f t="shared" si="10"/>
        <v>0</v>
      </c>
      <c r="V74" s="618">
        <f t="shared" si="10"/>
        <v>0</v>
      </c>
      <c r="W74" s="618">
        <f t="shared" si="10"/>
        <v>0</v>
      </c>
      <c r="X74" s="618">
        <f t="shared" si="10"/>
        <v>0</v>
      </c>
      <c r="Y74" s="618">
        <f t="shared" si="10"/>
        <v>0</v>
      </c>
      <c r="Z74" s="618">
        <f t="shared" si="10"/>
        <v>0</v>
      </c>
      <c r="AA74" s="618">
        <f t="shared" si="10"/>
        <v>0</v>
      </c>
      <c r="AB74" s="618">
        <f t="shared" si="10"/>
        <v>0</v>
      </c>
      <c r="AC74" s="618">
        <f t="shared" si="10"/>
        <v>0</v>
      </c>
      <c r="AD74" s="618">
        <f t="shared" si="10"/>
        <v>0</v>
      </c>
      <c r="AE74" s="618">
        <f t="shared" si="10"/>
        <v>0</v>
      </c>
      <c r="AF74" s="618">
        <f t="shared" si="10"/>
        <v>0</v>
      </c>
      <c r="AG74" s="618">
        <f t="shared" si="10"/>
        <v>0</v>
      </c>
      <c r="AH74" s="618">
        <f t="shared" si="10"/>
        <v>0</v>
      </c>
      <c r="AI74" s="618">
        <f t="shared" si="10"/>
        <v>0</v>
      </c>
      <c r="AJ74" s="618">
        <f t="shared" si="10"/>
        <v>0</v>
      </c>
      <c r="AK74" s="618">
        <f t="shared" si="10"/>
        <v>0</v>
      </c>
      <c r="AL74" s="618">
        <f t="shared" si="10"/>
        <v>0</v>
      </c>
      <c r="AM74" s="618">
        <f t="shared" si="10"/>
        <v>0</v>
      </c>
      <c r="AN74" s="618">
        <f t="shared" si="10"/>
        <v>0</v>
      </c>
      <c r="AO74" s="618">
        <f t="shared" si="10"/>
        <v>0</v>
      </c>
      <c r="AP74" s="618">
        <f t="shared" si="10"/>
        <v>0</v>
      </c>
      <c r="AQ74" s="618">
        <f t="shared" si="10"/>
        <v>0</v>
      </c>
      <c r="AR74" s="618">
        <f t="shared" si="10"/>
        <v>0</v>
      </c>
      <c r="AS74" s="618">
        <f t="shared" si="10"/>
        <v>0</v>
      </c>
    </row>
    <row r="75" spans="1:46" s="7" customFormat="1">
      <c r="A75" s="128" t="s">
        <v>505</v>
      </c>
      <c r="B75" s="2"/>
      <c r="C75" s="737"/>
      <c r="D75" s="2"/>
      <c r="E75" s="37"/>
      <c r="F75" s="37"/>
      <c r="G75" s="37"/>
      <c r="H75" s="37"/>
      <c r="I75" s="37"/>
      <c r="J75" s="37"/>
      <c r="K75" s="37"/>
      <c r="L75" s="37"/>
      <c r="M75" s="38"/>
      <c r="N75" s="21"/>
      <c r="O75" s="475"/>
      <c r="P75" s="475"/>
      <c r="Q75" s="475"/>
    </row>
    <row r="76" spans="1:46" s="7" customFormat="1">
      <c r="A76" s="208" t="s">
        <v>747</v>
      </c>
      <c r="B76" s="739">
        <v>100000</v>
      </c>
      <c r="C76" s="212" t="s">
        <v>515</v>
      </c>
      <c r="D76" s="2"/>
      <c r="E76" s="37"/>
      <c r="F76" s="37"/>
      <c r="G76" s="37"/>
      <c r="H76" s="37"/>
      <c r="I76" s="37"/>
      <c r="J76" s="37"/>
      <c r="K76" s="37"/>
      <c r="L76" s="37"/>
      <c r="M76" s="38"/>
      <c r="N76" s="21"/>
    </row>
    <row r="77" spans="1:46" s="7" customFormat="1">
      <c r="A77" s="208" t="s">
        <v>175</v>
      </c>
      <c r="B77" s="388" t="s">
        <v>753</v>
      </c>
      <c r="C77" s="388" t="s">
        <v>754</v>
      </c>
      <c r="D77" s="2"/>
      <c r="E77" s="37"/>
      <c r="F77" s="37"/>
      <c r="G77" s="37"/>
      <c r="H77" s="37"/>
      <c r="I77" s="37"/>
      <c r="J77" s="37"/>
      <c r="K77" s="37"/>
      <c r="L77" s="37"/>
      <c r="M77" s="38"/>
      <c r="N77" s="21"/>
    </row>
    <row r="78" spans="1:46" s="7" customFormat="1">
      <c r="A78" s="13"/>
      <c r="B78" s="2">
        <v>5</v>
      </c>
      <c r="C78" s="2">
        <v>10</v>
      </c>
      <c r="D78" s="2" t="str">
        <f>IF(C78&lt;B78,"check inputs!","")</f>
        <v/>
      </c>
      <c r="E78" s="37"/>
      <c r="F78" s="37"/>
      <c r="G78" s="37"/>
      <c r="H78" s="37"/>
      <c r="I78" s="37"/>
      <c r="J78" s="37"/>
      <c r="K78" s="37"/>
      <c r="L78" s="37"/>
      <c r="M78" s="38"/>
      <c r="N78" s="21"/>
      <c r="O78" s="472" t="s">
        <v>651</v>
      </c>
      <c r="P78" s="473">
        <f t="shared" ref="P78:AS78" si="11">P64</f>
        <v>2021</v>
      </c>
      <c r="Q78" s="473">
        <f t="shared" si="11"/>
        <v>2022</v>
      </c>
      <c r="R78" s="473">
        <f t="shared" si="11"/>
        <v>2023</v>
      </c>
      <c r="S78" s="473">
        <f t="shared" si="11"/>
        <v>2024</v>
      </c>
      <c r="T78" s="473">
        <f t="shared" si="11"/>
        <v>2025</v>
      </c>
      <c r="U78" s="473">
        <f t="shared" si="11"/>
        <v>2026</v>
      </c>
      <c r="V78" s="473">
        <f t="shared" si="11"/>
        <v>2027</v>
      </c>
      <c r="W78" s="473">
        <f t="shared" si="11"/>
        <v>2028</v>
      </c>
      <c r="X78" s="473">
        <f t="shared" si="11"/>
        <v>2029</v>
      </c>
      <c r="Y78" s="473">
        <f t="shared" si="11"/>
        <v>2030</v>
      </c>
      <c r="Z78" s="473">
        <f t="shared" si="11"/>
        <v>2031</v>
      </c>
      <c r="AA78" s="473">
        <f t="shared" si="11"/>
        <v>2032</v>
      </c>
      <c r="AB78" s="473">
        <f t="shared" si="11"/>
        <v>2033</v>
      </c>
      <c r="AC78" s="473">
        <f t="shared" si="11"/>
        <v>2034</v>
      </c>
      <c r="AD78" s="473">
        <f t="shared" si="11"/>
        <v>2035</v>
      </c>
      <c r="AE78" s="473">
        <f t="shared" si="11"/>
        <v>2036</v>
      </c>
      <c r="AF78" s="473">
        <f t="shared" si="11"/>
        <v>2037</v>
      </c>
      <c r="AG78" s="473">
        <f t="shared" si="11"/>
        <v>2038</v>
      </c>
      <c r="AH78" s="473">
        <f t="shared" si="11"/>
        <v>2039</v>
      </c>
      <c r="AI78" s="473">
        <f t="shared" si="11"/>
        <v>2040</v>
      </c>
      <c r="AJ78" s="473">
        <f t="shared" si="11"/>
        <v>2041</v>
      </c>
      <c r="AK78" s="473">
        <f t="shared" si="11"/>
        <v>2042</v>
      </c>
      <c r="AL78" s="473">
        <f t="shared" si="11"/>
        <v>2043</v>
      </c>
      <c r="AM78" s="473">
        <f t="shared" si="11"/>
        <v>2044</v>
      </c>
      <c r="AN78" s="473">
        <f t="shared" si="11"/>
        <v>2045</v>
      </c>
      <c r="AO78" s="473">
        <f t="shared" si="11"/>
        <v>2046</v>
      </c>
      <c r="AP78" s="473">
        <f t="shared" si="11"/>
        <v>2047</v>
      </c>
      <c r="AQ78" s="473">
        <f t="shared" si="11"/>
        <v>2048</v>
      </c>
      <c r="AR78" s="473">
        <f t="shared" si="11"/>
        <v>2049</v>
      </c>
      <c r="AS78" s="473">
        <f t="shared" si="11"/>
        <v>2050</v>
      </c>
      <c r="AT78" s="467"/>
    </row>
    <row r="79" spans="1:46" s="7" customFormat="1">
      <c r="A79" s="13"/>
      <c r="B79" s="388"/>
      <c r="C79" s="388"/>
      <c r="D79" s="2"/>
      <c r="E79" s="37"/>
      <c r="F79" s="37"/>
      <c r="G79" s="37"/>
      <c r="H79" s="37"/>
      <c r="I79" s="37"/>
      <c r="J79" s="37"/>
      <c r="K79" s="37"/>
      <c r="L79" s="37"/>
      <c r="M79" s="38"/>
      <c r="N79" s="21"/>
      <c r="O79" s="625" t="str">
        <f t="shared" ref="O79:O87" si="12">O53</f>
        <v>Motor coaches, buses and trolley buses</v>
      </c>
      <c r="P79" s="626">
        <f t="shared" ref="P79:AS87" si="13">P53*P$68</f>
        <v>7.6549372212823624E-2</v>
      </c>
      <c r="Q79" s="626">
        <f t="shared" si="13"/>
        <v>7.7069777090508565E-2</v>
      </c>
      <c r="R79" s="626">
        <f t="shared" si="13"/>
        <v>7.7362553708154563E-2</v>
      </c>
      <c r="S79" s="626">
        <f t="shared" si="13"/>
        <v>7.781113352474317E-2</v>
      </c>
      <c r="T79" s="626">
        <f t="shared" si="13"/>
        <v>0.16522043485519433</v>
      </c>
      <c r="U79" s="626">
        <f t="shared" si="13"/>
        <v>0.2524802963584738</v>
      </c>
      <c r="V79" s="626">
        <f t="shared" si="13"/>
        <v>0.34435902929177264</v>
      </c>
      <c r="W79" s="626">
        <f t="shared" si="13"/>
        <v>0.43360565049751731</v>
      </c>
      <c r="X79" s="626">
        <f t="shared" si="13"/>
        <v>0.52532867420948959</v>
      </c>
      <c r="Y79" s="626">
        <f t="shared" si="13"/>
        <v>0.61755644282137323</v>
      </c>
      <c r="Z79" s="626">
        <f t="shared" si="13"/>
        <v>0.61443277939357588</v>
      </c>
      <c r="AA79" s="626">
        <f t="shared" si="13"/>
        <v>0.61498278470791512</v>
      </c>
      <c r="AB79" s="626">
        <f t="shared" si="13"/>
        <v>0.61431408898377893</v>
      </c>
      <c r="AC79" s="626">
        <f t="shared" si="13"/>
        <v>0.61364701482653672</v>
      </c>
      <c r="AD79" s="626">
        <f t="shared" si="13"/>
        <v>0.60993795895931247</v>
      </c>
      <c r="AE79" s="626">
        <f t="shared" si="13"/>
        <v>0.60988246409700786</v>
      </c>
      <c r="AF79" s="626">
        <f t="shared" si="13"/>
        <v>0.61103784814097739</v>
      </c>
      <c r="AG79" s="626">
        <f t="shared" si="13"/>
        <v>0.60916565054516447</v>
      </c>
      <c r="AH79" s="626">
        <f t="shared" si="13"/>
        <v>0.60488297472183383</v>
      </c>
      <c r="AI79" s="626">
        <f t="shared" si="13"/>
        <v>0.6000310696853538</v>
      </c>
      <c r="AJ79" s="626">
        <f t="shared" si="13"/>
        <v>0.59521896042598332</v>
      </c>
      <c r="AK79" s="626">
        <f t="shared" si="13"/>
        <v>0.59044631730593644</v>
      </c>
      <c r="AL79" s="626">
        <f t="shared" si="13"/>
        <v>0.58571281338338821</v>
      </c>
      <c r="AM79" s="626">
        <f t="shared" si="13"/>
        <v>0.58101812439329448</v>
      </c>
      <c r="AN79" s="626">
        <f t="shared" si="13"/>
        <v>0.57636192872818359</v>
      </c>
      <c r="AO79" s="626">
        <f t="shared" si="13"/>
        <v>0.57174390741893066</v>
      </c>
      <c r="AP79" s="626">
        <f t="shared" si="13"/>
        <v>0.56716374411552306</v>
      </c>
      <c r="AQ79" s="626">
        <f t="shared" si="13"/>
        <v>0.56262112506782713</v>
      </c>
      <c r="AR79" s="626">
        <f t="shared" si="13"/>
        <v>0.55811573910636425</v>
      </c>
      <c r="AS79" s="626">
        <f t="shared" si="13"/>
        <v>0.55364727762310628</v>
      </c>
      <c r="AT79" s="467"/>
    </row>
    <row r="80" spans="1:46" s="7" customFormat="1">
      <c r="A80" s="13"/>
      <c r="B80" s="756" t="s">
        <v>208</v>
      </c>
      <c r="C80" s="756"/>
      <c r="D80" s="2"/>
      <c r="E80" s="37"/>
      <c r="F80" s="37"/>
      <c r="G80" s="37"/>
      <c r="H80" s="37"/>
      <c r="I80" s="37"/>
      <c r="J80" s="37"/>
      <c r="K80" s="37"/>
      <c r="L80" s="37"/>
      <c r="M80" s="38"/>
      <c r="N80" s="21"/>
      <c r="O80" s="625" t="str">
        <f t="shared" si="12"/>
        <v>Passenger cars</v>
      </c>
      <c r="P80" s="626">
        <f t="shared" si="13"/>
        <v>1.3360591831187487</v>
      </c>
      <c r="Q80" s="626">
        <f t="shared" si="13"/>
        <v>1.3613576081091405</v>
      </c>
      <c r="R80" s="626">
        <f t="shared" si="13"/>
        <v>1.3855776350347428</v>
      </c>
      <c r="S80" s="626">
        <f t="shared" si="13"/>
        <v>1.4102285030646386</v>
      </c>
      <c r="T80" s="626">
        <f t="shared" si="13"/>
        <v>3.030115514289704</v>
      </c>
      <c r="U80" s="626">
        <f t="shared" si="13"/>
        <v>4.7081615901505609</v>
      </c>
      <c r="V80" s="626">
        <f t="shared" si="13"/>
        <v>6.4456355673157786</v>
      </c>
      <c r="W80" s="626">
        <f t="shared" si="13"/>
        <v>8.2441331633037365</v>
      </c>
      <c r="X80" s="626">
        <f t="shared" si="13"/>
        <v>10.10528828682345</v>
      </c>
      <c r="Y80" s="626">
        <f t="shared" si="13"/>
        <v>12.030773895644963</v>
      </c>
      <c r="Z80" s="626">
        <f t="shared" si="13"/>
        <v>12.156273051158452</v>
      </c>
      <c r="AA80" s="626">
        <f t="shared" si="13"/>
        <v>12.283103619964679</v>
      </c>
      <c r="AB80" s="626">
        <f t="shared" si="13"/>
        <v>12.41128002176842</v>
      </c>
      <c r="AC80" s="626">
        <f t="shared" si="13"/>
        <v>12.540816836283323</v>
      </c>
      <c r="AD80" s="626">
        <f t="shared" si="13"/>
        <v>12.671728805056413</v>
      </c>
      <c r="AE80" s="626">
        <f t="shared" si="13"/>
        <v>12.804030833313986</v>
      </c>
      <c r="AF80" s="626">
        <f t="shared" si="13"/>
        <v>12.937737991829177</v>
      </c>
      <c r="AG80" s="626">
        <f t="shared" si="13"/>
        <v>13.072865518811492</v>
      </c>
      <c r="AH80" s="626">
        <f t="shared" si="13"/>
        <v>13.209428821818467</v>
      </c>
      <c r="AI80" s="626">
        <f t="shared" si="13"/>
        <v>13.347442930413999</v>
      </c>
      <c r="AJ80" s="626">
        <f t="shared" si="13"/>
        <v>13.486924155563567</v>
      </c>
      <c r="AK80" s="626">
        <f t="shared" si="13"/>
        <v>13.627888424233582</v>
      </c>
      <c r="AL80" s="626">
        <f t="shared" si="13"/>
        <v>13.770351840621371</v>
      </c>
      <c r="AM80" s="626">
        <f t="shared" si="13"/>
        <v>13.914330688181751</v>
      </c>
      <c r="AN80" s="626">
        <f t="shared" si="13"/>
        <v>14.059841431677427</v>
      </c>
      <c r="AO80" s="626">
        <f t="shared" si="13"/>
        <v>14.206900719253534</v>
      </c>
      <c r="AP80" s="626">
        <f t="shared" si="13"/>
        <v>14.35552538453668</v>
      </c>
      <c r="AQ80" s="626">
        <f t="shared" si="13"/>
        <v>14.505732448758696</v>
      </c>
      <c r="AR80" s="626">
        <f t="shared" si="13"/>
        <v>14.657539122905435</v>
      </c>
      <c r="AS80" s="626">
        <f t="shared" si="13"/>
        <v>14.810962809890912</v>
      </c>
      <c r="AT80" s="467"/>
    </row>
    <row r="81" spans="1:46" s="7" customFormat="1">
      <c r="A81" s="128" t="s">
        <v>746</v>
      </c>
      <c r="B81" s="387" t="s">
        <v>506</v>
      </c>
      <c r="C81" s="388" t="s">
        <v>507</v>
      </c>
      <c r="D81" s="2"/>
      <c r="E81" s="37"/>
      <c r="F81" s="37"/>
      <c r="G81" s="37"/>
      <c r="H81" s="37"/>
      <c r="I81" s="37"/>
      <c r="J81" s="37"/>
      <c r="K81" s="37"/>
      <c r="L81" s="37"/>
      <c r="M81" s="38"/>
      <c r="N81" s="21"/>
      <c r="O81" s="625" t="str">
        <f t="shared" si="12"/>
        <v>Metro</v>
      </c>
      <c r="P81" s="626">
        <f t="shared" si="13"/>
        <v>0</v>
      </c>
      <c r="Q81" s="136">
        <f t="shared" si="13"/>
        <v>0</v>
      </c>
      <c r="R81" s="136">
        <f t="shared" si="13"/>
        <v>0</v>
      </c>
      <c r="S81" s="136">
        <f t="shared" si="13"/>
        <v>0</v>
      </c>
      <c r="T81" s="136">
        <f t="shared" si="13"/>
        <v>0</v>
      </c>
      <c r="U81" s="136">
        <f t="shared" si="13"/>
        <v>0</v>
      </c>
      <c r="V81" s="136">
        <f t="shared" si="13"/>
        <v>0</v>
      </c>
      <c r="W81" s="136">
        <f t="shared" si="13"/>
        <v>0</v>
      </c>
      <c r="X81" s="136">
        <f t="shared" si="13"/>
        <v>0</v>
      </c>
      <c r="Y81" s="136">
        <f t="shared" si="13"/>
        <v>0</v>
      </c>
      <c r="Z81" s="136">
        <f t="shared" si="13"/>
        <v>0</v>
      </c>
      <c r="AA81" s="136">
        <f t="shared" si="13"/>
        <v>0</v>
      </c>
      <c r="AB81" s="136">
        <f t="shared" si="13"/>
        <v>0</v>
      </c>
      <c r="AC81" s="136">
        <f t="shared" si="13"/>
        <v>0</v>
      </c>
      <c r="AD81" s="136">
        <f t="shared" si="13"/>
        <v>0</v>
      </c>
      <c r="AE81" s="136">
        <f t="shared" si="13"/>
        <v>0</v>
      </c>
      <c r="AF81" s="136">
        <f t="shared" si="13"/>
        <v>0</v>
      </c>
      <c r="AG81" s="136">
        <f t="shared" si="13"/>
        <v>0</v>
      </c>
      <c r="AH81" s="136">
        <f t="shared" si="13"/>
        <v>0</v>
      </c>
      <c r="AI81" s="136">
        <f t="shared" si="13"/>
        <v>0</v>
      </c>
      <c r="AJ81" s="136">
        <f t="shared" si="13"/>
        <v>0</v>
      </c>
      <c r="AK81" s="136">
        <f t="shared" si="13"/>
        <v>0</v>
      </c>
      <c r="AL81" s="136">
        <f t="shared" si="13"/>
        <v>0</v>
      </c>
      <c r="AM81" s="136">
        <f t="shared" si="13"/>
        <v>0</v>
      </c>
      <c r="AN81" s="136">
        <f t="shared" si="13"/>
        <v>0</v>
      </c>
      <c r="AO81" s="136">
        <f t="shared" si="13"/>
        <v>0</v>
      </c>
      <c r="AP81" s="136">
        <f t="shared" si="13"/>
        <v>0</v>
      </c>
      <c r="AQ81" s="136">
        <f t="shared" si="13"/>
        <v>0</v>
      </c>
      <c r="AR81" s="136">
        <f t="shared" si="13"/>
        <v>0</v>
      </c>
      <c r="AS81" s="136">
        <f t="shared" si="13"/>
        <v>0</v>
      </c>
      <c r="AT81" s="467"/>
    </row>
    <row r="82" spans="1:46" s="7" customFormat="1">
      <c r="A82" s="27" t="str">
        <f t="shared" ref="A82:B85" si="14">A9</f>
        <v>CITY</v>
      </c>
      <c r="B82" s="216">
        <f t="shared" si="14"/>
        <v>100</v>
      </c>
      <c r="C82" s="413">
        <v>100</v>
      </c>
      <c r="D82" s="2"/>
      <c r="E82" s="37"/>
      <c r="F82" s="37"/>
      <c r="G82" s="37"/>
      <c r="H82" s="37"/>
      <c r="I82" s="37"/>
      <c r="J82" s="37"/>
      <c r="K82" s="37"/>
      <c r="L82" s="37"/>
      <c r="M82" s="38"/>
      <c r="N82" s="21"/>
      <c r="O82" s="625" t="str">
        <f t="shared" si="12"/>
        <v>Tram, light train</v>
      </c>
      <c r="P82" s="626">
        <f t="shared" si="13"/>
        <v>0</v>
      </c>
      <c r="Q82" s="136">
        <f t="shared" si="13"/>
        <v>0</v>
      </c>
      <c r="R82" s="136">
        <f t="shared" si="13"/>
        <v>0</v>
      </c>
      <c r="S82" s="136">
        <f t="shared" si="13"/>
        <v>0</v>
      </c>
      <c r="T82" s="136">
        <f t="shared" si="13"/>
        <v>0</v>
      </c>
      <c r="U82" s="136">
        <f t="shared" si="13"/>
        <v>0</v>
      </c>
      <c r="V82" s="136">
        <f t="shared" si="13"/>
        <v>0</v>
      </c>
      <c r="W82" s="136">
        <f t="shared" si="13"/>
        <v>0</v>
      </c>
      <c r="X82" s="136">
        <f t="shared" si="13"/>
        <v>0</v>
      </c>
      <c r="Y82" s="136">
        <f t="shared" si="13"/>
        <v>0</v>
      </c>
      <c r="Z82" s="136">
        <f t="shared" si="13"/>
        <v>0</v>
      </c>
      <c r="AA82" s="136">
        <f t="shared" si="13"/>
        <v>0</v>
      </c>
      <c r="AB82" s="136">
        <f t="shared" si="13"/>
        <v>0</v>
      </c>
      <c r="AC82" s="136">
        <f t="shared" si="13"/>
        <v>0</v>
      </c>
      <c r="AD82" s="136">
        <f t="shared" si="13"/>
        <v>0</v>
      </c>
      <c r="AE82" s="136">
        <f t="shared" si="13"/>
        <v>0</v>
      </c>
      <c r="AF82" s="136">
        <f t="shared" si="13"/>
        <v>0</v>
      </c>
      <c r="AG82" s="136">
        <f t="shared" si="13"/>
        <v>0</v>
      </c>
      <c r="AH82" s="136">
        <f t="shared" si="13"/>
        <v>0</v>
      </c>
      <c r="AI82" s="136">
        <f t="shared" si="13"/>
        <v>0</v>
      </c>
      <c r="AJ82" s="136">
        <f t="shared" si="13"/>
        <v>0</v>
      </c>
      <c r="AK82" s="136">
        <f t="shared" si="13"/>
        <v>0</v>
      </c>
      <c r="AL82" s="136">
        <f t="shared" si="13"/>
        <v>0</v>
      </c>
      <c r="AM82" s="136">
        <f t="shared" si="13"/>
        <v>0</v>
      </c>
      <c r="AN82" s="136">
        <f t="shared" si="13"/>
        <v>0</v>
      </c>
      <c r="AO82" s="136">
        <f t="shared" si="13"/>
        <v>0</v>
      </c>
      <c r="AP82" s="136">
        <f t="shared" si="13"/>
        <v>0</v>
      </c>
      <c r="AQ82" s="136">
        <f t="shared" si="13"/>
        <v>0</v>
      </c>
      <c r="AR82" s="136">
        <f t="shared" si="13"/>
        <v>0</v>
      </c>
      <c r="AS82" s="136">
        <f t="shared" si="13"/>
        <v>0</v>
      </c>
      <c r="AT82" s="467"/>
    </row>
    <row r="83" spans="1:46" s="7" customFormat="1">
      <c r="A83" s="27" t="str">
        <f t="shared" si="14"/>
        <v>TOWN</v>
      </c>
      <c r="B83" s="216">
        <f t="shared" si="14"/>
        <v>0</v>
      </c>
      <c r="C83" s="413">
        <v>0</v>
      </c>
      <c r="D83" s="738" t="s">
        <v>544</v>
      </c>
      <c r="E83" s="37"/>
      <c r="F83" s="37"/>
      <c r="G83" s="37"/>
      <c r="H83" s="37"/>
      <c r="I83" s="37"/>
      <c r="J83" s="37"/>
      <c r="K83" s="37"/>
      <c r="L83" s="37"/>
      <c r="M83" s="38"/>
      <c r="N83" s="21"/>
      <c r="O83" s="625" t="str">
        <f t="shared" si="12"/>
        <v>Passenger trains</v>
      </c>
      <c r="P83" s="626">
        <f>P57*P$68</f>
        <v>9.2101198979936126E-6</v>
      </c>
      <c r="Q83" s="136">
        <f t="shared" si="13"/>
        <v>9.2838008571775618E-6</v>
      </c>
      <c r="R83" s="136">
        <f t="shared" si="13"/>
        <v>9.3580712640349826E-6</v>
      </c>
      <c r="S83" s="136">
        <f t="shared" si="13"/>
        <v>9.4329358341472636E-6</v>
      </c>
      <c r="T83" s="136">
        <f t="shared" si="13"/>
        <v>2.0073287455065372E-5</v>
      </c>
      <c r="U83" s="136">
        <f t="shared" si="13"/>
        <v>3.088328099402479E-5</v>
      </c>
      <c r="V83" s="136">
        <f t="shared" si="13"/>
        <v>4.1864949739210431E-5</v>
      </c>
      <c r="W83" s="136">
        <f t="shared" si="13"/>
        <v>5.3020348654335434E-5</v>
      </c>
      <c r="X83" s="136">
        <f t="shared" si="13"/>
        <v>6.4351554595319126E-5</v>
      </c>
      <c r="Y83" s="136">
        <f t="shared" si="13"/>
        <v>7.586066652904468E-5</v>
      </c>
      <c r="Z83" s="136">
        <f t="shared" si="13"/>
        <v>7.5748447924712641E-5</v>
      </c>
      <c r="AA83" s="136">
        <f t="shared" si="13"/>
        <v>7.5636532439924228E-5</v>
      </c>
      <c r="AB83" s="136">
        <f t="shared" si="13"/>
        <v>7.5524919625194779E-5</v>
      </c>
      <c r="AC83" s="136">
        <f t="shared" si="13"/>
        <v>7.5413609032250837E-5</v>
      </c>
      <c r="AD83" s="136">
        <f t="shared" si="13"/>
        <v>7.5302600214028346E-5</v>
      </c>
      <c r="AE83" s="136">
        <f t="shared" si="13"/>
        <v>7.5191892724670858E-5</v>
      </c>
      <c r="AF83" s="136">
        <f t="shared" si="13"/>
        <v>7.5081486119527724E-5</v>
      </c>
      <c r="AG83" s="136">
        <f t="shared" si="13"/>
        <v>7.4971379955152286E-5</v>
      </c>
      <c r="AH83" s="136">
        <f t="shared" si="13"/>
        <v>7.4861573789300199E-5</v>
      </c>
      <c r="AI83" s="136">
        <f t="shared" si="13"/>
        <v>7.2972319262296103E-5</v>
      </c>
      <c r="AJ83" s="136">
        <f t="shared" si="13"/>
        <v>7.115609564259231E-5</v>
      </c>
      <c r="AK83" s="136">
        <f t="shared" si="13"/>
        <v>6.941002310173598E-5</v>
      </c>
      <c r="AL83" s="136">
        <f t="shared" si="13"/>
        <v>6.7731335640589221E-5</v>
      </c>
      <c r="AM83" s="136">
        <f t="shared" si="13"/>
        <v>6.6117376585919299E-5</v>
      </c>
      <c r="AN83" s="136">
        <f t="shared" si="13"/>
        <v>6.4565594265300031E-5</v>
      </c>
      <c r="AO83" s="136">
        <f t="shared" si="13"/>
        <v>6.3073537853259161E-5</v>
      </c>
      <c r="AP83" s="136">
        <f t="shared" si="13"/>
        <v>6.1638853381886229E-5</v>
      </c>
      <c r="AQ83" s="136">
        <f t="shared" si="13"/>
        <v>6.0259279909385133E-5</v>
      </c>
      <c r="AR83" s="136">
        <f t="shared" si="13"/>
        <v>5.8932645840312881E-5</v>
      </c>
      <c r="AS83" s="136">
        <f t="shared" si="13"/>
        <v>5.7656865391495387E-5</v>
      </c>
      <c r="AT83" s="467"/>
    </row>
    <row r="84" spans="1:46" s="7" customFormat="1">
      <c r="A84" s="27" t="str">
        <f t="shared" si="14"/>
        <v>SUBURBAN</v>
      </c>
      <c r="B84" s="216">
        <f t="shared" si="14"/>
        <v>0</v>
      </c>
      <c r="C84" s="413">
        <v>0</v>
      </c>
      <c r="D84" s="738" t="s">
        <v>188</v>
      </c>
      <c r="E84" s="37"/>
      <c r="F84" s="37"/>
      <c r="G84" s="37"/>
      <c r="H84" s="37"/>
      <c r="I84" s="37"/>
      <c r="J84" s="37"/>
      <c r="K84" s="37"/>
      <c r="L84" s="37"/>
      <c r="M84" s="38"/>
      <c r="N84" s="21"/>
      <c r="O84" s="625" t="str">
        <f t="shared" si="12"/>
        <v>Rail freight</v>
      </c>
      <c r="P84" s="626">
        <f>P58*P$68</f>
        <v>1.3690045358541809E-5</v>
      </c>
      <c r="Q84" s="136">
        <f t="shared" si="13"/>
        <v>1.3690045358541809E-5</v>
      </c>
      <c r="R84" s="136">
        <f t="shared" si="13"/>
        <v>1.3690045358541809E-5</v>
      </c>
      <c r="S84" s="136">
        <f t="shared" si="13"/>
        <v>1.3690045358541809E-5</v>
      </c>
      <c r="T84" s="136">
        <f t="shared" si="13"/>
        <v>2.8901206868032707E-5</v>
      </c>
      <c r="U84" s="136">
        <f t="shared" si="13"/>
        <v>4.4112368377523608E-5</v>
      </c>
      <c r="V84" s="136">
        <f t="shared" si="13"/>
        <v>5.9323529887014503E-5</v>
      </c>
      <c r="W84" s="136">
        <f t="shared" si="13"/>
        <v>7.4534691396505411E-5</v>
      </c>
      <c r="X84" s="136">
        <f t="shared" si="13"/>
        <v>8.9745852905996306E-5</v>
      </c>
      <c r="Y84" s="136">
        <f t="shared" si="13"/>
        <v>1.0495701441548721E-4</v>
      </c>
      <c r="Z84" s="136">
        <f t="shared" si="13"/>
        <v>1.0417669421608524E-4</v>
      </c>
      <c r="AA84" s="136">
        <f t="shared" si="13"/>
        <v>1.0340236288855126E-4</v>
      </c>
      <c r="AB84" s="136">
        <f t="shared" si="13"/>
        <v>1.0263397367013401E-4</v>
      </c>
      <c r="AC84" s="136">
        <f t="shared" si="13"/>
        <v>1.0187148016651617E-4</v>
      </c>
      <c r="AD84" s="136">
        <f t="shared" si="13"/>
        <v>1.0111483634889816E-4</v>
      </c>
      <c r="AE84" s="136">
        <f t="shared" si="13"/>
        <v>1.0036399655110501E-4</v>
      </c>
      <c r="AF84" s="136">
        <f t="shared" si="13"/>
        <v>9.961891546671633E-5</v>
      </c>
      <c r="AG84" s="136">
        <f t="shared" si="13"/>
        <v>9.8879548146219021E-5</v>
      </c>
      <c r="AH84" s="136">
        <f t="shared" si="13"/>
        <v>9.8145849994182356E-5</v>
      </c>
      <c r="AI84" s="136">
        <f t="shared" si="13"/>
        <v>9.7417776766455796E-5</v>
      </c>
      <c r="AJ84" s="136">
        <f t="shared" si="13"/>
        <v>9.6695284567388881E-5</v>
      </c>
      <c r="AK84" s="136">
        <f t="shared" si="13"/>
        <v>9.5978329847073058E-5</v>
      </c>
      <c r="AL84" s="136">
        <f t="shared" si="13"/>
        <v>9.5266869398605617E-5</v>
      </c>
      <c r="AM84" s="136">
        <f t="shared" si="13"/>
        <v>9.4560860355375202E-5</v>
      </c>
      <c r="AN84" s="136">
        <f t="shared" si="13"/>
        <v>9.3860260188368829E-5</v>
      </c>
      <c r="AO84" s="136">
        <f t="shared" si="13"/>
        <v>9.3165026703500447E-5</v>
      </c>
      <c r="AP84" s="136">
        <f t="shared" si="13"/>
        <v>9.2475118038960359E-5</v>
      </c>
      <c r="AQ84" s="136">
        <f t="shared" si="13"/>
        <v>9.1790492662586047E-5</v>
      </c>
      <c r="AR84" s="136">
        <f t="shared" si="13"/>
        <v>9.1111109369253619E-5</v>
      </c>
      <c r="AS84" s="136">
        <f t="shared" si="13"/>
        <v>9.0436927278289946E-5</v>
      </c>
      <c r="AT84" s="467"/>
    </row>
    <row r="85" spans="1:46" s="7" customFormat="1">
      <c r="A85" s="27" t="str">
        <f t="shared" si="14"/>
        <v xml:space="preserve">RURAL </v>
      </c>
      <c r="B85" s="216">
        <f t="shared" si="14"/>
        <v>0</v>
      </c>
      <c r="C85" s="413">
        <v>0</v>
      </c>
      <c r="D85" s="2"/>
      <c r="E85" s="37"/>
      <c r="F85" s="37"/>
      <c r="G85" s="37"/>
      <c r="H85" s="37"/>
      <c r="I85" s="37"/>
      <c r="J85" s="37"/>
      <c r="K85" s="37"/>
      <c r="L85" s="37"/>
      <c r="M85" s="38"/>
      <c r="N85" s="21"/>
      <c r="O85" s="625" t="str">
        <f t="shared" si="12"/>
        <v>Road freight</v>
      </c>
      <c r="P85" s="626">
        <f t="shared" si="13"/>
        <v>1.5975664130382566E-4</v>
      </c>
      <c r="Q85" s="136">
        <f t="shared" si="13"/>
        <v>1.6375055733642126E-4</v>
      </c>
      <c r="R85" s="136">
        <f t="shared" si="13"/>
        <v>1.6784432126983176E-4</v>
      </c>
      <c r="S85" s="136">
        <f t="shared" si="13"/>
        <v>1.7204042930157756E-4</v>
      </c>
      <c r="T85" s="136">
        <f t="shared" si="13"/>
        <v>3.7227637340535812E-4</v>
      </c>
      <c r="U85" s="136">
        <f t="shared" si="13"/>
        <v>5.8241658944601412E-4</v>
      </c>
      <c r="V85" s="136">
        <f t="shared" si="13"/>
        <v>8.0283114355532458E-4</v>
      </c>
      <c r="W85" s="136">
        <f t="shared" si="13"/>
        <v>1.0339024150016966E-3</v>
      </c>
      <c r="X85" s="136">
        <f t="shared" si="13"/>
        <v>1.2760254805556656E-3</v>
      </c>
      <c r="Y85" s="136">
        <f t="shared" si="13"/>
        <v>1.5296085103779567E-3</v>
      </c>
      <c r="Z85" s="136">
        <f t="shared" si="13"/>
        <v>1.5379734571306046E-3</v>
      </c>
      <c r="AA85" s="136">
        <f t="shared" si="13"/>
        <v>1.5463869525066752E-3</v>
      </c>
      <c r="AB85" s="136">
        <f t="shared" si="13"/>
        <v>1.5548493009939356E-3</v>
      </c>
      <c r="AC85" s="136">
        <f t="shared" si="13"/>
        <v>1.5633608091633515E-3</v>
      </c>
      <c r="AD85" s="136">
        <f t="shared" si="13"/>
        <v>1.5719217856845677E-3</v>
      </c>
      <c r="AE85" s="136">
        <f t="shared" si="13"/>
        <v>1.5805325413415054E-3</v>
      </c>
      <c r="AF85" s="136">
        <f t="shared" si="13"/>
        <v>1.5891933890480919E-3</v>
      </c>
      <c r="AG85" s="136">
        <f t="shared" si="13"/>
        <v>1.5979046438641096E-3</v>
      </c>
      <c r="AH85" s="136">
        <f t="shared" si="13"/>
        <v>1.6066666230111716E-3</v>
      </c>
      <c r="AI85" s="136">
        <f t="shared" si="13"/>
        <v>1.6154796458888281E-3</v>
      </c>
      <c r="AJ85" s="136">
        <f t="shared" si="13"/>
        <v>1.6243440340907957E-3</v>
      </c>
      <c r="AK85" s="136">
        <f t="shared" si="13"/>
        <v>1.6332601114213204E-3</v>
      </c>
      <c r="AL85" s="136">
        <f t="shared" si="13"/>
        <v>1.6422282039116681E-3</v>
      </c>
      <c r="AM85" s="136">
        <f t="shared" si="13"/>
        <v>1.6512486398367475E-3</v>
      </c>
      <c r="AN85" s="136">
        <f t="shared" si="13"/>
        <v>1.6603217497318664E-3</v>
      </c>
      <c r="AO85" s="136">
        <f t="shared" si="13"/>
        <v>1.6694478664096197E-3</v>
      </c>
      <c r="AP85" s="136">
        <f t="shared" si="13"/>
        <v>1.6786273249769132E-3</v>
      </c>
      <c r="AQ85" s="136">
        <f t="shared" si="13"/>
        <v>1.6878604628521238E-3</v>
      </c>
      <c r="AR85" s="136">
        <f t="shared" si="13"/>
        <v>1.6971476197823955E-3</v>
      </c>
      <c r="AS85" s="136">
        <f t="shared" si="13"/>
        <v>1.7064891378610731E-3</v>
      </c>
      <c r="AT85" s="467"/>
    </row>
    <row r="86" spans="1:46" s="7" customFormat="1">
      <c r="A86" s="27"/>
      <c r="B86" s="216">
        <f>SUM(B82:B85)</f>
        <v>100</v>
      </c>
      <c r="C86" s="388">
        <f>SUM(C82:C85)</f>
        <v>100</v>
      </c>
      <c r="D86" s="2" t="str">
        <f>IF(C86&gt;100,"check inputs","")</f>
        <v/>
      </c>
      <c r="E86" s="37"/>
      <c r="F86" s="37"/>
      <c r="G86" s="37"/>
      <c r="H86" s="37"/>
      <c r="I86" s="37"/>
      <c r="J86" s="37"/>
      <c r="K86" s="37"/>
      <c r="L86" s="37"/>
      <c r="M86" s="38"/>
      <c r="N86" s="21"/>
      <c r="O86" s="625" t="str">
        <f t="shared" si="12"/>
        <v>Inland waterways freight</v>
      </c>
      <c r="P86" s="626">
        <f t="shared" si="13"/>
        <v>0</v>
      </c>
      <c r="Q86" s="136">
        <f t="shared" si="13"/>
        <v>0</v>
      </c>
      <c r="R86" s="136">
        <f t="shared" si="13"/>
        <v>0</v>
      </c>
      <c r="S86" s="136">
        <f t="shared" si="13"/>
        <v>0</v>
      </c>
      <c r="T86" s="136">
        <f t="shared" si="13"/>
        <v>0</v>
      </c>
      <c r="U86" s="136">
        <f t="shared" si="13"/>
        <v>0</v>
      </c>
      <c r="V86" s="136">
        <f t="shared" si="13"/>
        <v>0</v>
      </c>
      <c r="W86" s="136">
        <f t="shared" si="13"/>
        <v>0</v>
      </c>
      <c r="X86" s="136">
        <f t="shared" si="13"/>
        <v>0</v>
      </c>
      <c r="Y86" s="136">
        <f t="shared" si="13"/>
        <v>0</v>
      </c>
      <c r="Z86" s="136">
        <f t="shared" si="13"/>
        <v>0</v>
      </c>
      <c r="AA86" s="136">
        <f t="shared" si="13"/>
        <v>0</v>
      </c>
      <c r="AB86" s="136">
        <f t="shared" si="13"/>
        <v>0</v>
      </c>
      <c r="AC86" s="136">
        <f t="shared" si="13"/>
        <v>0</v>
      </c>
      <c r="AD86" s="136">
        <f t="shared" si="13"/>
        <v>0</v>
      </c>
      <c r="AE86" s="136">
        <f t="shared" si="13"/>
        <v>0</v>
      </c>
      <c r="AF86" s="136">
        <f t="shared" si="13"/>
        <v>0</v>
      </c>
      <c r="AG86" s="136">
        <f t="shared" si="13"/>
        <v>0</v>
      </c>
      <c r="AH86" s="136">
        <f t="shared" si="13"/>
        <v>0</v>
      </c>
      <c r="AI86" s="136">
        <f t="shared" si="13"/>
        <v>0</v>
      </c>
      <c r="AJ86" s="136">
        <f t="shared" si="13"/>
        <v>0</v>
      </c>
      <c r="AK86" s="136">
        <f t="shared" si="13"/>
        <v>0</v>
      </c>
      <c r="AL86" s="136">
        <f t="shared" si="13"/>
        <v>0</v>
      </c>
      <c r="AM86" s="136">
        <f t="shared" si="13"/>
        <v>0</v>
      </c>
      <c r="AN86" s="136">
        <f t="shared" si="13"/>
        <v>0</v>
      </c>
      <c r="AO86" s="136">
        <f t="shared" si="13"/>
        <v>0</v>
      </c>
      <c r="AP86" s="136">
        <f t="shared" si="13"/>
        <v>0</v>
      </c>
      <c r="AQ86" s="136">
        <f t="shared" si="13"/>
        <v>0</v>
      </c>
      <c r="AR86" s="136">
        <f t="shared" si="13"/>
        <v>0</v>
      </c>
      <c r="AS86" s="136">
        <f t="shared" si="13"/>
        <v>0</v>
      </c>
      <c r="AT86" s="467"/>
    </row>
    <row r="87" spans="1:46" s="7" customFormat="1" ht="15.75" thickBot="1">
      <c r="A87" s="55"/>
      <c r="B87" s="435"/>
      <c r="C87" s="52"/>
      <c r="D87" s="17"/>
      <c r="E87" s="51"/>
      <c r="F87" s="51"/>
      <c r="G87" s="51"/>
      <c r="H87" s="51"/>
      <c r="I87" s="51"/>
      <c r="J87" s="51"/>
      <c r="K87" s="51"/>
      <c r="L87" s="51"/>
      <c r="M87" s="61"/>
      <c r="N87" s="21"/>
      <c r="O87" s="7" t="str">
        <f t="shared" si="12"/>
        <v>Total</v>
      </c>
      <c r="P87" s="627">
        <f t="shared" si="13"/>
        <v>1.4127912121381327</v>
      </c>
      <c r="Q87" s="627">
        <f t="shared" si="13"/>
        <v>1.4386141096032012</v>
      </c>
      <c r="R87" s="627">
        <f t="shared" si="13"/>
        <v>1.4631310811807898</v>
      </c>
      <c r="S87" s="627">
        <f t="shared" si="13"/>
        <v>1.488234799999876</v>
      </c>
      <c r="T87" s="627">
        <f t="shared" si="13"/>
        <v>3.1957572000126273</v>
      </c>
      <c r="U87" s="627">
        <f t="shared" si="13"/>
        <v>4.9612992987478508</v>
      </c>
      <c r="V87" s="627">
        <f t="shared" si="13"/>
        <v>6.7908986162307325</v>
      </c>
      <c r="W87" s="627">
        <f t="shared" si="13"/>
        <v>8.678900271256305</v>
      </c>
      <c r="X87" s="627">
        <f t="shared" si="13"/>
        <v>10.632047083920996</v>
      </c>
      <c r="Y87" s="627">
        <f t="shared" si="13"/>
        <v>12.650040764657659</v>
      </c>
      <c r="Z87" s="627">
        <f t="shared" si="13"/>
        <v>12.772423729151301</v>
      </c>
      <c r="AA87" s="627">
        <f t="shared" si="13"/>
        <v>12.899811830520429</v>
      </c>
      <c r="AB87" s="627">
        <f t="shared" si="13"/>
        <v>13.027327118946486</v>
      </c>
      <c r="AC87" s="627">
        <f t="shared" si="13"/>
        <v>13.15620449700822</v>
      </c>
      <c r="AD87" s="627">
        <f t="shared" si="13"/>
        <v>13.283415103237974</v>
      </c>
      <c r="AE87" s="627">
        <f t="shared" ref="AE87:AS87" si="15">AE61*AE$68</f>
        <v>13.415669385841611</v>
      </c>
      <c r="AF87" s="627">
        <f t="shared" si="15"/>
        <v>13.550539733760791</v>
      </c>
      <c r="AG87" s="627">
        <f t="shared" si="15"/>
        <v>13.683802924928624</v>
      </c>
      <c r="AH87" s="627">
        <f t="shared" si="15"/>
        <v>13.816091470587095</v>
      </c>
      <c r="AI87" s="627">
        <f t="shared" si="15"/>
        <v>13.949259869841271</v>
      </c>
      <c r="AJ87" s="627">
        <f t="shared" si="15"/>
        <v>14.083935311403852</v>
      </c>
      <c r="AK87" s="627">
        <f t="shared" si="15"/>
        <v>14.220133390003888</v>
      </c>
      <c r="AL87" s="627">
        <f t="shared" si="15"/>
        <v>14.357869880413711</v>
      </c>
      <c r="AM87" s="627">
        <f t="shared" si="15"/>
        <v>14.497160739451823</v>
      </c>
      <c r="AN87" s="627">
        <f t="shared" si="15"/>
        <v>14.638022108009796</v>
      </c>
      <c r="AO87" s="627">
        <f t="shared" si="15"/>
        <v>14.780470313103432</v>
      </c>
      <c r="AP87" s="627">
        <f t="shared" si="15"/>
        <v>14.924521869948599</v>
      </c>
      <c r="AQ87" s="627">
        <f t="shared" si="15"/>
        <v>15.070193484061944</v>
      </c>
      <c r="AR87" s="627">
        <f t="shared" si="15"/>
        <v>15.217502053386793</v>
      </c>
      <c r="AS87" s="627">
        <f t="shared" si="15"/>
        <v>15.36646467044455</v>
      </c>
      <c r="AT87" s="467"/>
    </row>
    <row r="88" spans="1:46" s="7" customFormat="1" ht="15.75" thickBot="1">
      <c r="A88" s="433"/>
      <c r="B88" s="434"/>
      <c r="C88" s="96"/>
      <c r="D88" s="21"/>
      <c r="E88" s="95"/>
      <c r="F88" s="95"/>
      <c r="G88" s="95"/>
      <c r="H88" s="95"/>
      <c r="I88" s="95"/>
      <c r="J88" s="95"/>
      <c r="K88" s="95"/>
      <c r="L88" s="95"/>
      <c r="M88" s="95"/>
      <c r="N88" s="21"/>
      <c r="O88" s="475"/>
      <c r="P88" s="475"/>
      <c r="Q88" s="475"/>
      <c r="R88" s="475"/>
      <c r="S88" s="475"/>
      <c r="T88" s="475"/>
      <c r="U88" s="475"/>
      <c r="V88" s="475"/>
      <c r="W88" s="475"/>
      <c r="X88" s="475"/>
      <c r="Y88" s="475"/>
      <c r="Z88" s="475"/>
      <c r="AA88" s="475"/>
      <c r="AB88" s="475"/>
      <c r="AC88" s="475"/>
      <c r="AD88" s="475"/>
      <c r="AE88" s="475"/>
      <c r="AF88" s="475"/>
      <c r="AG88" s="475"/>
      <c r="AH88" s="475"/>
      <c r="AI88" s="475"/>
      <c r="AJ88" s="475"/>
      <c r="AK88" s="475"/>
      <c r="AL88" s="475"/>
      <c r="AM88" s="475"/>
      <c r="AN88" s="475"/>
      <c r="AO88" s="475"/>
      <c r="AP88" s="475"/>
      <c r="AQ88" s="475"/>
      <c r="AR88" s="475"/>
      <c r="AS88" s="475"/>
      <c r="AT88" s="467"/>
    </row>
    <row r="89" spans="1:46" s="7" customFormat="1" ht="19.5" thickBot="1">
      <c r="A89" s="757" t="s">
        <v>510</v>
      </c>
      <c r="B89" s="758"/>
      <c r="C89" s="758"/>
      <c r="D89" s="758"/>
      <c r="E89" s="758"/>
      <c r="F89" s="758"/>
      <c r="G89" s="758"/>
      <c r="H89" s="758"/>
      <c r="I89" s="758"/>
      <c r="J89" s="758"/>
      <c r="K89" s="758"/>
      <c r="L89" s="758"/>
      <c r="M89" s="759"/>
      <c r="N89" s="21"/>
      <c r="O89" s="472" t="s">
        <v>598</v>
      </c>
      <c r="P89" s="481"/>
      <c r="Q89" s="481"/>
      <c r="R89" s="481"/>
      <c r="S89" s="481"/>
      <c r="T89" s="475"/>
      <c r="U89" s="475"/>
      <c r="V89" s="475"/>
      <c r="W89" s="475"/>
      <c r="X89" s="475"/>
      <c r="Y89" s="475"/>
      <c r="Z89" s="475"/>
      <c r="AA89" s="475"/>
      <c r="AB89" s="475"/>
      <c r="AC89" s="475"/>
      <c r="AD89" s="475"/>
      <c r="AE89" s="475"/>
      <c r="AF89" s="475"/>
      <c r="AG89" s="475"/>
      <c r="AH89" s="475"/>
      <c r="AI89" s="475"/>
      <c r="AJ89" s="475"/>
      <c r="AK89" s="475"/>
      <c r="AL89" s="475"/>
      <c r="AM89" s="475"/>
      <c r="AN89" s="475"/>
      <c r="AO89" s="475"/>
      <c r="AP89" s="475"/>
      <c r="AQ89" s="475"/>
      <c r="AR89" s="475"/>
      <c r="AS89" s="475"/>
      <c r="AT89" s="467"/>
    </row>
    <row r="90" spans="1:46" s="7" customFormat="1">
      <c r="A90" s="204" t="s">
        <v>508</v>
      </c>
      <c r="B90" s="25"/>
      <c r="C90" s="25"/>
      <c r="D90" s="25" t="s">
        <v>751</v>
      </c>
      <c r="E90" s="58"/>
      <c r="F90" s="58"/>
      <c r="G90" s="58"/>
      <c r="H90" s="58"/>
      <c r="I90" s="58"/>
      <c r="J90" s="58"/>
      <c r="K90" s="58"/>
      <c r="L90" s="58"/>
      <c r="M90" s="59"/>
      <c r="N90" s="21"/>
      <c r="O90" s="482" t="s">
        <v>660</v>
      </c>
      <c r="P90" s="483">
        <f t="shared" ref="P90:AS90" si="16">P78</f>
        <v>2021</v>
      </c>
      <c r="Q90" s="483">
        <f t="shared" si="16"/>
        <v>2022</v>
      </c>
      <c r="R90" s="483">
        <f t="shared" si="16"/>
        <v>2023</v>
      </c>
      <c r="S90" s="483">
        <f t="shared" si="16"/>
        <v>2024</v>
      </c>
      <c r="T90" s="483">
        <f t="shared" si="16"/>
        <v>2025</v>
      </c>
      <c r="U90" s="483">
        <f t="shared" si="16"/>
        <v>2026</v>
      </c>
      <c r="V90" s="483">
        <f t="shared" si="16"/>
        <v>2027</v>
      </c>
      <c r="W90" s="483">
        <f t="shared" si="16"/>
        <v>2028</v>
      </c>
      <c r="X90" s="483">
        <f t="shared" si="16"/>
        <v>2029</v>
      </c>
      <c r="Y90" s="483">
        <f t="shared" si="16"/>
        <v>2030</v>
      </c>
      <c r="Z90" s="483">
        <f t="shared" si="16"/>
        <v>2031</v>
      </c>
      <c r="AA90" s="483">
        <f t="shared" si="16"/>
        <v>2032</v>
      </c>
      <c r="AB90" s="483">
        <f t="shared" si="16"/>
        <v>2033</v>
      </c>
      <c r="AC90" s="483">
        <f t="shared" si="16"/>
        <v>2034</v>
      </c>
      <c r="AD90" s="483">
        <f t="shared" si="16"/>
        <v>2035</v>
      </c>
      <c r="AE90" s="483">
        <f t="shared" si="16"/>
        <v>2036</v>
      </c>
      <c r="AF90" s="483">
        <f t="shared" si="16"/>
        <v>2037</v>
      </c>
      <c r="AG90" s="483">
        <f t="shared" si="16"/>
        <v>2038</v>
      </c>
      <c r="AH90" s="483">
        <f t="shared" si="16"/>
        <v>2039</v>
      </c>
      <c r="AI90" s="483">
        <f t="shared" si="16"/>
        <v>2040</v>
      </c>
      <c r="AJ90" s="483">
        <f t="shared" si="16"/>
        <v>2041</v>
      </c>
      <c r="AK90" s="483">
        <f t="shared" si="16"/>
        <v>2042</v>
      </c>
      <c r="AL90" s="483">
        <f t="shared" si="16"/>
        <v>2043</v>
      </c>
      <c r="AM90" s="483">
        <f t="shared" si="16"/>
        <v>2044</v>
      </c>
      <c r="AN90" s="483">
        <f t="shared" si="16"/>
        <v>2045</v>
      </c>
      <c r="AO90" s="483">
        <f t="shared" si="16"/>
        <v>2046</v>
      </c>
      <c r="AP90" s="483">
        <f t="shared" si="16"/>
        <v>2047</v>
      </c>
      <c r="AQ90" s="483">
        <f t="shared" si="16"/>
        <v>2048</v>
      </c>
      <c r="AR90" s="483">
        <f t="shared" si="16"/>
        <v>2049</v>
      </c>
      <c r="AS90" s="483">
        <f t="shared" si="16"/>
        <v>2050</v>
      </c>
      <c r="AT90" s="467"/>
    </row>
    <row r="91" spans="1:46" s="7" customFormat="1">
      <c r="A91" s="128" t="s">
        <v>748</v>
      </c>
      <c r="B91" s="645" t="s">
        <v>755</v>
      </c>
      <c r="C91" s="646"/>
      <c r="D91" s="646" t="s">
        <v>752</v>
      </c>
      <c r="E91" s="37"/>
      <c r="F91" s="37"/>
      <c r="G91" s="37"/>
      <c r="H91" s="37"/>
      <c r="I91" s="37"/>
      <c r="J91" s="37"/>
      <c r="K91" s="37"/>
      <c r="L91" s="37"/>
      <c r="M91" s="38"/>
      <c r="N91" s="21"/>
      <c r="O91" s="518" t="s">
        <v>563</v>
      </c>
      <c r="P91" s="631">
        <f>IF(AND((P90-2019)&gt;$B$94,(P90-2021)&lt;$C$94),(100+($B$92/($C$94-$B$94+1))),100)</f>
        <v>100</v>
      </c>
      <c r="Q91" s="631">
        <f>IF(AND((Q90-2019)&gt;$B$94,(Q90-2021)&lt;$C$94),(P91+($B$92/($C$94-$B$94+1))),P91)</f>
        <v>100</v>
      </c>
      <c r="R91" s="619">
        <f t="shared" ref="R91:AS91" si="17">IF(AND((R90-2019)&gt;$B$94,(R90-2021)&lt;$C$94),(Q91+($B$92/($C$94-$B$94+1))),Q91)</f>
        <v>100</v>
      </c>
      <c r="S91" s="619">
        <f t="shared" si="17"/>
        <v>100</v>
      </c>
      <c r="T91" s="619">
        <f t="shared" si="17"/>
        <v>95</v>
      </c>
      <c r="U91" s="619">
        <f t="shared" si="17"/>
        <v>95</v>
      </c>
      <c r="V91" s="619">
        <f t="shared" si="17"/>
        <v>95</v>
      </c>
      <c r="W91" s="619">
        <f t="shared" si="17"/>
        <v>95</v>
      </c>
      <c r="X91" s="619">
        <f t="shared" si="17"/>
        <v>95</v>
      </c>
      <c r="Y91" s="619">
        <f t="shared" si="17"/>
        <v>95</v>
      </c>
      <c r="Z91" s="619">
        <f t="shared" si="17"/>
        <v>95</v>
      </c>
      <c r="AA91" s="619">
        <f t="shared" si="17"/>
        <v>95</v>
      </c>
      <c r="AB91" s="619">
        <f t="shared" si="17"/>
        <v>95</v>
      </c>
      <c r="AC91" s="619">
        <f t="shared" si="17"/>
        <v>95</v>
      </c>
      <c r="AD91" s="619">
        <f t="shared" si="17"/>
        <v>95</v>
      </c>
      <c r="AE91" s="619">
        <f t="shared" si="17"/>
        <v>95</v>
      </c>
      <c r="AF91" s="619">
        <f t="shared" si="17"/>
        <v>95</v>
      </c>
      <c r="AG91" s="619">
        <f t="shared" si="17"/>
        <v>95</v>
      </c>
      <c r="AH91" s="619">
        <f t="shared" si="17"/>
        <v>95</v>
      </c>
      <c r="AI91" s="619">
        <f t="shared" si="17"/>
        <v>95</v>
      </c>
      <c r="AJ91" s="619">
        <f t="shared" si="17"/>
        <v>95</v>
      </c>
      <c r="AK91" s="619">
        <f t="shared" si="17"/>
        <v>95</v>
      </c>
      <c r="AL91" s="619">
        <f t="shared" si="17"/>
        <v>95</v>
      </c>
      <c r="AM91" s="619">
        <f t="shared" si="17"/>
        <v>95</v>
      </c>
      <c r="AN91" s="619">
        <f t="shared" si="17"/>
        <v>95</v>
      </c>
      <c r="AO91" s="619">
        <f t="shared" si="17"/>
        <v>95</v>
      </c>
      <c r="AP91" s="619">
        <f t="shared" si="17"/>
        <v>95</v>
      </c>
      <c r="AQ91" s="619">
        <f t="shared" si="17"/>
        <v>95</v>
      </c>
      <c r="AR91" s="619">
        <f t="shared" si="17"/>
        <v>95</v>
      </c>
      <c r="AS91" s="619">
        <f t="shared" si="17"/>
        <v>95</v>
      </c>
      <c r="AT91" s="467" t="s">
        <v>570</v>
      </c>
    </row>
    <row r="92" spans="1:46" s="7" customFormat="1">
      <c r="A92" s="208" t="s">
        <v>749</v>
      </c>
      <c r="B92" s="209">
        <v>-5</v>
      </c>
      <c r="C92" s="182"/>
      <c r="D92" s="413">
        <v>15</v>
      </c>
      <c r="E92" s="37"/>
      <c r="F92" s="735" t="s">
        <v>756</v>
      </c>
      <c r="G92" s="37"/>
      <c r="H92" s="37"/>
      <c r="I92" s="37"/>
      <c r="J92" s="37"/>
      <c r="K92" s="37"/>
      <c r="L92" s="37"/>
      <c r="M92" s="38"/>
      <c r="N92" s="21"/>
      <c r="O92" s="481" t="str">
        <f>O79</f>
        <v>Motor coaches, buses and trolley buses</v>
      </c>
      <c r="P92" s="630">
        <f>('USER INPUTS'!$D$92/100*P91/100*'LOCAL DATASET INPUTS'!E70)+((100-'USER INPUTS'!$D$92)/100*'LOCAL DATASET INPUTS'!E70)</f>
        <v>2.6553882767968324</v>
      </c>
      <c r="Q92" s="630">
        <f>('USER INPUTS'!$D$92/100*Q91/100*'LOCAL DATASET INPUTS'!F70)+((100-'USER INPUTS'!$D$92)/100*'LOCAL DATASET INPUTS'!F70)</f>
        <v>2.6739759947344108</v>
      </c>
      <c r="R92" s="630">
        <f>('USER INPUTS'!$D$92/100*R91/100*'LOCAL DATASET INPUTS'!G70)+((100-'USER INPUTS'!$D$92)/100*'LOCAL DATASET INPUTS'!G70)</f>
        <v>2.6846718987133484</v>
      </c>
      <c r="S92" s="630">
        <f>('USER INPUTS'!$D$92/100*S91/100*'LOCAL DATASET INPUTS'!H70)+((100-'USER INPUTS'!$D$92)/100*'LOCAL DATASET INPUTS'!H70)</f>
        <v>2.7007799301056283</v>
      </c>
      <c r="T92" s="630">
        <f>('USER INPUTS'!$D$92/100*T91/100*'LOCAL DATASET INPUTS'!I70)+((100-'USER INPUTS'!$D$92)/100*'LOCAL DATASET INPUTS'!I70)</f>
        <v>2.6966072251136151</v>
      </c>
      <c r="U92" s="630">
        <f>('USER INPUTS'!$D$92/100*U91/100*'LOCAL DATASET INPUTS'!J70)+((100-'USER INPUTS'!$D$92)/100*'LOCAL DATASET INPUTS'!J70)</f>
        <v>2.7020004395638422</v>
      </c>
      <c r="V92" s="630">
        <f>('USER INPUTS'!$D$92/100*V91/100*'LOCAL DATASET INPUTS'!K70)+((100-'USER INPUTS'!$D$92)/100*'LOCAL DATASET INPUTS'!K70)</f>
        <v>2.7425304461572995</v>
      </c>
      <c r="W92" s="630">
        <f>('USER INPUTS'!$D$92/100*W91/100*'LOCAL DATASET INPUTS'!L70)+((100-'USER INPUTS'!$D$92)/100*'LOCAL DATASET INPUTS'!L70)</f>
        <v>2.7507580374957707</v>
      </c>
      <c r="X92" s="630">
        <f>('USER INPUTS'!$D$92/100*X91/100*'LOCAL DATASET INPUTS'!M70)+((100-'USER INPUTS'!$D$92)/100*'LOCAL DATASET INPUTS'!M70)</f>
        <v>2.770013343758241</v>
      </c>
      <c r="Y92" s="630">
        <f>('USER INPUTS'!$D$92/100*Y91/100*'LOCAL DATASET INPUTS'!N70)+((100-'USER INPUTS'!$D$92)/100*'LOCAL DATASET INPUTS'!N70)</f>
        <v>2.7866334238207906</v>
      </c>
      <c r="Z92" s="630">
        <f>('USER INPUTS'!$D$92/100*Z91/100*'LOCAL DATASET INPUTS'!O70)+((100-'USER INPUTS'!$D$92)/100*'LOCAL DATASET INPUTS'!O70)</f>
        <v>2.7949933240922529</v>
      </c>
      <c r="AA92" s="630">
        <f>('USER INPUTS'!$D$92/100*AA91/100*'LOCAL DATASET INPUTS'!P70)+((100-'USER INPUTS'!$D$92)/100*'LOCAL DATASET INPUTS'!P70)</f>
        <v>2.8201482640090836</v>
      </c>
      <c r="AB92" s="630">
        <f>('USER INPUTS'!$D$92/100*AB91/100*'LOCAL DATASET INPUTS'!Q70)+((100-'USER INPUTS'!$D$92)/100*'LOCAL DATASET INPUTS'!Q70)</f>
        <v>2.8398893018571476</v>
      </c>
      <c r="AC92" s="630">
        <f>('USER INPUTS'!$D$92/100*AC91/100*'LOCAL DATASET INPUTS'!R70)+((100-'USER INPUTS'!$D$92)/100*'LOCAL DATASET INPUTS'!R70)</f>
        <v>2.8597685269701483</v>
      </c>
      <c r="AD92" s="630">
        <f>('USER INPUTS'!$D$92/100*AD91/100*'LOCAL DATASET INPUTS'!S70)+((100-'USER INPUTS'!$D$92)/100*'LOCAL DATASET INPUTS'!S70)</f>
        <v>2.8654880640240883</v>
      </c>
      <c r="AE92" s="630">
        <f>('USER INPUTS'!$D$92/100*AE91/100*'LOCAL DATASET INPUTS'!T70)+((100-'USER INPUTS'!$D$92)/100*'LOCAL DATASET INPUTS'!T70)</f>
        <v>2.8884119685362815</v>
      </c>
      <c r="AF92" s="630">
        <f>('USER INPUTS'!$D$92/100*AF91/100*'LOCAL DATASET INPUTS'!U70)+((100-'USER INPUTS'!$D$92)/100*'LOCAL DATASET INPUTS'!U70)</f>
        <v>2.9172960882216441</v>
      </c>
      <c r="AG92" s="630">
        <f>('USER INPUTS'!$D$92/100*AG91/100*'LOCAL DATASET INPUTS'!V70)+((100-'USER INPUTS'!$D$92)/100*'LOCAL DATASET INPUTS'!V70)</f>
        <v>2.9318825686627519</v>
      </c>
      <c r="AH92" s="630">
        <f>('USER INPUTS'!$D$92/100*AH91/100*'LOCAL DATASET INPUTS'!W70)+((100-'USER INPUTS'!$D$92)/100*'LOCAL DATASET INPUTS'!W70)</f>
        <v>2.9348144512314147</v>
      </c>
      <c r="AI92" s="630">
        <f>('USER INPUTS'!$D$92/100*AI91/100*'LOCAL DATASET INPUTS'!X70)+((100-'USER INPUTS'!$D$92)/100*'LOCAL DATASET INPUTS'!X70)</f>
        <v>2.9348144512314147</v>
      </c>
      <c r="AJ92" s="630">
        <f>('USER INPUTS'!$D$92/100*AJ91/100*'LOCAL DATASET INPUTS'!Y70)+((100-'USER INPUTS'!$D$92)/100*'LOCAL DATASET INPUTS'!Y70)</f>
        <v>2.9348144512314147</v>
      </c>
      <c r="AK92" s="630">
        <f>('USER INPUTS'!$D$92/100*AK91/100*'LOCAL DATASET INPUTS'!Z70)+((100-'USER INPUTS'!$D$92)/100*'LOCAL DATASET INPUTS'!Z70)</f>
        <v>2.9348144512314147</v>
      </c>
      <c r="AL92" s="630">
        <f>('USER INPUTS'!$D$92/100*AL91/100*'LOCAL DATASET INPUTS'!AA70)+((100-'USER INPUTS'!$D$92)/100*'LOCAL DATASET INPUTS'!AA70)</f>
        <v>2.9348144512314147</v>
      </c>
      <c r="AM92" s="630">
        <f>('USER INPUTS'!$D$92/100*AM91/100*'LOCAL DATASET INPUTS'!AB70)+((100-'USER INPUTS'!$D$92)/100*'LOCAL DATASET INPUTS'!AB70)</f>
        <v>2.9348144512314147</v>
      </c>
      <c r="AN92" s="630">
        <f>('USER INPUTS'!$D$92/100*AN91/100*'LOCAL DATASET INPUTS'!AC70)+((100-'USER INPUTS'!$D$92)/100*'LOCAL DATASET INPUTS'!AC70)</f>
        <v>2.9348144512314147</v>
      </c>
      <c r="AO92" s="630">
        <f>('USER INPUTS'!$D$92/100*AO91/100*'LOCAL DATASET INPUTS'!AD70)+((100-'USER INPUTS'!$D$92)/100*'LOCAL DATASET INPUTS'!AD70)</f>
        <v>2.9348144512314147</v>
      </c>
      <c r="AP92" s="630">
        <f>('USER INPUTS'!$D$92/100*AP91/100*'LOCAL DATASET INPUTS'!AE70)+((100-'USER INPUTS'!$D$92)/100*'LOCAL DATASET INPUTS'!AE70)</f>
        <v>2.9348144512314147</v>
      </c>
      <c r="AQ92" s="630">
        <f>('USER INPUTS'!$D$92/100*AQ91/100*'LOCAL DATASET INPUTS'!AF70)+((100-'USER INPUTS'!$D$92)/100*'LOCAL DATASET INPUTS'!AF70)</f>
        <v>2.9348144512314147</v>
      </c>
      <c r="AR92" s="630">
        <f>('USER INPUTS'!$D$92/100*AR91/100*'LOCAL DATASET INPUTS'!AG70)+((100-'USER INPUTS'!$D$92)/100*'LOCAL DATASET INPUTS'!AG70)</f>
        <v>2.9348144512314147</v>
      </c>
      <c r="AS92" s="630">
        <f>('USER INPUTS'!$D$92/100*AS91/100*'LOCAL DATASET INPUTS'!AH70)+((100-'USER INPUTS'!$D$92)/100*'LOCAL DATASET INPUTS'!AH70)</f>
        <v>2.9348144512314147</v>
      </c>
      <c r="AT92" s="467"/>
    </row>
    <row r="93" spans="1:46" s="7" customFormat="1">
      <c r="A93" s="208" t="s">
        <v>750</v>
      </c>
      <c r="B93" s="388" t="s">
        <v>753</v>
      </c>
      <c r="C93" s="388" t="s">
        <v>754</v>
      </c>
      <c r="D93" s="5"/>
      <c r="E93" s="37"/>
      <c r="F93" s="37"/>
      <c r="G93" s="37"/>
      <c r="H93" s="37"/>
      <c r="I93" s="37"/>
      <c r="J93" s="37"/>
      <c r="K93" s="37"/>
      <c r="L93" s="37"/>
      <c r="M93" s="38"/>
      <c r="N93" s="21"/>
      <c r="O93" s="481" t="str">
        <f>O80</f>
        <v>Passenger cars</v>
      </c>
      <c r="P93" s="630">
        <f>('USER INPUTS'!$D$92/100*P91/100*'LOCAL DATASET INPUTS'!E120)+((100-'USER INPUTS'!$D$92)/100*'LOCAL DATASET INPUTS'!E120)</f>
        <v>89.700418125242422</v>
      </c>
      <c r="Q93" s="630">
        <f>('USER INPUTS'!$D$92/100*Q91/100*'LOCAL DATASET INPUTS'!F120)+((100-'USER INPUTS'!$D$92)/100*'LOCAL DATASET INPUTS'!F120)</f>
        <v>91.315025651496768</v>
      </c>
      <c r="R93" s="630">
        <f>('USER INPUTS'!$D$92/100*R91/100*'LOCAL DATASET INPUTS'!G120)+((100-'USER INPUTS'!$D$92)/100*'LOCAL DATASET INPUTS'!G120)</f>
        <v>92.958696113223724</v>
      </c>
      <c r="S93" s="630">
        <f>('USER INPUTS'!$D$92/100*S91/100*'LOCAL DATASET INPUTS'!H120)+((100-'USER INPUTS'!$D$92)/100*'LOCAL DATASET INPUTS'!H120)</f>
        <v>94.631952643261755</v>
      </c>
      <c r="T93" s="630">
        <f>('USER INPUTS'!$D$92/100*T91/100*'LOCAL DATASET INPUTS'!I120)+((100-'USER INPUTS'!$D$92)/100*'LOCAL DATASET INPUTS'!I120)</f>
        <v>95.612812832409176</v>
      </c>
      <c r="U93" s="630">
        <f>('USER INPUTS'!$D$92/100*U91/100*'LOCAL DATASET INPUTS'!J120)+((100-'USER INPUTS'!$D$92)/100*'LOCAL DATASET INPUTS'!J120)</f>
        <v>97.333843463392512</v>
      </c>
      <c r="V93" s="630">
        <f>('USER INPUTS'!$D$92/100*V91/100*'LOCAL DATASET INPUTS'!K120)+((100-'USER INPUTS'!$D$92)/100*'LOCAL DATASET INPUTS'!K120)</f>
        <v>99.08585264573361</v>
      </c>
      <c r="W93" s="630">
        <f>('USER INPUTS'!$D$92/100*W91/100*'LOCAL DATASET INPUTS'!L120)+((100-'USER INPUTS'!$D$92)/100*'LOCAL DATASET INPUTS'!L120)</f>
        <v>100.86939799335681</v>
      </c>
      <c r="X93" s="630">
        <f>('USER INPUTS'!$D$92/100*X91/100*'LOCAL DATASET INPUTS'!M120)+((100-'USER INPUTS'!$D$92)/100*'LOCAL DATASET INPUTS'!M120)</f>
        <v>102.68504715723725</v>
      </c>
      <c r="Y93" s="630">
        <f>('USER INPUTS'!$D$92/100*Y91/100*'LOCAL DATASET INPUTS'!N120)+((100-'USER INPUTS'!$D$92)/100*'LOCAL DATASET INPUTS'!N120)</f>
        <v>104.53337800606752</v>
      </c>
      <c r="Z93" s="630">
        <f>('USER INPUTS'!$D$92/100*Z91/100*'LOCAL DATASET INPUTS'!O120)+((100-'USER INPUTS'!$D$92)/100*'LOCAL DATASET INPUTS'!O120)</f>
        <v>106.41497881017673</v>
      </c>
      <c r="AA93" s="630">
        <f>('USER INPUTS'!$D$92/100*AA91/100*'LOCAL DATASET INPUTS'!P120)+((100-'USER INPUTS'!$D$92)/100*'LOCAL DATASET INPUTS'!P120)</f>
        <v>108.33044842875992</v>
      </c>
      <c r="AB93" s="630">
        <f>('USER INPUTS'!$D$92/100*AB91/100*'LOCAL DATASET INPUTS'!Q120)+((100-'USER INPUTS'!$D$92)/100*'LOCAL DATASET INPUTS'!Q120)</f>
        <v>110.28039650047759</v>
      </c>
      <c r="AC93" s="630">
        <f>('USER INPUTS'!$D$92/100*AC91/100*'LOCAL DATASET INPUTS'!R120)+((100-'USER INPUTS'!$D$92)/100*'LOCAL DATASET INPUTS'!R120)</f>
        <v>112.2654436374862</v>
      </c>
      <c r="AD93" s="630">
        <f>('USER INPUTS'!$D$92/100*AD91/100*'LOCAL DATASET INPUTS'!S120)+((100-'USER INPUTS'!$D$92)/100*'LOCAL DATASET INPUTS'!S120)</f>
        <v>114.28622162296095</v>
      </c>
      <c r="AE93" s="630">
        <f>('USER INPUTS'!$D$92/100*AE91/100*'LOCAL DATASET INPUTS'!T120)+((100-'USER INPUTS'!$D$92)/100*'LOCAL DATASET INPUTS'!T120)</f>
        <v>116.34337361217425</v>
      </c>
      <c r="AF93" s="630">
        <f>('USER INPUTS'!$D$92/100*AF91/100*'LOCAL DATASET INPUTS'!U120)+((100-'USER INPUTS'!$D$92)/100*'LOCAL DATASET INPUTS'!U120)</f>
        <v>118.43755433719339</v>
      </c>
      <c r="AG93" s="630">
        <f>('USER INPUTS'!$D$92/100*AG91/100*'LOCAL DATASET INPUTS'!V120)+((100-'USER INPUTS'!$D$92)/100*'LOCAL DATASET INPUTS'!V120)</f>
        <v>120.56943031526288</v>
      </c>
      <c r="AH93" s="630">
        <f>('USER INPUTS'!$D$92/100*AH91/100*'LOCAL DATASET INPUTS'!W120)+((100-'USER INPUTS'!$D$92)/100*'LOCAL DATASET INPUTS'!W120)</f>
        <v>122.73968006093759</v>
      </c>
      <c r="AI93" s="630">
        <f>('USER INPUTS'!$D$92/100*AI91/100*'LOCAL DATASET INPUTS'!X120)+((100-'USER INPUTS'!$D$92)/100*'LOCAL DATASET INPUTS'!X120)</f>
        <v>124.94899430203449</v>
      </c>
      <c r="AJ93" s="630">
        <f>('USER INPUTS'!$D$92/100*AJ91/100*'LOCAL DATASET INPUTS'!Y120)+((100-'USER INPUTS'!$D$92)/100*'LOCAL DATASET INPUTS'!Y120)</f>
        <v>127.19807619947112</v>
      </c>
      <c r="AK93" s="630">
        <f>('USER INPUTS'!$D$92/100*AK91/100*'LOCAL DATASET INPUTS'!Z120)+((100-'USER INPUTS'!$D$92)/100*'LOCAL DATASET INPUTS'!Z120)</f>
        <v>129.4876415710616</v>
      </c>
      <c r="AL93" s="630">
        <f>('USER INPUTS'!$D$92/100*AL91/100*'LOCAL DATASET INPUTS'!AA120)+((100-'USER INPUTS'!$D$92)/100*'LOCAL DATASET INPUTS'!AA120)</f>
        <v>131.81841911934072</v>
      </c>
      <c r="AM93" s="630">
        <f>('USER INPUTS'!$D$92/100*AM91/100*'LOCAL DATASET INPUTS'!AB120)+((100-'USER INPUTS'!$D$92)/100*'LOCAL DATASET INPUTS'!AB120)</f>
        <v>134.19115066348886</v>
      </c>
      <c r="AN93" s="630">
        <f>('USER INPUTS'!$D$92/100*AN91/100*'LOCAL DATASET INPUTS'!AC120)+((100-'USER INPUTS'!$D$92)/100*'LOCAL DATASET INPUTS'!AC120)</f>
        <v>136.60659137543166</v>
      </c>
      <c r="AO93" s="630">
        <f>('USER INPUTS'!$D$92/100*AO91/100*'LOCAL DATASET INPUTS'!AD120)+((100-'USER INPUTS'!$D$92)/100*'LOCAL DATASET INPUTS'!AD120)</f>
        <v>139.06551002018944</v>
      </c>
      <c r="AP93" s="630">
        <f>('USER INPUTS'!$D$92/100*AP91/100*'LOCAL DATASET INPUTS'!AE120)+((100-'USER INPUTS'!$D$92)/100*'LOCAL DATASET INPUTS'!AE120)</f>
        <v>141.56868920055285</v>
      </c>
      <c r="AQ93" s="630">
        <f>('USER INPUTS'!$D$92/100*AQ91/100*'LOCAL DATASET INPUTS'!AF120)+((100-'USER INPUTS'!$D$92)/100*'LOCAL DATASET INPUTS'!AF120)</f>
        <v>144.11692560616279</v>
      </c>
      <c r="AR93" s="630">
        <f>('USER INPUTS'!$D$92/100*AR91/100*'LOCAL DATASET INPUTS'!AG120)+((100-'USER INPUTS'!$D$92)/100*'LOCAL DATASET INPUTS'!AG120)</f>
        <v>146.71103026707374</v>
      </c>
      <c r="AS93" s="630">
        <f>('USER INPUTS'!$D$92/100*AS91/100*'LOCAL DATASET INPUTS'!AH120)+((100-'USER INPUTS'!$D$92)/100*'LOCAL DATASET INPUTS'!AH120)</f>
        <v>149.35182881188109</v>
      </c>
      <c r="AT93" s="484"/>
    </row>
    <row r="94" spans="1:46" s="7" customFormat="1">
      <c r="A94" s="13"/>
      <c r="B94" s="2">
        <v>5</v>
      </c>
      <c r="C94" s="2">
        <v>5</v>
      </c>
      <c r="D94" s="2" t="str">
        <f>IF(C94&lt;B94,"check inputs!","")</f>
        <v/>
      </c>
      <c r="E94" s="37"/>
      <c r="F94" s="37"/>
      <c r="G94" s="37"/>
      <c r="H94" s="37"/>
      <c r="I94" s="37"/>
      <c r="J94" s="37"/>
      <c r="K94" s="37"/>
      <c r="L94" s="37"/>
      <c r="M94" s="38"/>
      <c r="N94" s="21"/>
      <c r="O94" s="481" t="str">
        <f>O81</f>
        <v>Metro</v>
      </c>
      <c r="P94" s="516">
        <f>('USER INPUTS'!$D$92/100*P91/100*'LOCAL DATASET INPUTS'!E148)+((100-'USER INPUTS'!$D$92)/100*'LOCAL DATASET INPUTS'!E148)</f>
        <v>0</v>
      </c>
      <c r="Q94" s="516">
        <f>('USER INPUTS'!$D$92/100*Q91/100*'LOCAL DATASET INPUTS'!F148)+((100-'USER INPUTS'!$D$92)/100*'LOCAL DATASET INPUTS'!F148)</f>
        <v>0</v>
      </c>
      <c r="R94" s="516">
        <f>('USER INPUTS'!$D$92/100*R91/100*'LOCAL DATASET INPUTS'!G148)+((100-'USER INPUTS'!$D$92)/100*'LOCAL DATASET INPUTS'!G148)</f>
        <v>0</v>
      </c>
      <c r="S94" s="516">
        <f>('USER INPUTS'!$D$92/100*S91/100*'LOCAL DATASET INPUTS'!H148)+((100-'USER INPUTS'!$D$92)/100*'LOCAL DATASET INPUTS'!H148)</f>
        <v>0</v>
      </c>
      <c r="T94" s="516">
        <f>('USER INPUTS'!$D$92/100*T91/100*'LOCAL DATASET INPUTS'!I148)+((100-'USER INPUTS'!$D$92)/100*'LOCAL DATASET INPUTS'!I148)</f>
        <v>0</v>
      </c>
      <c r="U94" s="516">
        <f>('USER INPUTS'!$D$92/100*U91/100*'LOCAL DATASET INPUTS'!J148)+((100-'USER INPUTS'!$D$92)/100*'LOCAL DATASET INPUTS'!J148)</f>
        <v>0</v>
      </c>
      <c r="V94" s="516">
        <f>('USER INPUTS'!$D$92/100*V91/100*'LOCAL DATASET INPUTS'!K148)+((100-'USER INPUTS'!$D$92)/100*'LOCAL DATASET INPUTS'!K148)</f>
        <v>0</v>
      </c>
      <c r="W94" s="516">
        <f>('USER INPUTS'!$D$92/100*W91/100*'LOCAL DATASET INPUTS'!L148)+((100-'USER INPUTS'!$D$92)/100*'LOCAL DATASET INPUTS'!L148)</f>
        <v>0</v>
      </c>
      <c r="X94" s="516">
        <f>('USER INPUTS'!$D$92/100*X91/100*'LOCAL DATASET INPUTS'!M148)+((100-'USER INPUTS'!$D$92)/100*'LOCAL DATASET INPUTS'!M148)</f>
        <v>0</v>
      </c>
      <c r="Y94" s="516">
        <f>('USER INPUTS'!$D$92/100*Y91/100*'LOCAL DATASET INPUTS'!N148)+((100-'USER INPUTS'!$D$92)/100*'LOCAL DATASET INPUTS'!N148)</f>
        <v>0</v>
      </c>
      <c r="Z94" s="516">
        <f>('USER INPUTS'!$D$92/100*Z91/100*'LOCAL DATASET INPUTS'!O148)+((100-'USER INPUTS'!$D$92)/100*'LOCAL DATASET INPUTS'!O148)</f>
        <v>0</v>
      </c>
      <c r="AA94" s="516">
        <f>('USER INPUTS'!$D$92/100*AA91/100*'LOCAL DATASET INPUTS'!P148)+((100-'USER INPUTS'!$D$92)/100*'LOCAL DATASET INPUTS'!P148)</f>
        <v>0</v>
      </c>
      <c r="AB94" s="516">
        <f>('USER INPUTS'!$D$92/100*AB91/100*'LOCAL DATASET INPUTS'!Q148)+((100-'USER INPUTS'!$D$92)/100*'LOCAL DATASET INPUTS'!Q148)</f>
        <v>0</v>
      </c>
      <c r="AC94" s="516">
        <f>('USER INPUTS'!$D$92/100*AC91/100*'LOCAL DATASET INPUTS'!R148)+((100-'USER INPUTS'!$D$92)/100*'LOCAL DATASET INPUTS'!R148)</f>
        <v>0</v>
      </c>
      <c r="AD94" s="516">
        <f>('USER INPUTS'!$D$92/100*AD91/100*'LOCAL DATASET INPUTS'!S148)+((100-'USER INPUTS'!$D$92)/100*'LOCAL DATASET INPUTS'!S148)</f>
        <v>0</v>
      </c>
      <c r="AE94" s="516">
        <f>('USER INPUTS'!$D$92/100*AE91/100*'LOCAL DATASET INPUTS'!T148)+((100-'USER INPUTS'!$D$92)/100*'LOCAL DATASET INPUTS'!T148)</f>
        <v>0</v>
      </c>
      <c r="AF94" s="516">
        <f>('USER INPUTS'!$D$92/100*AF91/100*'LOCAL DATASET INPUTS'!U148)+((100-'USER INPUTS'!$D$92)/100*'LOCAL DATASET INPUTS'!U148)</f>
        <v>0</v>
      </c>
      <c r="AG94" s="516">
        <f>('USER INPUTS'!$D$92/100*AG91/100*'LOCAL DATASET INPUTS'!V148)+((100-'USER INPUTS'!$D$92)/100*'LOCAL DATASET INPUTS'!V148)</f>
        <v>0</v>
      </c>
      <c r="AH94" s="516">
        <f>('USER INPUTS'!$D$92/100*AH91/100*'LOCAL DATASET INPUTS'!W148)+((100-'USER INPUTS'!$D$92)/100*'LOCAL DATASET INPUTS'!W148)</f>
        <v>0</v>
      </c>
      <c r="AI94" s="516">
        <f>('USER INPUTS'!$D$92/100*AI91/100*'LOCAL DATASET INPUTS'!X148)+((100-'USER INPUTS'!$D$92)/100*'LOCAL DATASET INPUTS'!X148)</f>
        <v>0</v>
      </c>
      <c r="AJ94" s="516">
        <f>('USER INPUTS'!$D$92/100*AJ91/100*'LOCAL DATASET INPUTS'!Y148)+((100-'USER INPUTS'!$D$92)/100*'LOCAL DATASET INPUTS'!Y148)</f>
        <v>0</v>
      </c>
      <c r="AK94" s="516">
        <f>('USER INPUTS'!$D$92/100*AK91/100*'LOCAL DATASET INPUTS'!Z148)+((100-'USER INPUTS'!$D$92)/100*'LOCAL DATASET INPUTS'!Z148)</f>
        <v>0</v>
      </c>
      <c r="AL94" s="516">
        <f>('USER INPUTS'!$D$92/100*AL91/100*'LOCAL DATASET INPUTS'!AA148)+((100-'USER INPUTS'!$D$92)/100*'LOCAL DATASET INPUTS'!AA148)</f>
        <v>0</v>
      </c>
      <c r="AM94" s="516">
        <f>('USER INPUTS'!$D$92/100*AM91/100*'LOCAL DATASET INPUTS'!AB148)+((100-'USER INPUTS'!$D$92)/100*'LOCAL DATASET INPUTS'!AB148)</f>
        <v>0</v>
      </c>
      <c r="AN94" s="516">
        <f>('USER INPUTS'!$D$92/100*AN91/100*'LOCAL DATASET INPUTS'!AC148)+((100-'USER INPUTS'!$D$92)/100*'LOCAL DATASET INPUTS'!AC148)</f>
        <v>0</v>
      </c>
      <c r="AO94" s="516">
        <f>('USER INPUTS'!$D$92/100*AO91/100*'LOCAL DATASET INPUTS'!AD148)+((100-'USER INPUTS'!$D$92)/100*'LOCAL DATASET INPUTS'!AD148)</f>
        <v>0</v>
      </c>
      <c r="AP94" s="516">
        <f>('USER INPUTS'!$D$92/100*AP91/100*'LOCAL DATASET INPUTS'!AE148)+((100-'USER INPUTS'!$D$92)/100*'LOCAL DATASET INPUTS'!AE148)</f>
        <v>0</v>
      </c>
      <c r="AQ94" s="516">
        <f>('USER INPUTS'!$D$92/100*AQ91/100*'LOCAL DATASET INPUTS'!AF148)+((100-'USER INPUTS'!$D$92)/100*'LOCAL DATASET INPUTS'!AF148)</f>
        <v>0</v>
      </c>
      <c r="AR94" s="516">
        <f>('USER INPUTS'!$D$92/100*AR91/100*'LOCAL DATASET INPUTS'!AG148)+((100-'USER INPUTS'!$D$92)/100*'LOCAL DATASET INPUTS'!AG148)</f>
        <v>0</v>
      </c>
      <c r="AS94" s="516">
        <f>('USER INPUTS'!$D$92/100*AS91/100*'LOCAL DATASET INPUTS'!AH148)+((100-'USER INPUTS'!$D$92)/100*'LOCAL DATASET INPUTS'!AH148)</f>
        <v>0</v>
      </c>
      <c r="AT94" s="469"/>
    </row>
    <row r="95" spans="1:46" s="7" customFormat="1">
      <c r="A95" s="13"/>
      <c r="B95" s="388"/>
      <c r="C95" s="388"/>
      <c r="D95" s="5"/>
      <c r="E95" s="37"/>
      <c r="F95" s="37"/>
      <c r="G95" s="37"/>
      <c r="H95" s="37"/>
      <c r="I95" s="37"/>
      <c r="J95" s="37"/>
      <c r="K95" s="37"/>
      <c r="L95" s="37"/>
      <c r="M95" s="38"/>
      <c r="N95" s="21"/>
      <c r="O95" s="481" t="str">
        <f>O82</f>
        <v>Tram, light train</v>
      </c>
      <c r="P95" s="516">
        <f>('USER INPUTS'!$D$92/100*P91/100*'LOCAL DATASET INPUTS'!E215)+((100-'USER INPUTS'!$D$92)/100*'LOCAL DATASET INPUTS'!E215)</f>
        <v>0</v>
      </c>
      <c r="Q95" s="516">
        <f>('USER INPUTS'!$D$92/100*Q91/100*'LOCAL DATASET INPUTS'!F215)+((100-'USER INPUTS'!$D$92)/100*'LOCAL DATASET INPUTS'!F215)</f>
        <v>0</v>
      </c>
      <c r="R95" s="516">
        <f>('USER INPUTS'!$D$92/100*R91/100*'LOCAL DATASET INPUTS'!G215)+((100-'USER INPUTS'!$D$92)/100*'LOCAL DATASET INPUTS'!G215)</f>
        <v>0</v>
      </c>
      <c r="S95" s="516">
        <f>('USER INPUTS'!$D$92/100*S91/100*'LOCAL DATASET INPUTS'!H215)+((100-'USER INPUTS'!$D$92)/100*'LOCAL DATASET INPUTS'!H215)</f>
        <v>0</v>
      </c>
      <c r="T95" s="516">
        <f>('USER INPUTS'!$D$92/100*T91/100*'LOCAL DATASET INPUTS'!I215)+((100-'USER INPUTS'!$D$92)/100*'LOCAL DATASET INPUTS'!I215)</f>
        <v>0</v>
      </c>
      <c r="U95" s="516">
        <f>('USER INPUTS'!$D$92/100*U91/100*'LOCAL DATASET INPUTS'!J215)+((100-'USER INPUTS'!$D$92)/100*'LOCAL DATASET INPUTS'!J215)</f>
        <v>0</v>
      </c>
      <c r="V95" s="516">
        <f>('USER INPUTS'!$D$92/100*V91/100*'LOCAL DATASET INPUTS'!K215)+((100-'USER INPUTS'!$D$92)/100*'LOCAL DATASET INPUTS'!K215)</f>
        <v>0</v>
      </c>
      <c r="W95" s="516">
        <f>('USER INPUTS'!$D$92/100*W91/100*'LOCAL DATASET INPUTS'!L215)+((100-'USER INPUTS'!$D$92)/100*'LOCAL DATASET INPUTS'!L215)</f>
        <v>0</v>
      </c>
      <c r="X95" s="516">
        <f>('USER INPUTS'!$D$92/100*X91/100*'LOCAL DATASET INPUTS'!M215)+((100-'USER INPUTS'!$D$92)/100*'LOCAL DATASET INPUTS'!M215)</f>
        <v>0</v>
      </c>
      <c r="Y95" s="516">
        <f>('USER INPUTS'!$D$92/100*Y91/100*'LOCAL DATASET INPUTS'!N215)+((100-'USER INPUTS'!$D$92)/100*'LOCAL DATASET INPUTS'!N215)</f>
        <v>0</v>
      </c>
      <c r="Z95" s="516">
        <f>('USER INPUTS'!$D$92/100*Z91/100*'LOCAL DATASET INPUTS'!O215)+((100-'USER INPUTS'!$D$92)/100*'LOCAL DATASET INPUTS'!O215)</f>
        <v>0</v>
      </c>
      <c r="AA95" s="516">
        <f>('USER INPUTS'!$D$92/100*AA91/100*'LOCAL DATASET INPUTS'!P215)+((100-'USER INPUTS'!$D$92)/100*'LOCAL DATASET INPUTS'!P215)</f>
        <v>0</v>
      </c>
      <c r="AB95" s="516">
        <f>('USER INPUTS'!$D$92/100*AB91/100*'LOCAL DATASET INPUTS'!Q215)+((100-'USER INPUTS'!$D$92)/100*'LOCAL DATASET INPUTS'!Q215)</f>
        <v>0</v>
      </c>
      <c r="AC95" s="516">
        <f>('USER INPUTS'!$D$92/100*AC91/100*'LOCAL DATASET INPUTS'!R215)+((100-'USER INPUTS'!$D$92)/100*'LOCAL DATASET INPUTS'!R215)</f>
        <v>0</v>
      </c>
      <c r="AD95" s="516">
        <f>('USER INPUTS'!$D$92/100*AD91/100*'LOCAL DATASET INPUTS'!S215)+((100-'USER INPUTS'!$D$92)/100*'LOCAL DATASET INPUTS'!S215)</f>
        <v>0</v>
      </c>
      <c r="AE95" s="516">
        <f>('USER INPUTS'!$D$92/100*AE91/100*'LOCAL DATASET INPUTS'!T215)+((100-'USER INPUTS'!$D$92)/100*'LOCAL DATASET INPUTS'!T215)</f>
        <v>0</v>
      </c>
      <c r="AF95" s="516">
        <f>('USER INPUTS'!$D$92/100*AF91/100*'LOCAL DATASET INPUTS'!U215)+((100-'USER INPUTS'!$D$92)/100*'LOCAL DATASET INPUTS'!U215)</f>
        <v>0</v>
      </c>
      <c r="AG95" s="516">
        <f>('USER INPUTS'!$D$92/100*AG91/100*'LOCAL DATASET INPUTS'!V215)+((100-'USER INPUTS'!$D$92)/100*'LOCAL DATASET INPUTS'!V215)</f>
        <v>0</v>
      </c>
      <c r="AH95" s="516">
        <f>('USER INPUTS'!$D$92/100*AH91/100*'LOCAL DATASET INPUTS'!W215)+((100-'USER INPUTS'!$D$92)/100*'LOCAL DATASET INPUTS'!W215)</f>
        <v>0</v>
      </c>
      <c r="AI95" s="516">
        <f>('USER INPUTS'!$D$92/100*AI91/100*'LOCAL DATASET INPUTS'!X215)+((100-'USER INPUTS'!$D$92)/100*'LOCAL DATASET INPUTS'!X215)</f>
        <v>0</v>
      </c>
      <c r="AJ95" s="516">
        <f>('USER INPUTS'!$D$92/100*AJ91/100*'LOCAL DATASET INPUTS'!Y215)+((100-'USER INPUTS'!$D$92)/100*'LOCAL DATASET INPUTS'!Y215)</f>
        <v>0</v>
      </c>
      <c r="AK95" s="516">
        <f>('USER INPUTS'!$D$92/100*AK91/100*'LOCAL DATASET INPUTS'!Z215)+((100-'USER INPUTS'!$D$92)/100*'LOCAL DATASET INPUTS'!Z215)</f>
        <v>0</v>
      </c>
      <c r="AL95" s="516">
        <f>('USER INPUTS'!$D$92/100*AL91/100*'LOCAL DATASET INPUTS'!AA215)+((100-'USER INPUTS'!$D$92)/100*'LOCAL DATASET INPUTS'!AA215)</f>
        <v>0</v>
      </c>
      <c r="AM95" s="516">
        <f>('USER INPUTS'!$D$92/100*AM91/100*'LOCAL DATASET INPUTS'!AB215)+((100-'USER INPUTS'!$D$92)/100*'LOCAL DATASET INPUTS'!AB215)</f>
        <v>0</v>
      </c>
      <c r="AN95" s="516">
        <f>('USER INPUTS'!$D$92/100*AN91/100*'LOCAL DATASET INPUTS'!AC215)+((100-'USER INPUTS'!$D$92)/100*'LOCAL DATASET INPUTS'!AC215)</f>
        <v>0</v>
      </c>
      <c r="AO95" s="516">
        <f>('USER INPUTS'!$D$92/100*AO91/100*'LOCAL DATASET INPUTS'!AD215)+((100-'USER INPUTS'!$D$92)/100*'LOCAL DATASET INPUTS'!AD215)</f>
        <v>0</v>
      </c>
      <c r="AP95" s="516">
        <f>('USER INPUTS'!$D$92/100*AP91/100*'LOCAL DATASET INPUTS'!AE215)+((100-'USER INPUTS'!$D$92)/100*'LOCAL DATASET INPUTS'!AE215)</f>
        <v>0</v>
      </c>
      <c r="AQ95" s="516">
        <f>('USER INPUTS'!$D$92/100*AQ91/100*'LOCAL DATASET INPUTS'!AF215)+((100-'USER INPUTS'!$D$92)/100*'LOCAL DATASET INPUTS'!AF215)</f>
        <v>0</v>
      </c>
      <c r="AR95" s="516">
        <f>('USER INPUTS'!$D$92/100*AR91/100*'LOCAL DATASET INPUTS'!AG215)+((100-'USER INPUTS'!$D$92)/100*'LOCAL DATASET INPUTS'!AG215)</f>
        <v>0</v>
      </c>
      <c r="AS95" s="516">
        <f>('USER INPUTS'!$D$92/100*AS91/100*'LOCAL DATASET INPUTS'!AH215)+((100-'USER INPUTS'!$D$92)/100*'LOCAL DATASET INPUTS'!AH215)</f>
        <v>0</v>
      </c>
      <c r="AT95" s="469"/>
    </row>
    <row r="96" spans="1:46" s="7" customFormat="1">
      <c r="A96" s="128" t="s">
        <v>770</v>
      </c>
      <c r="B96" s="645" t="s">
        <v>755</v>
      </c>
      <c r="C96" s="579"/>
      <c r="D96" s="579" t="s">
        <v>632</v>
      </c>
      <c r="E96" s="37"/>
      <c r="F96" s="37"/>
      <c r="G96" s="37"/>
      <c r="H96" s="37"/>
      <c r="I96" s="37"/>
      <c r="J96" s="37"/>
      <c r="K96" s="37"/>
      <c r="L96" s="37"/>
      <c r="M96" s="38"/>
      <c r="N96" s="21"/>
      <c r="O96" s="481" t="str">
        <f>O83</f>
        <v>Passenger trains</v>
      </c>
      <c r="P96" s="517">
        <f>('USER INPUTS'!$D$92/100*P91/100*'LOCAL DATASET INPUTS'!E239)+((100-'USER INPUTS'!$D$92)/100*'LOCAL DATASET INPUTS'!E239)</f>
        <v>3.8981515632826223E-2</v>
      </c>
      <c r="Q96" s="517">
        <f>('USER INPUTS'!$D$92/100*Q91/100*'LOCAL DATASET INPUTS'!F239)+((100-'USER INPUTS'!$D$92)/100*'LOCAL DATASET INPUTS'!F239)</f>
        <v>3.9293367757888838E-2</v>
      </c>
      <c r="R96" s="517">
        <f>('USER INPUTS'!$D$92/100*R91/100*'LOCAL DATASET INPUTS'!G239)+((100-'USER INPUTS'!$D$92)/100*'LOCAL DATASET INPUTS'!G239)</f>
        <v>3.9607714699951939E-2</v>
      </c>
      <c r="S96" s="517">
        <f>('USER INPUTS'!$D$92/100*S91/100*'LOCAL DATASET INPUTS'!H239)+((100-'USER INPUTS'!$D$92)/100*'LOCAL DATASET INPUTS'!H239)</f>
        <v>3.9924576417551566E-2</v>
      </c>
      <c r="T96" s="517">
        <f>('USER INPUTS'!$D$92/100*T91/100*'LOCAL DATASET INPUTS'!I239)+((100-'USER INPUTS'!$D$92)/100*'LOCAL DATASET INPUTS'!I239)</f>
        <v>3.994214323117528E-2</v>
      </c>
      <c r="U96" s="517">
        <f>('USER INPUTS'!$D$92/100*U91/100*'LOCAL DATASET INPUTS'!J239)+((100-'USER INPUTS'!$D$92)/100*'LOCAL DATASET INPUTS'!J239)</f>
        <v>4.026168037702469E-2</v>
      </c>
      <c r="V96" s="517">
        <f>('USER INPUTS'!$D$92/100*V91/100*'LOCAL DATASET INPUTS'!K239)+((100-'USER INPUTS'!$D$92)/100*'LOCAL DATASET INPUTS'!K239)</f>
        <v>4.0583773820040886E-2</v>
      </c>
      <c r="W96" s="517">
        <f>('USER INPUTS'!$D$92/100*W91/100*'LOCAL DATASET INPUTS'!L239)+((100-'USER INPUTS'!$D$92)/100*'LOCAL DATASET INPUTS'!L239)</f>
        <v>4.0908444010601216E-2</v>
      </c>
      <c r="X96" s="517">
        <f>('USER INPUTS'!$D$92/100*X91/100*'LOCAL DATASET INPUTS'!M239)+((100-'USER INPUTS'!$D$92)/100*'LOCAL DATASET INPUTS'!M239)</f>
        <v>4.1235711562686031E-2</v>
      </c>
      <c r="Y96" s="517">
        <f>('USER INPUTS'!$D$92/100*Y91/100*'LOCAL DATASET INPUTS'!N239)+((100-'USER INPUTS'!$D$92)/100*'LOCAL DATASET INPUTS'!N239)</f>
        <v>4.1565597255187506E-2</v>
      </c>
      <c r="Z96" s="517">
        <f>('USER INPUTS'!$D$92/100*Z91/100*'LOCAL DATASET INPUTS'!O239)+((100-'USER INPUTS'!$D$92)/100*'LOCAL DATASET INPUTS'!O239)</f>
        <v>4.1814990838718633E-2</v>
      </c>
      <c r="AA96" s="517">
        <f>('USER INPUTS'!$D$92/100*AA91/100*'LOCAL DATASET INPUTS'!P239)+((100-'USER INPUTS'!$D$92)/100*'LOCAL DATASET INPUTS'!P239)</f>
        <v>4.2065880783750946E-2</v>
      </c>
      <c r="AB96" s="517">
        <f>('USER INPUTS'!$D$92/100*AB91/100*'LOCAL DATASET INPUTS'!Q239)+((100-'USER INPUTS'!$D$92)/100*'LOCAL DATASET INPUTS'!Q239)</f>
        <v>4.2318276068453446E-2</v>
      </c>
      <c r="AC96" s="517">
        <f>('USER INPUTS'!$D$92/100*AC91/100*'LOCAL DATASET INPUTS'!R239)+((100-'USER INPUTS'!$D$92)/100*'LOCAL DATASET INPUTS'!R239)</f>
        <v>4.2572185724864174E-2</v>
      </c>
      <c r="AD96" s="517">
        <f>('USER INPUTS'!$D$92/100*AD91/100*'LOCAL DATASET INPUTS'!S239)+((100-'USER INPUTS'!$D$92)/100*'LOCAL DATASET INPUTS'!S239)</f>
        <v>4.2827618839213349E-2</v>
      </c>
      <c r="AE96" s="517">
        <f>('USER INPUTS'!$D$92/100*AE91/100*'LOCAL DATASET INPUTS'!T239)+((100-'USER INPUTS'!$D$92)/100*'LOCAL DATASET INPUTS'!T239)</f>
        <v>4.3084584552248638E-2</v>
      </c>
      <c r="AF96" s="517">
        <f>('USER INPUTS'!$D$92/100*AF91/100*'LOCAL DATASET INPUTS'!U239)+((100-'USER INPUTS'!$D$92)/100*'LOCAL DATASET INPUTS'!U239)</f>
        <v>4.3343092059562133E-2</v>
      </c>
      <c r="AG96" s="517">
        <f>('USER INPUTS'!$D$92/100*AG91/100*'LOCAL DATASET INPUTS'!V239)+((100-'USER INPUTS'!$D$92)/100*'LOCAL DATASET INPUTS'!V239)</f>
        <v>4.3603150611919488E-2</v>
      </c>
      <c r="AH96" s="517">
        <f>('USER INPUTS'!$D$92/100*AH91/100*'LOCAL DATASET INPUTS'!W239)+((100-'USER INPUTS'!$D$92)/100*'LOCAL DATASET INPUTS'!W239)</f>
        <v>4.3864769515591005E-2</v>
      </c>
      <c r="AI96" s="517">
        <f>('USER INPUTS'!$D$92/100*AI91/100*'LOCAL DATASET INPUTS'!X239)+((100-'USER INPUTS'!$D$92)/100*'LOCAL DATASET INPUTS'!X239)</f>
        <v>4.4127958132684553E-2</v>
      </c>
      <c r="AJ96" s="517">
        <f>('USER INPUTS'!$D$92/100*AJ91/100*'LOCAL DATASET INPUTS'!Y239)+((100-'USER INPUTS'!$D$92)/100*'LOCAL DATASET INPUTS'!Y239)</f>
        <v>4.439272588148066E-2</v>
      </c>
      <c r="AK96" s="517">
        <f>('USER INPUTS'!$D$92/100*AK91/100*'LOCAL DATASET INPUTS'!Z239)+((100-'USER INPUTS'!$D$92)/100*'LOCAL DATASET INPUTS'!Z239)</f>
        <v>4.4659082236769551E-2</v>
      </c>
      <c r="AL96" s="517">
        <f>('USER INPUTS'!$D$92/100*AL91/100*'LOCAL DATASET INPUTS'!AA239)+((100-'USER INPUTS'!$D$92)/100*'LOCAL DATASET INPUTS'!AA239)</f>
        <v>4.4927036730190169E-2</v>
      </c>
      <c r="AM96" s="517">
        <f>('USER INPUTS'!$D$92/100*AM91/100*'LOCAL DATASET INPUTS'!AB239)+((100-'USER INPUTS'!$D$92)/100*'LOCAL DATASET INPUTS'!AB239)</f>
        <v>4.5196598950571307E-2</v>
      </c>
      <c r="AN96" s="517">
        <f>('USER INPUTS'!$D$92/100*AN91/100*'LOCAL DATASET INPUTS'!AC239)+((100-'USER INPUTS'!$D$92)/100*'LOCAL DATASET INPUTS'!AC239)</f>
        <v>4.5467778544274723E-2</v>
      </c>
      <c r="AO96" s="517">
        <f>('USER INPUTS'!$D$92/100*AO91/100*'LOCAL DATASET INPUTS'!AD239)+((100-'USER INPUTS'!$D$92)/100*'LOCAL DATASET INPUTS'!AD239)</f>
        <v>4.5740585215540384E-2</v>
      </c>
      <c r="AP96" s="517">
        <f>('USER INPUTS'!$D$92/100*AP91/100*'LOCAL DATASET INPUTS'!AE239)+((100-'USER INPUTS'!$D$92)/100*'LOCAL DATASET INPUTS'!AE239)</f>
        <v>4.6015028726833634E-2</v>
      </c>
      <c r="AQ96" s="517">
        <f>('USER INPUTS'!$D$92/100*AQ91/100*'LOCAL DATASET INPUTS'!AF239)+((100-'USER INPUTS'!$D$92)/100*'LOCAL DATASET INPUTS'!AF239)</f>
        <v>4.6291118899194628E-2</v>
      </c>
      <c r="AR96" s="517">
        <f>('USER INPUTS'!$D$92/100*AR91/100*'LOCAL DATASET INPUTS'!AG239)+((100-'USER INPUTS'!$D$92)/100*'LOCAL DATASET INPUTS'!AG239)</f>
        <v>4.6568865612589785E-2</v>
      </c>
      <c r="AS96" s="517">
        <f>('USER INPUTS'!$D$92/100*AS91/100*'LOCAL DATASET INPUTS'!AH239)+((100-'USER INPUTS'!$D$92)/100*'LOCAL DATASET INPUTS'!AH239)</f>
        <v>4.6848278806265339E-2</v>
      </c>
      <c r="AT96" s="469"/>
    </row>
    <row r="97" spans="1:46" s="7" customFormat="1">
      <c r="A97" s="208" t="s">
        <v>769</v>
      </c>
      <c r="B97" s="209">
        <v>-10</v>
      </c>
      <c r="C97" s="440"/>
      <c r="D97" s="579" t="s">
        <v>752</v>
      </c>
      <c r="E97" s="37"/>
      <c r="F97" s="37"/>
      <c r="G97" s="37"/>
      <c r="H97" s="37"/>
      <c r="I97" s="37"/>
      <c r="J97" s="37"/>
      <c r="K97" s="37"/>
      <c r="L97" s="37"/>
      <c r="M97" s="38"/>
      <c r="N97" s="21"/>
    </row>
    <row r="98" spans="1:46" s="7" customFormat="1">
      <c r="A98" s="208" t="s">
        <v>750</v>
      </c>
      <c r="B98" s="645" t="s">
        <v>753</v>
      </c>
      <c r="C98" s="645" t="s">
        <v>754</v>
      </c>
      <c r="D98" s="5"/>
      <c r="E98" s="37"/>
      <c r="F98" s="37"/>
      <c r="G98" s="37"/>
      <c r="H98" s="37"/>
      <c r="I98" s="37"/>
      <c r="J98" s="37"/>
      <c r="K98" s="37"/>
      <c r="L98" s="37"/>
      <c r="M98" s="38"/>
      <c r="N98" s="21"/>
      <c r="O98" s="632" t="s">
        <v>599</v>
      </c>
      <c r="AT98" s="467"/>
    </row>
    <row r="99" spans="1:46" s="7" customFormat="1">
      <c r="A99" s="13"/>
      <c r="B99" s="2">
        <v>10</v>
      </c>
      <c r="C99" s="2">
        <v>12</v>
      </c>
      <c r="D99" s="2" t="str">
        <f>IF(C99&lt;B99,"check inputs!","")</f>
        <v/>
      </c>
      <c r="E99" s="37"/>
      <c r="F99" s="37"/>
      <c r="G99" s="37"/>
      <c r="H99" s="37"/>
      <c r="I99" s="37"/>
      <c r="J99" s="37"/>
      <c r="K99" s="37"/>
      <c r="L99" s="37"/>
      <c r="M99" s="38"/>
      <c r="N99" s="21"/>
      <c r="O99" s="505" t="s">
        <v>662</v>
      </c>
      <c r="P99" s="501">
        <v>2021</v>
      </c>
      <c r="Q99" s="501">
        <f>P99+1</f>
        <v>2022</v>
      </c>
      <c r="R99" s="501">
        <f t="shared" ref="R99:AS99" si="18">Q99+1</f>
        <v>2023</v>
      </c>
      <c r="S99" s="501">
        <f t="shared" si="18"/>
        <v>2024</v>
      </c>
      <c r="T99" s="501">
        <f t="shared" si="18"/>
        <v>2025</v>
      </c>
      <c r="U99" s="501">
        <f t="shared" si="18"/>
        <v>2026</v>
      </c>
      <c r="V99" s="501">
        <f t="shared" si="18"/>
        <v>2027</v>
      </c>
      <c r="W99" s="501">
        <f t="shared" si="18"/>
        <v>2028</v>
      </c>
      <c r="X99" s="501">
        <f t="shared" si="18"/>
        <v>2029</v>
      </c>
      <c r="Y99" s="501">
        <f t="shared" si="18"/>
        <v>2030</v>
      </c>
      <c r="Z99" s="501">
        <f t="shared" si="18"/>
        <v>2031</v>
      </c>
      <c r="AA99" s="501">
        <f t="shared" si="18"/>
        <v>2032</v>
      </c>
      <c r="AB99" s="501">
        <f t="shared" si="18"/>
        <v>2033</v>
      </c>
      <c r="AC99" s="501">
        <f t="shared" si="18"/>
        <v>2034</v>
      </c>
      <c r="AD99" s="501">
        <f t="shared" si="18"/>
        <v>2035</v>
      </c>
      <c r="AE99" s="501">
        <f t="shared" si="18"/>
        <v>2036</v>
      </c>
      <c r="AF99" s="501">
        <f t="shared" si="18"/>
        <v>2037</v>
      </c>
      <c r="AG99" s="501">
        <f t="shared" si="18"/>
        <v>2038</v>
      </c>
      <c r="AH99" s="501">
        <f t="shared" si="18"/>
        <v>2039</v>
      </c>
      <c r="AI99" s="501">
        <f t="shared" si="18"/>
        <v>2040</v>
      </c>
      <c r="AJ99" s="501">
        <f t="shared" si="18"/>
        <v>2041</v>
      </c>
      <c r="AK99" s="501">
        <f t="shared" si="18"/>
        <v>2042</v>
      </c>
      <c r="AL99" s="501">
        <f t="shared" si="18"/>
        <v>2043</v>
      </c>
      <c r="AM99" s="501">
        <f t="shared" si="18"/>
        <v>2044</v>
      </c>
      <c r="AN99" s="501">
        <f t="shared" si="18"/>
        <v>2045</v>
      </c>
      <c r="AO99" s="501">
        <f t="shared" si="18"/>
        <v>2046</v>
      </c>
      <c r="AP99" s="501">
        <f t="shared" si="18"/>
        <v>2047</v>
      </c>
      <c r="AQ99" s="501">
        <f t="shared" si="18"/>
        <v>2048</v>
      </c>
      <c r="AR99" s="501">
        <f t="shared" si="18"/>
        <v>2049</v>
      </c>
      <c r="AS99" s="501">
        <f t="shared" si="18"/>
        <v>2050</v>
      </c>
      <c r="AT99" s="467"/>
    </row>
    <row r="100" spans="1:46" s="7" customFormat="1">
      <c r="A100" s="13"/>
      <c r="B100" s="2"/>
      <c r="C100" s="2"/>
      <c r="D100" s="5"/>
      <c r="E100" s="37"/>
      <c r="F100" s="37"/>
      <c r="G100" s="37"/>
      <c r="H100" s="37"/>
      <c r="I100" s="37"/>
      <c r="J100" s="37"/>
      <c r="K100" s="37"/>
      <c r="L100" s="37"/>
      <c r="M100" s="38"/>
      <c r="N100" s="21"/>
      <c r="O100" s="632"/>
      <c r="P100" s="736"/>
      <c r="Q100" s="736"/>
      <c r="R100" s="736"/>
      <c r="S100" s="736"/>
      <c r="T100" s="736"/>
      <c r="U100" s="736"/>
      <c r="V100" s="736"/>
      <c r="W100" s="736"/>
      <c r="X100" s="736"/>
      <c r="Y100" s="736"/>
      <c r="Z100" s="736"/>
      <c r="AA100" s="736"/>
      <c r="AB100" s="736"/>
      <c r="AC100" s="736"/>
      <c r="AD100" s="736"/>
      <c r="AE100" s="736"/>
      <c r="AF100" s="736"/>
      <c r="AG100" s="736"/>
      <c r="AH100" s="736"/>
      <c r="AI100" s="736"/>
      <c r="AJ100" s="736"/>
      <c r="AK100" s="736"/>
      <c r="AL100" s="736"/>
      <c r="AM100" s="736"/>
      <c r="AN100" s="736"/>
      <c r="AO100" s="736"/>
      <c r="AP100" s="736"/>
      <c r="AQ100" s="736"/>
      <c r="AR100" s="736"/>
      <c r="AS100" s="736"/>
      <c r="AT100" s="467"/>
    </row>
    <row r="101" spans="1:46" s="7" customFormat="1">
      <c r="A101" s="13"/>
      <c r="B101" s="388" t="s">
        <v>763</v>
      </c>
      <c r="C101" s="388" t="s">
        <v>771</v>
      </c>
      <c r="D101" s="645" t="s">
        <v>751</v>
      </c>
      <c r="E101" s="37"/>
      <c r="F101" s="37"/>
      <c r="G101" s="37"/>
      <c r="H101" s="37"/>
      <c r="I101" s="37"/>
      <c r="J101" s="37"/>
      <c r="K101" s="37"/>
      <c r="L101" s="37"/>
      <c r="M101" s="38"/>
      <c r="N101" s="21"/>
      <c r="O101" s="519" t="s">
        <v>563</v>
      </c>
      <c r="P101" s="587">
        <f>IF(AND((P99-2019)&gt;$B$99,(P99-2021)&lt;$C$99),(100+($B$97/($C$99-$B$99+1))),100)</f>
        <v>100</v>
      </c>
      <c r="Q101" s="587">
        <f>IF(AND((Q99-2019)&gt;$B$99,(Q99-2021)&lt;$C$99),(P101+($B$97/($C$99-$B$99+1))),P101)</f>
        <v>100</v>
      </c>
      <c r="R101" s="587">
        <f t="shared" ref="R101:AS101" si="19">IF(AND((R99-2019)&gt;$B$99,(R99-2021)&lt;$C$99),(Q101+($B$97/($C$99-$B$99+1))),Q101)</f>
        <v>100</v>
      </c>
      <c r="S101" s="587">
        <f t="shared" si="19"/>
        <v>100</v>
      </c>
      <c r="T101" s="587">
        <f t="shared" si="19"/>
        <v>100</v>
      </c>
      <c r="U101" s="587">
        <f t="shared" si="19"/>
        <v>100</v>
      </c>
      <c r="V101" s="587">
        <f t="shared" si="19"/>
        <v>100</v>
      </c>
      <c r="W101" s="587">
        <f t="shared" si="19"/>
        <v>100</v>
      </c>
      <c r="X101" s="587">
        <f t="shared" si="19"/>
        <v>100</v>
      </c>
      <c r="Y101" s="587">
        <f t="shared" si="19"/>
        <v>96.666666666666671</v>
      </c>
      <c r="Z101" s="587">
        <f t="shared" si="19"/>
        <v>93.333333333333343</v>
      </c>
      <c r="AA101" s="587">
        <f t="shared" si="19"/>
        <v>90.000000000000014</v>
      </c>
      <c r="AB101" s="587">
        <f t="shared" si="19"/>
        <v>90.000000000000014</v>
      </c>
      <c r="AC101" s="587">
        <f t="shared" si="19"/>
        <v>90.000000000000014</v>
      </c>
      <c r="AD101" s="587">
        <f t="shared" si="19"/>
        <v>90.000000000000014</v>
      </c>
      <c r="AE101" s="587">
        <f t="shared" si="19"/>
        <v>90.000000000000014</v>
      </c>
      <c r="AF101" s="587">
        <f t="shared" si="19"/>
        <v>90.000000000000014</v>
      </c>
      <c r="AG101" s="587">
        <f t="shared" si="19"/>
        <v>90.000000000000014</v>
      </c>
      <c r="AH101" s="587">
        <f t="shared" si="19"/>
        <v>90.000000000000014</v>
      </c>
      <c r="AI101" s="587">
        <f t="shared" si="19"/>
        <v>90.000000000000014</v>
      </c>
      <c r="AJ101" s="587">
        <f t="shared" si="19"/>
        <v>90.000000000000014</v>
      </c>
      <c r="AK101" s="587">
        <f t="shared" si="19"/>
        <v>90.000000000000014</v>
      </c>
      <c r="AL101" s="587">
        <f t="shared" si="19"/>
        <v>90.000000000000014</v>
      </c>
      <c r="AM101" s="587">
        <f t="shared" si="19"/>
        <v>90.000000000000014</v>
      </c>
      <c r="AN101" s="587">
        <f t="shared" si="19"/>
        <v>90.000000000000014</v>
      </c>
      <c r="AO101" s="587">
        <f t="shared" si="19"/>
        <v>90.000000000000014</v>
      </c>
      <c r="AP101" s="587">
        <f t="shared" si="19"/>
        <v>90.000000000000014</v>
      </c>
      <c r="AQ101" s="587">
        <f t="shared" si="19"/>
        <v>90.000000000000014</v>
      </c>
      <c r="AR101" s="587">
        <f t="shared" si="19"/>
        <v>90.000000000000014</v>
      </c>
      <c r="AS101" s="587">
        <f t="shared" si="19"/>
        <v>90.000000000000014</v>
      </c>
      <c r="AT101" s="467"/>
    </row>
    <row r="102" spans="1:46" s="7" customFormat="1">
      <c r="A102" s="128" t="s">
        <v>668</v>
      </c>
      <c r="B102" s="387">
        <f>2020+C109</f>
        <v>2025</v>
      </c>
      <c r="C102" s="388">
        <f>2020+C109</f>
        <v>2025</v>
      </c>
      <c r="D102" s="645" t="s">
        <v>752</v>
      </c>
      <c r="E102" s="37"/>
      <c r="F102" s="37"/>
      <c r="G102" s="37"/>
      <c r="H102" s="37"/>
      <c r="I102" s="37"/>
      <c r="J102" s="37"/>
      <c r="K102" s="37"/>
      <c r="L102" s="37"/>
      <c r="M102" s="38"/>
      <c r="N102" s="21"/>
      <c r="O102" s="481" t="str">
        <f>O84</f>
        <v>Rail freight</v>
      </c>
      <c r="P102" s="575">
        <f>(P101/100*'LOCAL DATASET INPUTS'!E276)</f>
        <v>3.6022238879212257E-2</v>
      </c>
      <c r="Q102" s="575">
        <f>(Q101/100*'LOCAL DATASET INPUTS'!F276)</f>
        <v>3.6022238879212257E-2</v>
      </c>
      <c r="R102" s="575">
        <f>(R101/100*'LOCAL DATASET INPUTS'!G276)</f>
        <v>3.6022238879212257E-2</v>
      </c>
      <c r="S102" s="575">
        <f>(S101/100*'LOCAL DATASET INPUTS'!H276)</f>
        <v>3.6022238879212257E-2</v>
      </c>
      <c r="T102" s="575">
        <f>(T101/100*'LOCAL DATASET INPUTS'!I276)</f>
        <v>3.6022238879212257E-2</v>
      </c>
      <c r="U102" s="575">
        <f>(U101/100*'LOCAL DATASET INPUTS'!J276)</f>
        <v>3.6022238879212257E-2</v>
      </c>
      <c r="V102" s="575">
        <f>(V101/100*'LOCAL DATASET INPUTS'!K276)</f>
        <v>3.6022238879212257E-2</v>
      </c>
      <c r="W102" s="575">
        <f>(W101/100*'LOCAL DATASET INPUTS'!L276)</f>
        <v>3.6022238879212257E-2</v>
      </c>
      <c r="X102" s="575">
        <f>(X101/100*'LOCAL DATASET INPUTS'!M276)</f>
        <v>3.6022238879212257E-2</v>
      </c>
      <c r="Y102" s="575">
        <f>(Y101/100*'LOCAL DATASET INPUTS'!N276)</f>
        <v>3.4821497583238513E-2</v>
      </c>
      <c r="Z102" s="575">
        <f>(Z101/100*'LOCAL DATASET INPUTS'!O276)</f>
        <v>3.3620756287264776E-2</v>
      </c>
      <c r="AA102" s="575">
        <f>(AA101/100*'LOCAL DATASET INPUTS'!P276)</f>
        <v>3.2420014991291032E-2</v>
      </c>
      <c r="AB102" s="575">
        <f>(AB101/100*'LOCAL DATASET INPUTS'!Q276)</f>
        <v>3.2420014991291032E-2</v>
      </c>
      <c r="AC102" s="575">
        <f>(AC101/100*'LOCAL DATASET INPUTS'!R276)</f>
        <v>3.2420014991291032E-2</v>
      </c>
      <c r="AD102" s="575">
        <f>(AD101/100*'LOCAL DATASET INPUTS'!S276)</f>
        <v>3.2420014991291032E-2</v>
      </c>
      <c r="AE102" s="575">
        <f>(AE101/100*'LOCAL DATASET INPUTS'!T276)</f>
        <v>3.2420014991291032E-2</v>
      </c>
      <c r="AF102" s="575">
        <f>(AF101/100*'LOCAL DATASET INPUTS'!U276)</f>
        <v>3.2420014991291032E-2</v>
      </c>
      <c r="AG102" s="575">
        <f>(AG101/100*'LOCAL DATASET INPUTS'!V276)</f>
        <v>3.2420014991291032E-2</v>
      </c>
      <c r="AH102" s="575">
        <f>(AH101/100*'LOCAL DATASET INPUTS'!W276)</f>
        <v>3.2420014991291032E-2</v>
      </c>
      <c r="AI102" s="575">
        <f>(AI101/100*'LOCAL DATASET INPUTS'!X276)</f>
        <v>3.2420014991291032E-2</v>
      </c>
      <c r="AJ102" s="575">
        <f>(AJ101/100*'LOCAL DATASET INPUTS'!Y276)</f>
        <v>3.2420014991291032E-2</v>
      </c>
      <c r="AK102" s="575">
        <f>(AK101/100*'LOCAL DATASET INPUTS'!Z276)</f>
        <v>3.2420014991291032E-2</v>
      </c>
      <c r="AL102" s="575">
        <f>(AL101/100*'LOCAL DATASET INPUTS'!AA276)</f>
        <v>3.2420014991291032E-2</v>
      </c>
      <c r="AM102" s="575">
        <f>(AM101/100*'LOCAL DATASET INPUTS'!AB276)</f>
        <v>3.2420014991291032E-2</v>
      </c>
      <c r="AN102" s="575">
        <f>(AN101/100*'LOCAL DATASET INPUTS'!AC276)</f>
        <v>3.2420014991291032E-2</v>
      </c>
      <c r="AO102" s="575">
        <f>(AO101/100*'LOCAL DATASET INPUTS'!AD276)</f>
        <v>3.2420014991291032E-2</v>
      </c>
      <c r="AP102" s="575">
        <f>(AP101/100*'LOCAL DATASET INPUTS'!AE276)</f>
        <v>3.2420014991291032E-2</v>
      </c>
      <c r="AQ102" s="575">
        <f>(AQ101/100*'LOCAL DATASET INPUTS'!AF276)</f>
        <v>3.2420014991291032E-2</v>
      </c>
      <c r="AR102" s="575">
        <f>(AR101/100*'LOCAL DATASET INPUTS'!AG276)</f>
        <v>3.2420014991291032E-2</v>
      </c>
      <c r="AS102" s="575">
        <f>(AS101/100*'LOCAL DATASET INPUTS'!AH276)</f>
        <v>3.2420014991291032E-2</v>
      </c>
      <c r="AT102" s="467"/>
    </row>
    <row r="103" spans="1:46" s="7" customFormat="1">
      <c r="A103" s="208" t="s">
        <v>759</v>
      </c>
      <c r="B103" s="172" t="e">
        <f>INDEX('LOCAL DATASET INPUTS'!E27:AH30,1,C109)</f>
        <v>#REF!</v>
      </c>
      <c r="C103" s="438">
        <v>35</v>
      </c>
      <c r="D103" s="413">
        <v>15</v>
      </c>
      <c r="E103" s="37"/>
      <c r="F103" s="37"/>
      <c r="G103" s="37"/>
      <c r="H103" s="37"/>
      <c r="I103" s="37"/>
      <c r="J103" s="37"/>
      <c r="K103" s="37"/>
      <c r="L103" s="37"/>
      <c r="M103" s="38"/>
      <c r="N103" s="21"/>
      <c r="O103" s="397" t="s">
        <v>664</v>
      </c>
      <c r="P103" s="633">
        <f>P101/100*'LOCAL DATASET INPUTS'!E321</f>
        <v>5.5816630532197893</v>
      </c>
      <c r="AT103" s="467"/>
    </row>
    <row r="104" spans="1:46" s="7" customFormat="1">
      <c r="A104" s="208" t="s">
        <v>760</v>
      </c>
      <c r="B104" s="172" t="e">
        <f>INDEX('LOCAL DATASET INPUTS'!E27:AH30,3,C109)</f>
        <v>#REF!</v>
      </c>
      <c r="C104" s="438">
        <v>22</v>
      </c>
      <c r="D104" s="5"/>
      <c r="E104" s="37"/>
      <c r="F104" s="37"/>
      <c r="G104" s="37"/>
      <c r="H104" s="37"/>
      <c r="I104" s="37"/>
      <c r="J104" s="37"/>
      <c r="K104" s="37"/>
      <c r="L104" s="37"/>
      <c r="M104" s="38"/>
      <c r="N104" s="21"/>
      <c r="O104" s="481" t="s">
        <v>663</v>
      </c>
      <c r="P104" s="575">
        <f>(P101/100)*'LOCAL DATASET INPUTS'!E322</f>
        <v>0.68201832612278657</v>
      </c>
      <c r="Q104" s="575">
        <f>(Q101/100)*('LOCAL DATASET INPUTS'!F321+'LOCAL DATASET INPUTS'!F322)</f>
        <v>6.4202734138261395</v>
      </c>
      <c r="R104" s="575">
        <f>(R101/100)*('LOCAL DATASET INPUTS'!G321+'LOCAL DATASET INPUTS'!G322)</f>
        <v>6.5807802491717924</v>
      </c>
      <c r="S104" s="575">
        <f>(S101/100)*('LOCAL DATASET INPUTS'!H321+'LOCAL DATASET INPUTS'!H322)</f>
        <v>6.7452997554010867</v>
      </c>
      <c r="T104" s="575">
        <f>(T101/100)*('LOCAL DATASET INPUTS'!I321+'LOCAL DATASET INPUTS'!I322)</f>
        <v>6.9139322492861135</v>
      </c>
      <c r="U104" s="575">
        <f>(U101/100)*('LOCAL DATASET INPUTS'!J321+'LOCAL DATASET INPUTS'!J322)</f>
        <v>7.0867805555182661</v>
      </c>
      <c r="V104" s="575">
        <f>(V101/100)*('LOCAL DATASET INPUTS'!K321+'LOCAL DATASET INPUTS'!K322)</f>
        <v>7.2639500694062225</v>
      </c>
      <c r="W104" s="575">
        <f>(W101/100)*('LOCAL DATASET INPUTS'!L321+'LOCAL DATASET INPUTS'!L322)</f>
        <v>7.4455488211413767</v>
      </c>
      <c r="X104" s="575">
        <f>(X101/100)*('LOCAL DATASET INPUTS'!M321+'LOCAL DATASET INPUTS'!M322)</f>
        <v>7.631687541669911</v>
      </c>
      <c r="Y104" s="575">
        <f>(Y101/100)*('LOCAL DATASET INPUTS'!N321+'LOCAL DATASET INPUTS'!N322)</f>
        <v>7.5617304058712689</v>
      </c>
      <c r="Z104" s="575">
        <f>(Z101/100)*('LOCAL DATASET INPUTS'!O321+'LOCAL DATASET INPUTS'!O322)</f>
        <v>7.3958938355907824</v>
      </c>
      <c r="AA104" s="575">
        <f>(AA101/100)*('LOCAL DATASET INPUTS'!P321+'LOCAL DATASET INPUTS'!P322)</f>
        <v>7.2244675820444098</v>
      </c>
      <c r="AB104" s="575">
        <f>(AB101/100)*('LOCAL DATASET INPUTS'!Q321+'LOCAL DATASET INPUTS'!Q322)</f>
        <v>7.3183856606109856</v>
      </c>
      <c r="AC104" s="575">
        <f>(AC101/100)*('LOCAL DATASET INPUTS'!R321+'LOCAL DATASET INPUTS'!R322)</f>
        <v>7.4135246741989285</v>
      </c>
      <c r="AD104" s="575">
        <f>(AD101/100)*('LOCAL DATASET INPUTS'!S321+'LOCAL DATASET INPUTS'!S322)</f>
        <v>7.5099004949635129</v>
      </c>
      <c r="AE104" s="575">
        <f>(AE101/100)*('LOCAL DATASET INPUTS'!T321+'LOCAL DATASET INPUTS'!T322)</f>
        <v>7.6075292013980382</v>
      </c>
      <c r="AF104" s="575">
        <f>(AF101/100)*('LOCAL DATASET INPUTS'!U321+'LOCAL DATASET INPUTS'!U322)</f>
        <v>7.7064270810162112</v>
      </c>
      <c r="AG104" s="575">
        <f>(AG101/100)*('LOCAL DATASET INPUTS'!V321+'LOCAL DATASET INPUTS'!V322)</f>
        <v>7.8066106330694209</v>
      </c>
      <c r="AH104" s="575">
        <f>(AH101/100)*('LOCAL DATASET INPUTS'!W321+'LOCAL DATASET INPUTS'!W322)</f>
        <v>7.9080965712993239</v>
      </c>
      <c r="AI104" s="575">
        <f>(AI101/100)*('LOCAL DATASET INPUTS'!X321+'LOCAL DATASET INPUTS'!X322)</f>
        <v>8.0109018267262133</v>
      </c>
      <c r="AJ104" s="575">
        <f>(AJ101/100)*('LOCAL DATASET INPUTS'!Y321+'LOCAL DATASET INPUTS'!Y322)</f>
        <v>8.1150435504736524</v>
      </c>
      <c r="AK104" s="575">
        <f>(AK101/100)*('LOCAL DATASET INPUTS'!Z321+'LOCAL DATASET INPUTS'!Z322)</f>
        <v>8.2205391166298103</v>
      </c>
      <c r="AL104" s="575">
        <f>(AL101/100)*('LOCAL DATASET INPUTS'!AA321+'LOCAL DATASET INPUTS'!AA322)</f>
        <v>8.3274061251459965</v>
      </c>
      <c r="AM104" s="575">
        <f>(AM101/100)*('LOCAL DATASET INPUTS'!AB321+'LOCAL DATASET INPUTS'!AB322)</f>
        <v>8.4356624047728932</v>
      </c>
      <c r="AN104" s="575">
        <f>(AN101/100)*('LOCAL DATASET INPUTS'!AC321+'LOCAL DATASET INPUTS'!AC322)</f>
        <v>8.5453260160349398</v>
      </c>
      <c r="AO104" s="575">
        <f>(AO101/100)*('LOCAL DATASET INPUTS'!AD321+'LOCAL DATASET INPUTS'!AD322)</f>
        <v>8.6564152542433934</v>
      </c>
      <c r="AP104" s="575">
        <f>(AP101/100)*('LOCAL DATASET INPUTS'!AE321+'LOCAL DATASET INPUTS'!AE322)</f>
        <v>8.7689486525485556</v>
      </c>
      <c r="AQ104" s="575">
        <f>(AQ101/100)*('LOCAL DATASET INPUTS'!AF321+'LOCAL DATASET INPUTS'!AF322)</f>
        <v>8.8829449850316866</v>
      </c>
      <c r="AR104" s="575">
        <f>(AR101/100)*('LOCAL DATASET INPUTS'!AG321+'LOCAL DATASET INPUTS'!AG322)</f>
        <v>8.9984232698370974</v>
      </c>
      <c r="AS104" s="575">
        <f>(AS101/100)*('LOCAL DATASET INPUTS'!AH321+'LOCAL DATASET INPUTS'!AH322)</f>
        <v>9.1154027723449786</v>
      </c>
      <c r="AT104" s="467"/>
    </row>
    <row r="105" spans="1:46" s="7" customFormat="1">
      <c r="A105" s="208" t="s">
        <v>761</v>
      </c>
      <c r="B105" s="172" t="e">
        <f>INDEX('LOCAL DATASET INPUTS'!E27:AH30,4,C109)</f>
        <v>#REF!</v>
      </c>
      <c r="C105" s="438">
        <v>20</v>
      </c>
      <c r="D105" s="5"/>
      <c r="E105" s="37"/>
      <c r="F105" s="37"/>
      <c r="G105" s="37"/>
      <c r="H105" s="37"/>
      <c r="I105" s="37"/>
      <c r="J105" s="37"/>
      <c r="K105" s="37"/>
      <c r="L105" s="37"/>
      <c r="M105" s="38"/>
      <c r="N105" s="21"/>
      <c r="O105" s="485" t="str">
        <f>O86</f>
        <v>Inland waterways freight</v>
      </c>
      <c r="P105" s="576">
        <f>P101/100*'LOCAL DATASET INPUTS'!E348</f>
        <v>0</v>
      </c>
      <c r="Q105" s="576">
        <f>Q101/100*'LOCAL DATASET INPUTS'!F348</f>
        <v>0</v>
      </c>
      <c r="R105" s="576">
        <f>R101/100*'LOCAL DATASET INPUTS'!G348</f>
        <v>0</v>
      </c>
      <c r="S105" s="576">
        <f>S101/100*'LOCAL DATASET INPUTS'!H348</f>
        <v>0</v>
      </c>
      <c r="T105" s="576">
        <f>T101/100*'LOCAL DATASET INPUTS'!I348</f>
        <v>0</v>
      </c>
      <c r="U105" s="576">
        <f>U101/100*'LOCAL DATASET INPUTS'!J348</f>
        <v>0</v>
      </c>
      <c r="V105" s="576">
        <f>V101/100*'LOCAL DATASET INPUTS'!K348</f>
        <v>0</v>
      </c>
      <c r="W105" s="576">
        <f>W101/100*'LOCAL DATASET INPUTS'!L348</f>
        <v>0</v>
      </c>
      <c r="X105" s="576">
        <f>X101/100*'LOCAL DATASET INPUTS'!M348</f>
        <v>0</v>
      </c>
      <c r="Y105" s="576">
        <f>Y101/100*'LOCAL DATASET INPUTS'!N348</f>
        <v>0</v>
      </c>
      <c r="Z105" s="576">
        <f>Z101/100*'LOCAL DATASET INPUTS'!O348</f>
        <v>0</v>
      </c>
      <c r="AA105" s="576">
        <f>AA101/100*'LOCAL DATASET INPUTS'!P348</f>
        <v>0</v>
      </c>
      <c r="AB105" s="576">
        <f>AB101/100*'LOCAL DATASET INPUTS'!Q348</f>
        <v>0</v>
      </c>
      <c r="AC105" s="576">
        <f>AC101/100*'LOCAL DATASET INPUTS'!R348</f>
        <v>0</v>
      </c>
      <c r="AD105" s="576">
        <f>AD101/100*'LOCAL DATASET INPUTS'!S348</f>
        <v>0</v>
      </c>
      <c r="AE105" s="576">
        <f>AE101/100*'LOCAL DATASET INPUTS'!T348</f>
        <v>0</v>
      </c>
      <c r="AF105" s="576">
        <f>AF101/100*'LOCAL DATASET INPUTS'!U348</f>
        <v>0</v>
      </c>
      <c r="AG105" s="576">
        <f>AG101/100*'LOCAL DATASET INPUTS'!V348</f>
        <v>0</v>
      </c>
      <c r="AH105" s="576">
        <f>AH101/100*'LOCAL DATASET INPUTS'!W348</f>
        <v>0</v>
      </c>
      <c r="AI105" s="576">
        <f>AI101/100*'LOCAL DATASET INPUTS'!X348</f>
        <v>0</v>
      </c>
      <c r="AJ105" s="576">
        <f>AJ101/100*'LOCAL DATASET INPUTS'!Y348</f>
        <v>0</v>
      </c>
      <c r="AK105" s="576">
        <f>AK101/100*'LOCAL DATASET INPUTS'!Z348</f>
        <v>0</v>
      </c>
      <c r="AL105" s="576">
        <f>AL101/100*'LOCAL DATASET INPUTS'!AA348</f>
        <v>0</v>
      </c>
      <c r="AM105" s="576">
        <f>AM101/100*'LOCAL DATASET INPUTS'!AB348</f>
        <v>0</v>
      </c>
      <c r="AN105" s="576">
        <f>AN101/100*'LOCAL DATASET INPUTS'!AC348</f>
        <v>0</v>
      </c>
      <c r="AO105" s="576">
        <f>AO101/100*'LOCAL DATASET INPUTS'!AD348</f>
        <v>0</v>
      </c>
      <c r="AP105" s="576">
        <f>AP101/100*'LOCAL DATASET INPUTS'!AE348</f>
        <v>0</v>
      </c>
      <c r="AQ105" s="576">
        <f>AQ101/100*'LOCAL DATASET INPUTS'!AF348</f>
        <v>0</v>
      </c>
      <c r="AR105" s="576">
        <f>AR101/100*'LOCAL DATASET INPUTS'!AG348</f>
        <v>0</v>
      </c>
      <c r="AS105" s="576">
        <f>AS101/100*'LOCAL DATASET INPUTS'!AH348</f>
        <v>0</v>
      </c>
      <c r="AT105" s="469"/>
    </row>
    <row r="106" spans="1:46" s="7" customFormat="1">
      <c r="A106" s="441" t="s">
        <v>762</v>
      </c>
      <c r="B106" s="173" t="e">
        <f>INDEX('LOCAL DATASET INPUTS'!E27:AH30,2,C109)</f>
        <v>#REF!</v>
      </c>
      <c r="C106" s="439">
        <f>100-(SUM(C103:C105))</f>
        <v>23</v>
      </c>
      <c r="D106" s="5"/>
      <c r="E106" s="37"/>
      <c r="F106" s="37"/>
      <c r="G106" s="37"/>
      <c r="H106" s="37"/>
      <c r="I106" s="37"/>
      <c r="J106" s="37"/>
      <c r="K106" s="37"/>
      <c r="L106" s="37"/>
      <c r="M106" s="38"/>
      <c r="N106" s="21"/>
      <c r="O106" s="481" t="str">
        <f>O87</f>
        <v>Total</v>
      </c>
      <c r="P106" s="481">
        <f t="shared" ref="P106:AS106" si="20">P92+P93+P94+P95+P96+P102+P104+P105</f>
        <v>93.112828482674075</v>
      </c>
      <c r="Q106" s="481">
        <f t="shared" si="20"/>
        <v>100.48459066669442</v>
      </c>
      <c r="R106" s="481">
        <f t="shared" si="20"/>
        <v>102.29977821468803</v>
      </c>
      <c r="S106" s="481">
        <f t="shared" si="20"/>
        <v>104.15397914406523</v>
      </c>
      <c r="T106" s="481">
        <f t="shared" si="20"/>
        <v>105.29931668891929</v>
      </c>
      <c r="U106" s="481">
        <f t="shared" si="20"/>
        <v>107.19890837773086</v>
      </c>
      <c r="V106" s="481">
        <f t="shared" si="20"/>
        <v>109.16893917399639</v>
      </c>
      <c r="W106" s="481">
        <f t="shared" si="20"/>
        <v>111.14263553488377</v>
      </c>
      <c r="X106" s="481">
        <f t="shared" si="20"/>
        <v>113.1640059931073</v>
      </c>
      <c r="Y106" s="481">
        <f t="shared" si="20"/>
        <v>114.95812893059801</v>
      </c>
      <c r="Z106" s="481">
        <f t="shared" si="20"/>
        <v>116.68130171698574</v>
      </c>
      <c r="AA106" s="481">
        <f t="shared" si="20"/>
        <v>118.44955017058845</v>
      </c>
      <c r="AB106" s="481">
        <f t="shared" si="20"/>
        <v>120.51340975400547</v>
      </c>
      <c r="AC106" s="481">
        <f t="shared" si="20"/>
        <v>122.61372903937142</v>
      </c>
      <c r="AD106" s="481">
        <f t="shared" si="20"/>
        <v>124.73685781577906</v>
      </c>
      <c r="AE106" s="481">
        <f t="shared" si="20"/>
        <v>126.91481938165209</v>
      </c>
      <c r="AF106" s="481">
        <f t="shared" si="20"/>
        <v>129.1370406134821</v>
      </c>
      <c r="AG106" s="481">
        <f t="shared" si="20"/>
        <v>131.38394668259826</v>
      </c>
      <c r="AH106" s="481">
        <f t="shared" si="20"/>
        <v>133.65887586797521</v>
      </c>
      <c r="AI106" s="481">
        <f t="shared" si="20"/>
        <v>135.97125855311612</v>
      </c>
      <c r="AJ106" s="481">
        <f t="shared" si="20"/>
        <v>138.32474694204896</v>
      </c>
      <c r="AK106" s="481">
        <f t="shared" si="20"/>
        <v>140.72007423615088</v>
      </c>
      <c r="AL106" s="481">
        <f t="shared" si="20"/>
        <v>143.15798674743959</v>
      </c>
      <c r="AM106" s="481">
        <f t="shared" si="20"/>
        <v>145.63924413343503</v>
      </c>
      <c r="AN106" s="481">
        <f t="shared" si="20"/>
        <v>148.16461963623357</v>
      </c>
      <c r="AO106" s="481">
        <f t="shared" si="20"/>
        <v>150.73490032587108</v>
      </c>
      <c r="AP106" s="481">
        <f t="shared" si="20"/>
        <v>153.35088734805092</v>
      </c>
      <c r="AQ106" s="481">
        <f t="shared" si="20"/>
        <v>156.01339617631638</v>
      </c>
      <c r="AR106" s="481">
        <f t="shared" si="20"/>
        <v>158.72325686874612</v>
      </c>
      <c r="AS106" s="481">
        <f t="shared" si="20"/>
        <v>161.48131432925504</v>
      </c>
      <c r="AT106" s="469"/>
    </row>
    <row r="107" spans="1:46" s="7" customFormat="1">
      <c r="A107" s="208" t="s">
        <v>514</v>
      </c>
      <c r="B107" s="172" t="e">
        <f>SUM(B103:B106)</f>
        <v>#REF!</v>
      </c>
      <c r="C107" s="442">
        <v>100</v>
      </c>
      <c r="D107" s="5"/>
      <c r="E107" s="37"/>
      <c r="F107" s="37"/>
      <c r="G107" s="37"/>
      <c r="H107" s="37"/>
      <c r="I107" s="37"/>
      <c r="J107" s="37"/>
      <c r="K107" s="37"/>
      <c r="L107" s="37"/>
      <c r="M107" s="38"/>
      <c r="N107" s="21"/>
      <c r="O107" s="484"/>
      <c r="P107" s="484"/>
      <c r="Q107" s="484"/>
      <c r="R107" s="484"/>
      <c r="S107" s="484"/>
      <c r="T107" s="484"/>
      <c r="U107" s="484"/>
      <c r="V107" s="484"/>
      <c r="W107" s="484"/>
      <c r="X107" s="484"/>
      <c r="Y107" s="484"/>
      <c r="Z107" s="484"/>
      <c r="AA107" s="484"/>
      <c r="AB107" s="484"/>
      <c r="AC107" s="484"/>
      <c r="AD107" s="484"/>
      <c r="AE107" s="484"/>
      <c r="AF107" s="484"/>
      <c r="AG107" s="484"/>
      <c r="AH107" s="484"/>
      <c r="AI107" s="484"/>
      <c r="AJ107" s="484"/>
      <c r="AK107" s="484"/>
      <c r="AL107" s="484"/>
      <c r="AM107" s="484"/>
      <c r="AN107" s="484"/>
      <c r="AO107" s="484"/>
      <c r="AP107" s="484"/>
      <c r="AQ107" s="484"/>
      <c r="AR107" s="484"/>
      <c r="AS107" s="484"/>
      <c r="AT107" s="467"/>
    </row>
    <row r="108" spans="1:46" s="7" customFormat="1">
      <c r="A108" s="208" t="s">
        <v>750</v>
      </c>
      <c r="B108" s="645" t="s">
        <v>753</v>
      </c>
      <c r="C108" s="645" t="s">
        <v>754</v>
      </c>
      <c r="D108" s="5"/>
      <c r="E108" s="37"/>
      <c r="F108" s="37"/>
      <c r="G108" s="37"/>
      <c r="H108" s="37"/>
      <c r="I108" s="37"/>
      <c r="J108" s="37"/>
      <c r="K108" s="37"/>
      <c r="L108" s="37"/>
      <c r="M108" s="38"/>
      <c r="N108" s="21"/>
      <c r="O108" s="476" t="s">
        <v>593</v>
      </c>
      <c r="P108" s="477">
        <v>2021</v>
      </c>
      <c r="Q108" s="477">
        <f>P108+1</f>
        <v>2022</v>
      </c>
      <c r="R108" s="477">
        <f t="shared" ref="R108:AS108" si="21">Q108+1</f>
        <v>2023</v>
      </c>
      <c r="S108" s="477">
        <f t="shared" si="21"/>
        <v>2024</v>
      </c>
      <c r="T108" s="477">
        <f t="shared" si="21"/>
        <v>2025</v>
      </c>
      <c r="U108" s="477">
        <f t="shared" si="21"/>
        <v>2026</v>
      </c>
      <c r="V108" s="477">
        <f t="shared" si="21"/>
        <v>2027</v>
      </c>
      <c r="W108" s="477">
        <f t="shared" si="21"/>
        <v>2028</v>
      </c>
      <c r="X108" s="477">
        <f t="shared" si="21"/>
        <v>2029</v>
      </c>
      <c r="Y108" s="477">
        <f t="shared" si="21"/>
        <v>2030</v>
      </c>
      <c r="Z108" s="477">
        <f t="shared" si="21"/>
        <v>2031</v>
      </c>
      <c r="AA108" s="477">
        <f t="shared" si="21"/>
        <v>2032</v>
      </c>
      <c r="AB108" s="477">
        <f t="shared" si="21"/>
        <v>2033</v>
      </c>
      <c r="AC108" s="477">
        <f t="shared" si="21"/>
        <v>2034</v>
      </c>
      <c r="AD108" s="477">
        <f t="shared" si="21"/>
        <v>2035</v>
      </c>
      <c r="AE108" s="477">
        <f t="shared" si="21"/>
        <v>2036</v>
      </c>
      <c r="AF108" s="477">
        <f t="shared" si="21"/>
        <v>2037</v>
      </c>
      <c r="AG108" s="477">
        <f t="shared" si="21"/>
        <v>2038</v>
      </c>
      <c r="AH108" s="477">
        <f t="shared" si="21"/>
        <v>2039</v>
      </c>
      <c r="AI108" s="477">
        <f t="shared" si="21"/>
        <v>2040</v>
      </c>
      <c r="AJ108" s="477">
        <f t="shared" si="21"/>
        <v>2041</v>
      </c>
      <c r="AK108" s="477">
        <f t="shared" si="21"/>
        <v>2042</v>
      </c>
      <c r="AL108" s="477">
        <f t="shared" si="21"/>
        <v>2043</v>
      </c>
      <c r="AM108" s="477">
        <f t="shared" si="21"/>
        <v>2044</v>
      </c>
      <c r="AN108" s="477">
        <f t="shared" si="21"/>
        <v>2045</v>
      </c>
      <c r="AO108" s="477">
        <f t="shared" si="21"/>
        <v>2046</v>
      </c>
      <c r="AP108" s="477">
        <f t="shared" si="21"/>
        <v>2047</v>
      </c>
      <c r="AQ108" s="477">
        <f t="shared" si="21"/>
        <v>2048</v>
      </c>
      <c r="AR108" s="477">
        <f t="shared" si="21"/>
        <v>2049</v>
      </c>
      <c r="AS108" s="477">
        <f t="shared" si="21"/>
        <v>2050</v>
      </c>
      <c r="AT108" s="467"/>
    </row>
    <row r="109" spans="1:46" s="7" customFormat="1">
      <c r="A109" s="13"/>
      <c r="B109" s="2">
        <v>5</v>
      </c>
      <c r="C109" s="2">
        <v>5</v>
      </c>
      <c r="D109" s="2" t="str">
        <f>IF(C109&lt;B109,"check inputs!","")</f>
        <v/>
      </c>
      <c r="E109" s="37"/>
      <c r="F109" s="37"/>
      <c r="G109" s="37"/>
      <c r="H109" s="37"/>
      <c r="I109" s="37"/>
      <c r="J109" s="37"/>
      <c r="K109" s="37"/>
      <c r="L109" s="37"/>
      <c r="M109" s="38"/>
      <c r="N109" s="21"/>
      <c r="O109" s="478" t="str">
        <f>O79</f>
        <v>Motor coaches, buses and trolley buses</v>
      </c>
      <c r="P109" s="514">
        <f>P92*'LOCAL DATASET INPUTS'!E69/P67*1000</f>
        <v>76.549372212823627</v>
      </c>
      <c r="Q109" s="514">
        <f>Q92*'LOCAL DATASET INPUTS'!F69/Q67*1000</f>
        <v>77.069777090508566</v>
      </c>
      <c r="R109" s="514">
        <f>R92*'LOCAL DATASET INPUTS'!G69/R67*1000</f>
        <v>77.362553708154564</v>
      </c>
      <c r="S109" s="514">
        <f>S92*'LOCAL DATASET INPUTS'!H69/S67*1000</f>
        <v>77.81113352474317</v>
      </c>
      <c r="T109" s="514">
        <f>T92*'LOCAL DATASET INPUTS'!I69/T67*1000</f>
        <v>36.793583958715267</v>
      </c>
      <c r="U109" s="514">
        <f>U92*'LOCAL DATASET INPUTS'!J69/U67*1000</f>
        <v>24.134984809748634</v>
      </c>
      <c r="V109" s="514">
        <f>V92*'LOCAL DATASET INPUTS'!K69/V67*1000</f>
        <v>18.201106681353608</v>
      </c>
      <c r="W109" s="514">
        <f>W92*'LOCAL DATASET INPUTS'!L69/W67*1000</f>
        <v>14.518384946947796</v>
      </c>
      <c r="X109" s="514">
        <f>X92*'LOCAL DATASET INPUTS'!M69/X67*1000</f>
        <v>12.132285389654232</v>
      </c>
      <c r="Y109" s="514">
        <f>Y92*'LOCAL DATASET INPUTS'!N69/Y67*1000</f>
        <v>10.427831617205888</v>
      </c>
      <c r="Z109" s="514">
        <f>Z92*'LOCAL DATASET INPUTS'!O69/Z67*1000</f>
        <v>10.447348850845954</v>
      </c>
      <c r="AA109" s="514">
        <f>AA92*'LOCAL DATASET INPUTS'!P69/AA67*1000</f>
        <v>10.529493256677437</v>
      </c>
      <c r="AB109" s="514">
        <f>AB92*'LOCAL DATASET INPUTS'!Q69/AB67*1000</f>
        <v>10.5912251618624</v>
      </c>
      <c r="AC109" s="514">
        <f>AC92*'LOCAL DATASET INPUTS'!R69/AC67*1000</f>
        <v>10.653295661235143</v>
      </c>
      <c r="AD109" s="514">
        <f>AD92*'LOCAL DATASET INPUTS'!S69/AD67*1000</f>
        <v>10.662500314909007</v>
      </c>
      <c r="AE109" s="514">
        <f>AE92*'LOCAL DATASET INPUTS'!T69/AE67*1000</f>
        <v>10.735591763925378</v>
      </c>
      <c r="AF109" s="514">
        <f>AF92*'LOCAL DATASET INPUTS'!U69/AF67*1000</f>
        <v>10.830607146542548</v>
      </c>
      <c r="AG109" s="514">
        <f>AG92*'LOCAL DATASET INPUTS'!V69/AG67*1000</f>
        <v>10.872348001671339</v>
      </c>
      <c r="AH109" s="514">
        <f>AH92*'LOCAL DATASET INPUTS'!W69/AH67*1000</f>
        <v>10.87078580677283</v>
      </c>
      <c r="AI109" s="514">
        <f>AI92*'LOCAL DATASET INPUTS'!X69/AI67*1000</f>
        <v>10.85833769454371</v>
      </c>
      <c r="AJ109" s="514">
        <f>AJ92*'LOCAL DATASET INPUTS'!Y69/AJ67*1000</f>
        <v>10.845879451849955</v>
      </c>
      <c r="AK109" s="514">
        <f>AK92*'LOCAL DATASET INPUTS'!Z69/AK67*1000</f>
        <v>10.833411095610202</v>
      </c>
      <c r="AL109" s="514">
        <f>AL92*'LOCAL DATASET INPUTS'!AA69/AL67*1000</f>
        <v>10.820932642155753</v>
      </c>
      <c r="AM109" s="514">
        <f>AM92*'LOCAL DATASET INPUTS'!AB69/AM67*1000</f>
        <v>10.808444107270143</v>
      </c>
      <c r="AN109" s="514">
        <f>AN92*'LOCAL DATASET INPUTS'!AC69/AN67*1000</f>
        <v>10.795945506226927</v>
      </c>
      <c r="AO109" s="514">
        <f>AO92*'LOCAL DATASET INPUTS'!AD69/AO67*1000</f>
        <v>10.783436853825695</v>
      </c>
      <c r="AP109" s="514">
        <f>AP92*'LOCAL DATASET INPUTS'!AE69/AP67*1000</f>
        <v>10.770918164426398</v>
      </c>
      <c r="AQ109" s="514">
        <f>AQ92*'LOCAL DATASET INPUTS'!AF69/AQ67*1000</f>
        <v>10.758389451982099</v>
      </c>
      <c r="AR109" s="514">
        <f>AR92*'LOCAL DATASET INPUTS'!AG69/AR67*1000</f>
        <v>10.745850730070179</v>
      </c>
      <c r="AS109" s="514">
        <f>AS92*'LOCAL DATASET INPUTS'!AH69/AS67*1000</f>
        <v>10.733302011922117</v>
      </c>
      <c r="AT109" s="467"/>
    </row>
    <row r="110" spans="1:46" s="7" customFormat="1">
      <c r="A110" s="13"/>
      <c r="B110" s="388"/>
      <c r="C110" s="388"/>
      <c r="D110" s="5"/>
      <c r="E110" s="37"/>
      <c r="F110" s="37"/>
      <c r="G110" s="37"/>
      <c r="H110" s="37"/>
      <c r="I110" s="37"/>
      <c r="J110" s="37"/>
      <c r="K110" s="37"/>
      <c r="L110" s="37"/>
      <c r="M110" s="38"/>
      <c r="N110" s="21"/>
      <c r="O110" s="478" t="str">
        <f>O80</f>
        <v>Passenger cars</v>
      </c>
      <c r="P110" s="514">
        <f>P93*'LOCAL DATASET INPUTS'!E119/P67*1000</f>
        <v>1336.0591831187487</v>
      </c>
      <c r="Q110" s="514">
        <f>Q93*'LOCAL DATASET INPUTS'!F119/Q67*1000</f>
        <v>1361.3576081091405</v>
      </c>
      <c r="R110" s="514">
        <f>R93*'LOCAL DATASET INPUTS'!G119/R67*1000</f>
        <v>1385.5776350347428</v>
      </c>
      <c r="S110" s="514">
        <f>S93*'LOCAL DATASET INPUTS'!H119/S67*1000</f>
        <v>1410.2285030646387</v>
      </c>
      <c r="T110" s="514">
        <f>T93*'LOCAL DATASET INPUTS'!I119/T67*1000</f>
        <v>674.78825895439081</v>
      </c>
      <c r="U110" s="514">
        <f>U93*'LOCAL DATASET INPUTS'!J119/U67*1000</f>
        <v>450.06050016192489</v>
      </c>
      <c r="V110" s="514">
        <f>V93*'LOCAL DATASET INPUTS'!K119/V67*1000</f>
        <v>340.68425860975265</v>
      </c>
      <c r="W110" s="514">
        <f>W93*'LOCAL DATASET INPUTS'!L119/W67*1000</f>
        <v>276.03768235355915</v>
      </c>
      <c r="X110" s="514">
        <f>X93*'LOCAL DATASET INPUTS'!M119/X67*1000</f>
        <v>233.37816391797011</v>
      </c>
      <c r="Y110" s="514">
        <f>Y93*'LOCAL DATASET INPUTS'!N119/Y67*1000</f>
        <v>203.14723596001625</v>
      </c>
      <c r="Z110" s="514">
        <f>Z93*'LOCAL DATASET INPUTS'!O119/Z67*1000</f>
        <v>206.69604479262213</v>
      </c>
      <c r="AA110" s="514">
        <f>AA93*'LOCAL DATASET INPUTS'!P119/AA67*1000</f>
        <v>210.30646703210667</v>
      </c>
      <c r="AB110" s="514">
        <f>AB93*'LOCAL DATASET INPUTS'!Q119/AB67*1000</f>
        <v>213.97956454966604</v>
      </c>
      <c r="AC110" s="514">
        <f>AC93*'LOCAL DATASET INPUTS'!R119/AC67*1000</f>
        <v>217.7164173577664</v>
      </c>
      <c r="AD110" s="514">
        <f>AD93*'LOCAL DATASET INPUTS'!S119/AD67*1000</f>
        <v>221.51812391687628</v>
      </c>
      <c r="AE110" s="514">
        <f>AE93*'LOCAL DATASET INPUTS'!T119/AE67*1000</f>
        <v>225.38580144732279</v>
      </c>
      <c r="AF110" s="514">
        <f>AF93*'LOCAL DATASET INPUTS'!U119/AF67*1000</f>
        <v>229.32058624635499</v>
      </c>
      <c r="AG110" s="514">
        <f>AG93*'LOCAL DATASET INPUTS'!V119/AG67*1000</f>
        <v>233.32363401050031</v>
      </c>
      <c r="AH110" s="514">
        <f>AH93*'LOCAL DATASET INPUTS'!W119/AH67*1000</f>
        <v>237.3961201633021</v>
      </c>
      <c r="AI110" s="514">
        <f>AI93*'LOCAL DATASET INPUTS'!X119/AI67*1000</f>
        <v>241.53923024866802</v>
      </c>
      <c r="AJ110" s="514">
        <f>AJ93*'LOCAL DATASET INPUTS'!Y119/AJ67*1000</f>
        <v>245.75419012660228</v>
      </c>
      <c r="AK110" s="514">
        <f>AK93*'LOCAL DATASET INPUTS'!Z119/AK67*1000</f>
        <v>250.04223641949298</v>
      </c>
      <c r="AL110" s="514">
        <f>AL93*'LOCAL DATASET INPUTS'!AA119/AL67*1000</f>
        <v>254.40462684331544</v>
      </c>
      <c r="AM110" s="514">
        <f>AM93*'LOCAL DATASET INPUTS'!AB119/AM67*1000</f>
        <v>258.84264056362684</v>
      </c>
      <c r="AN110" s="514">
        <f>AN93*'LOCAL DATASET INPUTS'!AC119/AN67*1000</f>
        <v>263.35757855749341</v>
      </c>
      <c r="AO110" s="514">
        <f>AO93*'LOCAL DATASET INPUTS'!AD119/AO67*1000</f>
        <v>267.95076398144892</v>
      </c>
      <c r="AP110" s="514">
        <f>AP93*'LOCAL DATASET INPUTS'!AE119/AP67*1000</f>
        <v>272.62354254558284</v>
      </c>
      <c r="AQ110" s="514">
        <f>AQ93*'LOCAL DATASET INPUTS'!AF119/AQ67*1000</f>
        <v>277.37728289385922</v>
      </c>
      <c r="AR110" s="514">
        <f>AR93*'LOCAL DATASET INPUTS'!AG119/AR67*1000</f>
        <v>282.2133769907681</v>
      </c>
      <c r="AS110" s="514">
        <f>AS93*'LOCAL DATASET INPUTS'!AH119/AS67*1000</f>
        <v>287.13324051441367</v>
      </c>
      <c r="AT110" s="467"/>
    </row>
    <row r="111" spans="1:46" s="7" customFormat="1">
      <c r="A111" s="13"/>
      <c r="B111" s="645" t="s">
        <v>763</v>
      </c>
      <c r="C111" s="645" t="s">
        <v>771</v>
      </c>
      <c r="D111" s="5"/>
      <c r="E111" s="37"/>
      <c r="F111" s="37"/>
      <c r="G111" s="37"/>
      <c r="H111" s="37"/>
      <c r="I111" s="37"/>
      <c r="J111" s="37"/>
      <c r="K111" s="37"/>
      <c r="L111" s="37"/>
      <c r="M111" s="38"/>
      <c r="N111" s="21"/>
      <c r="O111" s="478"/>
      <c r="P111" s="514"/>
      <c r="Q111" s="514"/>
      <c r="R111" s="514"/>
      <c r="S111" s="514"/>
      <c r="T111" s="514"/>
      <c r="U111" s="514"/>
      <c r="V111" s="514"/>
      <c r="W111" s="514"/>
      <c r="X111" s="514"/>
      <c r="Y111" s="514"/>
      <c r="Z111" s="514"/>
      <c r="AA111" s="514"/>
      <c r="AB111" s="514"/>
      <c r="AC111" s="514"/>
      <c r="AD111" s="514"/>
      <c r="AE111" s="514"/>
      <c r="AF111" s="514"/>
      <c r="AG111" s="514"/>
      <c r="AH111" s="514"/>
      <c r="AI111" s="514"/>
      <c r="AJ111" s="514"/>
      <c r="AK111" s="514"/>
      <c r="AL111" s="514"/>
      <c r="AM111" s="514"/>
      <c r="AN111" s="514"/>
      <c r="AO111" s="514"/>
      <c r="AP111" s="514"/>
      <c r="AQ111" s="514"/>
      <c r="AR111" s="514"/>
      <c r="AS111" s="514"/>
      <c r="AT111" s="467"/>
    </row>
    <row r="112" spans="1:46" s="7" customFormat="1">
      <c r="A112" s="128" t="s">
        <v>669</v>
      </c>
      <c r="B112" s="387">
        <f>2020+C118</f>
        <v>2030</v>
      </c>
      <c r="C112" s="645">
        <f>2020+C118</f>
        <v>2030</v>
      </c>
      <c r="D112" s="579" t="s">
        <v>632</v>
      </c>
      <c r="E112" s="37"/>
      <c r="F112" s="37"/>
      <c r="G112" s="37"/>
      <c r="H112" s="37"/>
      <c r="I112" s="37"/>
      <c r="J112" s="37"/>
      <c r="K112" s="37"/>
      <c r="L112" s="37"/>
      <c r="M112" s="38"/>
      <c r="N112" s="21"/>
      <c r="O112" s="478" t="str">
        <f t="shared" ref="O112:O118" si="22">O81</f>
        <v>Metro</v>
      </c>
      <c r="P112" s="514">
        <f>P94*'LOCAL DATASET INPUTS'!E147/P67*1000</f>
        <v>0</v>
      </c>
      <c r="Q112" s="514">
        <f>Q94*'LOCAL DATASET INPUTS'!F147/Q67*1000</f>
        <v>0</v>
      </c>
      <c r="R112" s="514">
        <f>R94*'LOCAL DATASET INPUTS'!G147/R67*1000</f>
        <v>0</v>
      </c>
      <c r="S112" s="514">
        <f>S94*'LOCAL DATASET INPUTS'!H147/S67*1000</f>
        <v>0</v>
      </c>
      <c r="T112" s="514">
        <f>T94*'LOCAL DATASET INPUTS'!I147/T67*1000</f>
        <v>0</v>
      </c>
      <c r="U112" s="514">
        <f>U94*'LOCAL DATASET INPUTS'!J147/U67*1000</f>
        <v>0</v>
      </c>
      <c r="V112" s="514">
        <f>V94*'LOCAL DATASET INPUTS'!K147/V67*1000</f>
        <v>0</v>
      </c>
      <c r="W112" s="514">
        <f>W94*'LOCAL DATASET INPUTS'!L147/W67*1000</f>
        <v>0</v>
      </c>
      <c r="X112" s="514">
        <f>X94*'LOCAL DATASET INPUTS'!M147/X67*1000</f>
        <v>0</v>
      </c>
      <c r="Y112" s="514">
        <f>Y94*'LOCAL DATASET INPUTS'!N147/Y67*1000</f>
        <v>0</v>
      </c>
      <c r="Z112" s="514">
        <f>Z94*'LOCAL DATASET INPUTS'!O147/Z67*1000</f>
        <v>0</v>
      </c>
      <c r="AA112" s="514">
        <f>AA94*'LOCAL DATASET INPUTS'!P147/AA67*1000</f>
        <v>0</v>
      </c>
      <c r="AB112" s="514">
        <f>AB94*'LOCAL DATASET INPUTS'!Q147/AB67*1000</f>
        <v>0</v>
      </c>
      <c r="AC112" s="514">
        <f>AC94*'LOCAL DATASET INPUTS'!R147/AC67*1000</f>
        <v>0</v>
      </c>
      <c r="AD112" s="514">
        <f>AD94*'LOCAL DATASET INPUTS'!S147/AD67*1000</f>
        <v>0</v>
      </c>
      <c r="AE112" s="514">
        <f>AE94*'LOCAL DATASET INPUTS'!T147/AE67*1000</f>
        <v>0</v>
      </c>
      <c r="AF112" s="514">
        <f>AF94*'LOCAL DATASET INPUTS'!U147/AF67*1000</f>
        <v>0</v>
      </c>
      <c r="AG112" s="514">
        <f>AG94*'LOCAL DATASET INPUTS'!V147/AG67*1000</f>
        <v>0</v>
      </c>
      <c r="AH112" s="514">
        <f>AH94*'LOCAL DATASET INPUTS'!W147/AH67*1000</f>
        <v>0</v>
      </c>
      <c r="AI112" s="514">
        <f>AI94*'LOCAL DATASET INPUTS'!X147/AI67*1000</f>
        <v>0</v>
      </c>
      <c r="AJ112" s="514">
        <f>AJ94*'LOCAL DATASET INPUTS'!Y147/AJ67*1000</f>
        <v>0</v>
      </c>
      <c r="AK112" s="514">
        <f>AK94*'LOCAL DATASET INPUTS'!Z147/AK67*1000</f>
        <v>0</v>
      </c>
      <c r="AL112" s="514">
        <f>AL94*'LOCAL DATASET INPUTS'!AA147/AL67*1000</f>
        <v>0</v>
      </c>
      <c r="AM112" s="514">
        <f>AM94*'LOCAL DATASET INPUTS'!AB147/AM67*1000</f>
        <v>0</v>
      </c>
      <c r="AN112" s="514">
        <f>AN94*'LOCAL DATASET INPUTS'!AC147/AN67*1000</f>
        <v>0</v>
      </c>
      <c r="AO112" s="514">
        <f>AO94*'LOCAL DATASET INPUTS'!AD147/AO67*1000</f>
        <v>0</v>
      </c>
      <c r="AP112" s="514">
        <f>AP94*'LOCAL DATASET INPUTS'!AE147/AP67*1000</f>
        <v>0</v>
      </c>
      <c r="AQ112" s="514">
        <f>AQ94*'LOCAL DATASET INPUTS'!AF147/AQ67*1000</f>
        <v>0</v>
      </c>
      <c r="AR112" s="514">
        <f>AR94*'LOCAL DATASET INPUTS'!AG147/AR67*1000</f>
        <v>0</v>
      </c>
      <c r="AS112" s="514">
        <f>AS94*'LOCAL DATASET INPUTS'!AH147/AS67*1000</f>
        <v>0</v>
      </c>
      <c r="AT112" s="467"/>
    </row>
    <row r="113" spans="1:51" s="7" customFormat="1">
      <c r="A113" s="208" t="s">
        <v>766</v>
      </c>
      <c r="B113" s="172" t="e">
        <f>INDEX('LOCAL DATASET INPUTS'!E252:AH254,1,C118)</f>
        <v>#REF!</v>
      </c>
      <c r="C113" s="438">
        <v>30</v>
      </c>
      <c r="D113" s="579" t="s">
        <v>752</v>
      </c>
      <c r="E113" s="37"/>
      <c r="F113" s="37"/>
      <c r="G113" s="37"/>
      <c r="H113" s="37"/>
      <c r="I113" s="37"/>
      <c r="J113" s="37"/>
      <c r="K113" s="37"/>
      <c r="L113" s="37"/>
      <c r="M113" s="38"/>
      <c r="N113" s="21"/>
      <c r="O113" s="478" t="str">
        <f t="shared" si="22"/>
        <v>Tram, light train</v>
      </c>
      <c r="P113" s="514">
        <f>P95*'LOCAL DATASET INPUTS'!E214/P67*1000</f>
        <v>0</v>
      </c>
      <c r="Q113" s="514">
        <f>Q95*'LOCAL DATASET INPUTS'!F214/Q67*1000</f>
        <v>0</v>
      </c>
      <c r="R113" s="514">
        <f>R95*'LOCAL DATASET INPUTS'!G214/R67*1000</f>
        <v>0</v>
      </c>
      <c r="S113" s="514">
        <f>S95*'LOCAL DATASET INPUTS'!H214/S67*1000</f>
        <v>0</v>
      </c>
      <c r="T113" s="514">
        <f>T95*'LOCAL DATASET INPUTS'!I214/T67*1000</f>
        <v>0</v>
      </c>
      <c r="U113" s="514">
        <f>U95*'LOCAL DATASET INPUTS'!J214/U67*1000</f>
        <v>0</v>
      </c>
      <c r="V113" s="514">
        <f>V95*'LOCAL DATASET INPUTS'!K214/V67*1000</f>
        <v>0</v>
      </c>
      <c r="W113" s="514">
        <f>W95*'LOCAL DATASET INPUTS'!L214/W67*1000</f>
        <v>0</v>
      </c>
      <c r="X113" s="514">
        <f>X95*'LOCAL DATASET INPUTS'!M214/X67*1000</f>
        <v>0</v>
      </c>
      <c r="Y113" s="514">
        <f>Y95*'LOCAL DATASET INPUTS'!N214/Y67*1000</f>
        <v>0</v>
      </c>
      <c r="Z113" s="514">
        <f>Z95*'LOCAL DATASET INPUTS'!O214/Z67*1000</f>
        <v>0</v>
      </c>
      <c r="AA113" s="514">
        <f>AA95*'LOCAL DATASET INPUTS'!P214/AA67*1000</f>
        <v>0</v>
      </c>
      <c r="AB113" s="514">
        <f>AB95*'LOCAL DATASET INPUTS'!Q214/AB67*1000</f>
        <v>0</v>
      </c>
      <c r="AC113" s="514">
        <f>AC95*'LOCAL DATASET INPUTS'!R214/AC67*1000</f>
        <v>0</v>
      </c>
      <c r="AD113" s="514">
        <f>AD95*'LOCAL DATASET INPUTS'!S214/AD67*1000</f>
        <v>0</v>
      </c>
      <c r="AE113" s="514">
        <f>AE95*'LOCAL DATASET INPUTS'!T214/AE67*1000</f>
        <v>0</v>
      </c>
      <c r="AF113" s="514">
        <f>AF95*'LOCAL DATASET INPUTS'!U214/AF67*1000</f>
        <v>0</v>
      </c>
      <c r="AG113" s="514">
        <f>AG95*'LOCAL DATASET INPUTS'!V214/AG67*1000</f>
        <v>0</v>
      </c>
      <c r="AH113" s="514">
        <f>AH95*'LOCAL DATASET INPUTS'!W214/AH67*1000</f>
        <v>0</v>
      </c>
      <c r="AI113" s="514">
        <f>AI95*'LOCAL DATASET INPUTS'!X214/AI67*1000</f>
        <v>0</v>
      </c>
      <c r="AJ113" s="514">
        <f>AJ95*'LOCAL DATASET INPUTS'!Y214/AJ67*1000</f>
        <v>0</v>
      </c>
      <c r="AK113" s="514">
        <f>AK95*'LOCAL DATASET INPUTS'!Z214/AK67*1000</f>
        <v>0</v>
      </c>
      <c r="AL113" s="514">
        <f>AL95*'LOCAL DATASET INPUTS'!AA214/AL67*1000</f>
        <v>0</v>
      </c>
      <c r="AM113" s="514">
        <f>AM95*'LOCAL DATASET INPUTS'!AB214/AM67*1000</f>
        <v>0</v>
      </c>
      <c r="AN113" s="514">
        <f>AN95*'LOCAL DATASET INPUTS'!AC214/AN67*1000</f>
        <v>0</v>
      </c>
      <c r="AO113" s="514">
        <f>AO95*'LOCAL DATASET INPUTS'!AD214/AO67*1000</f>
        <v>0</v>
      </c>
      <c r="AP113" s="514">
        <f>AP95*'LOCAL DATASET INPUTS'!AE214/AP67*1000</f>
        <v>0</v>
      </c>
      <c r="AQ113" s="514">
        <f>AQ95*'LOCAL DATASET INPUTS'!AF214/AQ67*1000</f>
        <v>0</v>
      </c>
      <c r="AR113" s="514">
        <f>AR95*'LOCAL DATASET INPUTS'!AG214/AR67*1000</f>
        <v>0</v>
      </c>
      <c r="AS113" s="514">
        <f>AS95*'LOCAL DATASET INPUTS'!AH214/AS67*1000</f>
        <v>0</v>
      </c>
      <c r="AT113" s="467"/>
    </row>
    <row r="114" spans="1:51" s="7" customFormat="1">
      <c r="A114" s="208" t="s">
        <v>767</v>
      </c>
      <c r="B114" s="172" t="e">
        <f>INDEX('LOCAL DATASET INPUTS'!E252:AH254,3,C118)</f>
        <v>#REF!</v>
      </c>
      <c r="C114" s="438">
        <v>1</v>
      </c>
      <c r="D114" s="5"/>
      <c r="E114" s="37"/>
      <c r="F114" s="37"/>
      <c r="G114" s="37"/>
      <c r="H114" s="37"/>
      <c r="I114" s="37"/>
      <c r="J114" s="37"/>
      <c r="K114" s="37"/>
      <c r="L114" s="37"/>
      <c r="M114" s="38"/>
      <c r="N114" s="21"/>
      <c r="O114" s="478" t="str">
        <f t="shared" si="22"/>
        <v>Passenger trains</v>
      </c>
      <c r="P114" s="514">
        <f>P96*'LOCAL DATASET INPUTS'!E238/P67*1000</f>
        <v>9.2101198979936127E-3</v>
      </c>
      <c r="Q114" s="514">
        <f>Q96*'LOCAL DATASET INPUTS'!F238/Q67*1000</f>
        <v>9.2838008571775616E-3</v>
      </c>
      <c r="R114" s="514">
        <f>R96*'LOCAL DATASET INPUTS'!G238/R67*1000</f>
        <v>9.3580712640349804E-3</v>
      </c>
      <c r="S114" s="514">
        <f>S96*'LOCAL DATASET INPUTS'!H238/S67*1000</f>
        <v>9.4329358341472633E-3</v>
      </c>
      <c r="T114" s="514">
        <f>T96*'LOCAL DATASET INPUTS'!I238/T67*1000</f>
        <v>4.470198785959399E-3</v>
      </c>
      <c r="U114" s="514">
        <f>U96*'LOCAL DATASET INPUTS'!J238/U67*1000</f>
        <v>2.9521809361618763E-3</v>
      </c>
      <c r="V114" s="514">
        <f>V96*'LOCAL DATASET INPUTS'!K238/V67*1000</f>
        <v>2.2127731570739479E-3</v>
      </c>
      <c r="W114" s="514">
        <f>W96*'LOCAL DATASET INPUTS'!L238/W67*1000</f>
        <v>1.7752762928753274E-3</v>
      </c>
      <c r="X114" s="514">
        <f>X96*'LOCAL DATASET INPUTS'!M238/X67*1000</f>
        <v>1.4861770619948845E-3</v>
      </c>
      <c r="Y114" s="514">
        <f>Y96*'LOCAL DATASET INPUTS'!N238/Y67*1000</f>
        <v>1.2809553946515903E-3</v>
      </c>
      <c r="Z114" s="514">
        <f>Z96*'LOCAL DATASET INPUTS'!O238/Z67*1000</f>
        <v>1.2879691431187423E-3</v>
      </c>
      <c r="AA114" s="514">
        <f>AA96*'LOCAL DATASET INPUTS'!P238/AA67*1000</f>
        <v>1.2950189470147557E-3</v>
      </c>
      <c r="AB114" s="514">
        <f>AB96*'LOCAL DATASET INPUTS'!Q238/AB67*1000</f>
        <v>1.3021049710991084E-3</v>
      </c>
      <c r="AC114" s="514">
        <f>AC96*'LOCAL DATASET INPUTS'!R238/AC67*1000</f>
        <v>1.3092273807091919E-3</v>
      </c>
      <c r="AD114" s="514">
        <f>AD96*'LOCAL DATASET INPUTS'!S238/AD67*1000</f>
        <v>1.3163863417608754E-3</v>
      </c>
      <c r="AE114" s="514">
        <f>AE96*'LOCAL DATASET INPUTS'!T238/AE67*1000</f>
        <v>1.3235820207490652E-3</v>
      </c>
      <c r="AF114" s="514">
        <f>AF96*'LOCAL DATASET INPUTS'!U238/AF67*1000</f>
        <v>1.3308145847482386E-3</v>
      </c>
      <c r="AG114" s="514">
        <f>AG96*'LOCAL DATASET INPUTS'!V238/AG67*1000</f>
        <v>1.3380842014129764E-3</v>
      </c>
      <c r="AH114" s="514">
        <f>AH96*'LOCAL DATASET INPUTS'!W238/AH67*1000</f>
        <v>1.3453910389784793E-3</v>
      </c>
      <c r="AI114" s="514">
        <f>AI96*'LOCAL DATASET INPUTS'!X238/AI67*1000</f>
        <v>1.3205284275022077E-3</v>
      </c>
      <c r="AJ114" s="514">
        <f>AJ96*'LOCAL DATASET INPUTS'!Y238/AJ67*1000</f>
        <v>1.2965824123807128E-3</v>
      </c>
      <c r="AK114" s="514">
        <f>AK96*'LOCAL DATASET INPUTS'!Z238/AK67*1000</f>
        <v>1.2735235911841409E-3</v>
      </c>
      <c r="AL114" s="514">
        <f>AL96*'LOCAL DATASET INPUTS'!AA238/AL67*1000</f>
        <v>1.2513235223527823E-3</v>
      </c>
      <c r="AM114" s="514">
        <f>AM96*'LOCAL DATASET INPUTS'!AB238/AM67*1000</f>
        <v>1.2299546939167527E-3</v>
      </c>
      <c r="AN114" s="514">
        <f>AN96*'LOCAL DATASET INPUTS'!AC238/AN67*1000</f>
        <v>1.2093904932330617E-3</v>
      </c>
      <c r="AO114" s="514">
        <f>AO96*'LOCAL DATASET INPUTS'!AD238/AO67*1000</f>
        <v>1.189605177707023E-3</v>
      </c>
      <c r="AP114" s="514">
        <f>AP96*'LOCAL DATASET INPUTS'!AE238/AP67*1000</f>
        <v>1.1705738464660139E-3</v>
      </c>
      <c r="AQ114" s="514">
        <f>AQ96*'LOCAL DATASET INPUTS'!AF238/AQ67*1000</f>
        <v>1.1522724129546514E-3</v>
      </c>
      <c r="AR114" s="514">
        <f>AR96*'LOCAL DATASET INPUTS'!AG238/AR67*1000</f>
        <v>1.1346775784214251E-3</v>
      </c>
      <c r="AS114" s="514">
        <f>AS96*'LOCAL DATASET INPUTS'!AH238/AS67*1000</f>
        <v>1.1177668062678334E-3</v>
      </c>
      <c r="AT114" s="467"/>
    </row>
    <row r="115" spans="1:51" s="7" customFormat="1">
      <c r="A115" s="441" t="s">
        <v>768</v>
      </c>
      <c r="B115" s="173" t="e">
        <f>INDEX('LOCAL DATASET INPUTS'!E252:AH254,2,C118)</f>
        <v>#REF!</v>
      </c>
      <c r="C115" s="439">
        <f>100-(C113+C114)</f>
        <v>69</v>
      </c>
      <c r="D115" s="5"/>
      <c r="E115" s="37"/>
      <c r="F115" s="37"/>
      <c r="G115" s="37"/>
      <c r="H115" s="37"/>
      <c r="I115" s="37"/>
      <c r="J115" s="37"/>
      <c r="K115" s="37"/>
      <c r="L115" s="37"/>
      <c r="M115" s="38"/>
      <c r="N115" s="21"/>
      <c r="O115" s="478" t="str">
        <f t="shared" si="22"/>
        <v>Rail freight</v>
      </c>
      <c r="P115" s="634">
        <f>P102*'LOCAL DATASET INPUTS'!E275/P67/1000</f>
        <v>1.3690045358541809E-5</v>
      </c>
      <c r="Q115" s="634">
        <f>Q102*'LOCAL DATASET INPUTS'!F275/Q67/1000</f>
        <v>1.3690045358541809E-5</v>
      </c>
      <c r="R115" s="634">
        <f>R102*'LOCAL DATASET INPUTS'!G275/R67/1000</f>
        <v>1.3690045358541809E-5</v>
      </c>
      <c r="S115" s="634">
        <f>S102*'LOCAL DATASET INPUTS'!H275/S67/1000</f>
        <v>1.3690045358541809E-5</v>
      </c>
      <c r="T115" s="634">
        <f>T102*'LOCAL DATASET INPUTS'!I275/T67/1000</f>
        <v>6.4847583277303299E-6</v>
      </c>
      <c r="U115" s="634">
        <f>U102*'LOCAL DATASET INPUTS'!J275/U67/1000</f>
        <v>4.2486347664440091E-6</v>
      </c>
      <c r="V115" s="634">
        <f>V102*'LOCAL DATASET INPUTS'!K275/V67/1000</f>
        <v>3.1592412365865714E-6</v>
      </c>
      <c r="W115" s="634">
        <f>W102*'LOCAL DATASET INPUTS'!L275/W67/1000</f>
        <v>2.5144981270791077E-6</v>
      </c>
      <c r="X115" s="634">
        <f>X102*'LOCAL DATASET INPUTS'!M275/X67/1000</f>
        <v>2.0883120038453605E-6</v>
      </c>
      <c r="Y115" s="634">
        <f>Y102*'LOCAL DATASET INPUTS'!N275/Y67/1000</f>
        <v>1.7261361539030973E-6</v>
      </c>
      <c r="Z115" s="634">
        <f>Z102*'LOCAL DATASET INPUTS'!O275/Z67/1000</f>
        <v>1.6657451331443187E-6</v>
      </c>
      <c r="AA115" s="634">
        <f>AA102*'LOCAL DATASET INPUTS'!P275/AA67/1000</f>
        <v>1.6054137164786523E-6</v>
      </c>
      <c r="AB115" s="634">
        <f>AB102*'LOCAL DATASET INPUTS'!Q275/AB67/1000</f>
        <v>1.6045707198212209E-6</v>
      </c>
      <c r="AC115" s="634">
        <f>AC102*'LOCAL DATASET INPUTS'!R275/AC67/1000</f>
        <v>1.6037252413355055E-6</v>
      </c>
      <c r="AD115" s="634">
        <f>AD102*'LOCAL DATASET INPUTS'!S275/AD67/1000</f>
        <v>1.6028772768120408E-6</v>
      </c>
      <c r="AE115" s="634">
        <f>AE102*'LOCAL DATASET INPUTS'!T275/AE67/1000</f>
        <v>1.6020268220563067E-6</v>
      </c>
      <c r="AF115" s="634">
        <f>AF102*'LOCAL DATASET INPUTS'!U275/AF67/1000</f>
        <v>1.6011738728889099E-6</v>
      </c>
      <c r="AG115" s="634">
        <f>AG102*'LOCAL DATASET INPUTS'!V275/AG67/1000</f>
        <v>1.6003184251457741E-6</v>
      </c>
      <c r="AH115" s="634">
        <f>AH102*'LOCAL DATASET INPUTS'!W275/AH67/1000</f>
        <v>1.5994604746783257E-6</v>
      </c>
      <c r="AI115" s="634">
        <f>AI102*'LOCAL DATASET INPUTS'!X275/AI67/1000</f>
        <v>1.5986000173536811E-6</v>
      </c>
      <c r="AJ115" s="634">
        <f>AJ102*'LOCAL DATASET INPUTS'!Y275/AJ67/1000</f>
        <v>1.5977370490548365E-6</v>
      </c>
      <c r="AK115" s="634">
        <f>AK102*'LOCAL DATASET INPUTS'!Z275/AK67/1000</f>
        <v>1.5968715656808569E-6</v>
      </c>
      <c r="AL115" s="634">
        <f>AL102*'LOCAL DATASET INPUTS'!AA275/AL67/1000</f>
        <v>1.5960035631470665E-6</v>
      </c>
      <c r="AM115" s="634">
        <f>AM102*'LOCAL DATASET INPUTS'!AB275/AM67/1000</f>
        <v>1.5951330373852383E-6</v>
      </c>
      <c r="AN115" s="634">
        <f>AN102*'LOCAL DATASET INPUTS'!AC275/AN67/1000</f>
        <v>1.5942599843437868E-6</v>
      </c>
      <c r="AO115" s="634">
        <f>AO102*'LOCAL DATASET INPUTS'!AD275/AO67/1000</f>
        <v>1.5933843999879601E-6</v>
      </c>
      <c r="AP115" s="634">
        <f>AP102*'LOCAL DATASET INPUTS'!AE275/AP67/1000</f>
        <v>1.5925062803000315E-6</v>
      </c>
      <c r="AQ115" s="634">
        <f>AQ102*'LOCAL DATASET INPUTS'!AF275/AQ67/1000</f>
        <v>1.5916256212794944E-6</v>
      </c>
      <c r="AR115" s="634">
        <f>AR102*'LOCAL DATASET INPUTS'!AG275/AR67/1000</f>
        <v>1.5907424189432555E-6</v>
      </c>
      <c r="AS115" s="634">
        <f>AS102*'LOCAL DATASET INPUTS'!AH275/AS67/1000</f>
        <v>1.5898566693258306E-6</v>
      </c>
      <c r="AT115" s="467"/>
    </row>
    <row r="116" spans="1:51" s="7" customFormat="1">
      <c r="A116" s="208" t="s">
        <v>514</v>
      </c>
      <c r="B116" s="172" t="e">
        <f>SUM(B113:B115)</f>
        <v>#REF!</v>
      </c>
      <c r="C116" s="442">
        <v>100</v>
      </c>
      <c r="D116" s="5"/>
      <c r="E116" s="37"/>
      <c r="F116" s="37"/>
      <c r="G116" s="37"/>
      <c r="H116" s="37"/>
      <c r="I116" s="37"/>
      <c r="J116" s="37"/>
      <c r="K116" s="37"/>
      <c r="L116" s="37"/>
      <c r="M116" s="38"/>
      <c r="N116" s="21"/>
      <c r="O116" s="478" t="str">
        <f t="shared" si="22"/>
        <v>Road freight</v>
      </c>
      <c r="P116" s="514">
        <f>((P103*'LOCAL DATASET INPUTS'!E319)+('USER INPUTS'!P104*'LOCAL DATASET INPUTS'!E320))/P67</f>
        <v>1.5975664130382566E-4</v>
      </c>
      <c r="Q116" s="514">
        <f>((Q103*'LOCAL DATASET INPUTS'!F319)+('USER INPUTS'!Q104*'LOCAL DATASET INPUTS'!F320))/Q67</f>
        <v>1.0272437462121823E-4</v>
      </c>
      <c r="R116" s="514">
        <f>((R103*'LOCAL DATASET INPUTS'!G319)+('USER INPUTS'!R104*'LOCAL DATASET INPUTS'!G320))/R67</f>
        <v>1.0529248398674868E-4</v>
      </c>
      <c r="S116" s="514">
        <f>((S103*'LOCAL DATASET INPUTS'!H319)+('USER INPUTS'!S104*'LOCAL DATASET INPUTS'!H320))/S67</f>
        <v>1.0792479608641737E-4</v>
      </c>
      <c r="T116" s="514">
        <f>((T103*'LOCAL DATASET INPUTS'!I319)+('USER INPUTS'!T104*'LOCAL DATASET INPUTS'!I320))/T67</f>
        <v>5.2400328626168439E-5</v>
      </c>
      <c r="U116" s="514">
        <f>((U103*'LOCAL DATASET INPUTS'!J319)+('USER INPUTS'!U104*'LOCAL DATASET INPUTS'!J320))/U67</f>
        <v>3.5189531034297595E-5</v>
      </c>
      <c r="V116" s="514">
        <f>((V103*'LOCAL DATASET INPUTS'!K319)+('USER INPUTS'!V104*'LOCAL DATASET INPUTS'!K320))/V67</f>
        <v>2.6820738717807588E-5</v>
      </c>
      <c r="W116" s="514">
        <f>((W103*'LOCAL DATASET INPUTS'!L319)+('USER INPUTS'!W104*'LOCAL DATASET INPUTS'!L320))/W67</f>
        <v>2.1880796535599144E-5</v>
      </c>
      <c r="X116" s="514">
        <f>((X103*'LOCAL DATASET INPUTS'!M319)+('USER INPUTS'!X104*'LOCAL DATASET INPUTS'!M320))/X67</f>
        <v>1.8626491627126559E-5</v>
      </c>
      <c r="Y116" s="514">
        <f>((Y103*'LOCAL DATASET INPUTS'!N319)+('USER INPUTS'!Y104*'LOCAL DATASET INPUTS'!N320))/Y67</f>
        <v>1.5781002586166124E-5</v>
      </c>
      <c r="Z116" s="514">
        <f>((Z103*'LOCAL DATASET INPUTS'!O319)+('USER INPUTS'!Z104*'LOCAL DATASET INPUTS'!O320))/Z67</f>
        <v>1.5426860077714128E-5</v>
      </c>
      <c r="AA116" s="514">
        <f>((AA103*'LOCAL DATASET INPUTS'!P319)+('USER INPUTS'!AA104*'LOCAL DATASET INPUTS'!P320))/AA67</f>
        <v>1.5061402058323175E-5</v>
      </c>
      <c r="AB116" s="514">
        <f>((AB103*'LOCAL DATASET INPUTS'!Q319)+('USER INPUTS'!AB104*'LOCAL DATASET INPUTS'!Q320))/AB67</f>
        <v>1.524918878704192E-5</v>
      </c>
      <c r="AC116" s="514">
        <f>((AC103*'LOCAL DATASET INPUTS'!R319)+('USER INPUTS'!AC104*'LOCAL DATASET INPUTS'!R320))/AC67</f>
        <v>1.5439288700849166E-5</v>
      </c>
      <c r="AD116" s="514">
        <f>((AD103*'LOCAL DATASET INPUTS'!S319)+('USER INPUTS'!AD104*'LOCAL DATASET INPUTS'!S320))/AD67</f>
        <v>1.5631729854940285E-5</v>
      </c>
      <c r="AE116" s="514">
        <f>((AE103*'LOCAL DATASET INPUTS'!T319)+('USER INPUTS'!AE104*'LOCAL DATASET INPUTS'!T320))/AE67</f>
        <v>1.5826540638059841E-5</v>
      </c>
      <c r="AF116" s="514">
        <f>((AF103*'LOCAL DATASET INPUTS'!U319)+('USER INPUTS'!AF104*'LOCAL DATASET INPUTS'!U320))/AF67</f>
        <v>1.6023749776366812E-5</v>
      </c>
      <c r="AG116" s="514">
        <f>((AG103*'LOCAL DATASET INPUTS'!V319)+('USER INPUTS'!AG104*'LOCAL DATASET INPUTS'!V320))/AG67</f>
        <v>1.6223386337343224E-5</v>
      </c>
      <c r="AH116" s="514">
        <f>((AH103*'LOCAL DATASET INPUTS'!W319)+('USER INPUTS'!AH104*'LOCAL DATASET INPUTS'!W320))/AH67</f>
        <v>1.6425479733746529E-5</v>
      </c>
      <c r="AI116" s="514">
        <f>((AI103*'LOCAL DATASET INPUTS'!X319)+('USER INPUTS'!AI104*'LOCAL DATASET INPUTS'!X320))/AI67</f>
        <v>1.6630059727606285E-5</v>
      </c>
      <c r="AJ116" s="514">
        <f>((AJ103*'LOCAL DATASET INPUTS'!Y319)+('USER INPUTS'!AJ104*'LOCAL DATASET INPUTS'!Y320))/AJ67</f>
        <v>1.6837156434265598E-5</v>
      </c>
      <c r="AK116" s="514">
        <f>((AK103*'LOCAL DATASET INPUTS'!Z319)+('USER INPUTS'!AK104*'LOCAL DATASET INPUTS'!Z320))/AK67</f>
        <v>1.7046800326467752E-5</v>
      </c>
      <c r="AL116" s="514">
        <f>((AL103*'LOCAL DATASET INPUTS'!AA319)+('USER INPUTS'!AL104*'LOCAL DATASET INPUTS'!AA320))/AL67</f>
        <v>1.7259022238488583E-5</v>
      </c>
      <c r="AM116" s="514">
        <f>((AM103*'LOCAL DATASET INPUTS'!AB319)+('USER INPUTS'!AM104*'LOCAL DATASET INPUTS'!AB320))/AM67</f>
        <v>1.7473853370315053E-5</v>
      </c>
      <c r="AN116" s="514">
        <f>((AN103*'LOCAL DATASET INPUTS'!AC319)+('USER INPUTS'!AN104*'LOCAL DATASET INPUTS'!AC320))/AN67</f>
        <v>1.7691325291870511E-5</v>
      </c>
      <c r="AO116" s="514">
        <f>((AO103*'LOCAL DATASET INPUTS'!AD319)+('USER INPUTS'!AO104*'LOCAL DATASET INPUTS'!AD320))/AO67</f>
        <v>1.7911469947287162E-5</v>
      </c>
      <c r="AP116" s="514">
        <f>((AP103*'LOCAL DATASET INPUTS'!AE319)+('USER INPUTS'!AP104*'LOCAL DATASET INPUTS'!AE320))/AP67</f>
        <v>1.8134319659226226E-5</v>
      </c>
      <c r="AQ116" s="514">
        <f>((AQ103*'LOCAL DATASET INPUTS'!AF319)+('USER INPUTS'!AQ104*'LOCAL DATASET INPUTS'!AF320))/AQ67</f>
        <v>1.8359907133246346E-5</v>
      </c>
      <c r="AR116" s="514">
        <f>((AR103*'LOCAL DATASET INPUTS'!AG319)+('USER INPUTS'!AR104*'LOCAL DATASET INPUTS'!AG320))/AR67</f>
        <v>1.8588265462220645E-5</v>
      </c>
      <c r="AS116" s="514">
        <f>((AS103*'LOCAL DATASET INPUTS'!AH319)+('USER INPUTS'!AS104*'LOCAL DATASET INPUTS'!AH320))/AS67</f>
        <v>1.8819428130803129E-5</v>
      </c>
      <c r="AT116" s="467"/>
    </row>
    <row r="117" spans="1:51" s="7" customFormat="1">
      <c r="A117" s="208" t="s">
        <v>750</v>
      </c>
      <c r="B117" s="645" t="s">
        <v>753</v>
      </c>
      <c r="C117" s="645" t="s">
        <v>754</v>
      </c>
      <c r="D117" s="5"/>
      <c r="E117" s="37"/>
      <c r="F117" s="37"/>
      <c r="G117" s="37"/>
      <c r="H117" s="37"/>
      <c r="I117" s="37"/>
      <c r="J117" s="37"/>
      <c r="K117" s="37"/>
      <c r="L117" s="37"/>
      <c r="M117" s="38"/>
      <c r="N117" s="21"/>
      <c r="O117" s="478" t="str">
        <f t="shared" si="22"/>
        <v>Inland waterways freight</v>
      </c>
      <c r="P117" s="514">
        <f>P105*'LOCAL DATASET INPUTS'!E347/P67</f>
        <v>0</v>
      </c>
      <c r="Q117" s="514">
        <f>Q105*'LOCAL DATASET INPUTS'!F347/Q67</f>
        <v>0</v>
      </c>
      <c r="R117" s="514">
        <f>R105*'LOCAL DATASET INPUTS'!G347/R67</f>
        <v>0</v>
      </c>
      <c r="S117" s="514">
        <f>S105*'LOCAL DATASET INPUTS'!H347/S67</f>
        <v>0</v>
      </c>
      <c r="T117" s="514">
        <f>T105*'LOCAL DATASET INPUTS'!I347/T67</f>
        <v>0</v>
      </c>
      <c r="U117" s="514">
        <f>U105*'LOCAL DATASET INPUTS'!J347/U67</f>
        <v>0</v>
      </c>
      <c r="V117" s="514">
        <f>V105*'LOCAL DATASET INPUTS'!K347/V67</f>
        <v>0</v>
      </c>
      <c r="W117" s="514">
        <f>W105*'LOCAL DATASET INPUTS'!L347/W67</f>
        <v>0</v>
      </c>
      <c r="X117" s="514">
        <f>X105*'LOCAL DATASET INPUTS'!M347/X67</f>
        <v>0</v>
      </c>
      <c r="Y117" s="514">
        <f>Y105*'LOCAL DATASET INPUTS'!N347/Y67</f>
        <v>0</v>
      </c>
      <c r="Z117" s="514">
        <f>Z105*'LOCAL DATASET INPUTS'!O347/Z67</f>
        <v>0</v>
      </c>
      <c r="AA117" s="514">
        <f>AA105*'LOCAL DATASET INPUTS'!P347/AA67</f>
        <v>0</v>
      </c>
      <c r="AB117" s="514">
        <f>AB105*'LOCAL DATASET INPUTS'!Q347/AB67</f>
        <v>0</v>
      </c>
      <c r="AC117" s="514">
        <f>AC105*'LOCAL DATASET INPUTS'!R347/AC67</f>
        <v>0</v>
      </c>
      <c r="AD117" s="514">
        <f>AD105*'LOCAL DATASET INPUTS'!S347/AD67</f>
        <v>0</v>
      </c>
      <c r="AE117" s="514">
        <f>AE105*'LOCAL DATASET INPUTS'!T347/AE67</f>
        <v>0</v>
      </c>
      <c r="AF117" s="514">
        <f>AF105*'LOCAL DATASET INPUTS'!U347/AF67</f>
        <v>0</v>
      </c>
      <c r="AG117" s="514">
        <f>AG105*'LOCAL DATASET INPUTS'!V347/AG67</f>
        <v>0</v>
      </c>
      <c r="AH117" s="514">
        <f>AH105*'LOCAL DATASET INPUTS'!W347/AH67</f>
        <v>0</v>
      </c>
      <c r="AI117" s="514">
        <f>AI105*'LOCAL DATASET INPUTS'!X347/AI67</f>
        <v>0</v>
      </c>
      <c r="AJ117" s="514">
        <f>AJ105*'LOCAL DATASET INPUTS'!Y347/AJ67</f>
        <v>0</v>
      </c>
      <c r="AK117" s="514">
        <f>AK105*'LOCAL DATASET INPUTS'!Z347/AK67</f>
        <v>0</v>
      </c>
      <c r="AL117" s="514">
        <f>AL105*'LOCAL DATASET INPUTS'!AA347/AL67</f>
        <v>0</v>
      </c>
      <c r="AM117" s="514">
        <f>AM105*'LOCAL DATASET INPUTS'!AB347/AM67</f>
        <v>0</v>
      </c>
      <c r="AN117" s="514">
        <f>AN105*'LOCAL DATASET INPUTS'!AC347/AN67</f>
        <v>0</v>
      </c>
      <c r="AO117" s="514">
        <f>AO105*'LOCAL DATASET INPUTS'!AD347/AO67</f>
        <v>0</v>
      </c>
      <c r="AP117" s="514">
        <f>AP105*'LOCAL DATASET INPUTS'!AE347/AP67</f>
        <v>0</v>
      </c>
      <c r="AQ117" s="514">
        <f>AQ105*'LOCAL DATASET INPUTS'!AF347/AQ67</f>
        <v>0</v>
      </c>
      <c r="AR117" s="514">
        <f>AR105*'LOCAL DATASET INPUTS'!AG347/AR67</f>
        <v>0</v>
      </c>
      <c r="AS117" s="514">
        <f>AS105*'LOCAL DATASET INPUTS'!AH347/AS67</f>
        <v>0</v>
      </c>
      <c r="AT117" s="467"/>
    </row>
    <row r="118" spans="1:51" s="7" customFormat="1">
      <c r="A118" s="13"/>
      <c r="B118" s="2">
        <v>5</v>
      </c>
      <c r="C118" s="2">
        <v>10</v>
      </c>
      <c r="D118" s="2" t="str">
        <f>IF(C118&lt;B118,"check inputs!","")</f>
        <v/>
      </c>
      <c r="E118" s="37"/>
      <c r="F118" s="37"/>
      <c r="G118" s="37"/>
      <c r="H118" s="37"/>
      <c r="I118" s="37"/>
      <c r="J118" s="37"/>
      <c r="K118" s="37"/>
      <c r="L118" s="37"/>
      <c r="M118" s="38"/>
      <c r="N118" s="21"/>
      <c r="O118" s="481" t="str">
        <f t="shared" si="22"/>
        <v>Total</v>
      </c>
      <c r="P118" s="488">
        <f>SUM(P109:P117)</f>
        <v>1412.6179388981568</v>
      </c>
      <c r="Q118" s="488">
        <f t="shared" ref="Q118:AS118" si="23">SUM(Q109:Q117)</f>
        <v>1438.4367854149261</v>
      </c>
      <c r="R118" s="488">
        <f t="shared" si="23"/>
        <v>1462.9496657966906</v>
      </c>
      <c r="S118" s="488">
        <f t="shared" si="23"/>
        <v>1488.0491911400575</v>
      </c>
      <c r="T118" s="488">
        <f t="shared" si="23"/>
        <v>711.58637199697898</v>
      </c>
      <c r="U118" s="488">
        <f t="shared" si="23"/>
        <v>474.1984765907755</v>
      </c>
      <c r="V118" s="488">
        <f t="shared" si="23"/>
        <v>358.88760804424328</v>
      </c>
      <c r="W118" s="488">
        <f t="shared" si="23"/>
        <v>290.55786697209447</v>
      </c>
      <c r="X118" s="488">
        <f t="shared" si="23"/>
        <v>245.51195619948999</v>
      </c>
      <c r="Y118" s="488">
        <f t="shared" si="23"/>
        <v>213.57636603975556</v>
      </c>
      <c r="Z118" s="488">
        <f t="shared" si="23"/>
        <v>217.1446987052164</v>
      </c>
      <c r="AA118" s="488">
        <f t="shared" si="23"/>
        <v>220.83727197454689</v>
      </c>
      <c r="AB118" s="488">
        <f t="shared" si="23"/>
        <v>224.57210867025904</v>
      </c>
      <c r="AC118" s="488">
        <f t="shared" si="23"/>
        <v>228.37103928939621</v>
      </c>
      <c r="AD118" s="488">
        <f t="shared" si="23"/>
        <v>232.1819578527342</v>
      </c>
      <c r="AE118" s="488">
        <f t="shared" si="23"/>
        <v>236.1227342218364</v>
      </c>
      <c r="AF118" s="488">
        <f t="shared" si="23"/>
        <v>240.15254183240592</v>
      </c>
      <c r="AG118" s="488">
        <f t="shared" si="23"/>
        <v>244.19733792007781</v>
      </c>
      <c r="AH118" s="488">
        <f t="shared" si="23"/>
        <v>248.2682693860541</v>
      </c>
      <c r="AI118" s="488">
        <f t="shared" si="23"/>
        <v>252.39890670029897</v>
      </c>
      <c r="AJ118" s="488">
        <f t="shared" si="23"/>
        <v>256.60138459575808</v>
      </c>
      <c r="AK118" s="488">
        <f t="shared" si="23"/>
        <v>260.8769396823663</v>
      </c>
      <c r="AL118" s="488">
        <f t="shared" si="23"/>
        <v>265.22682966401936</v>
      </c>
      <c r="AM118" s="488">
        <f t="shared" si="23"/>
        <v>269.65233369457729</v>
      </c>
      <c r="AN118" s="488">
        <f t="shared" si="23"/>
        <v>274.15475273979882</v>
      </c>
      <c r="AO118" s="488">
        <f t="shared" si="23"/>
        <v>278.73540994530674</v>
      </c>
      <c r="AP118" s="488">
        <f t="shared" si="23"/>
        <v>283.39565101068166</v>
      </c>
      <c r="AQ118" s="488">
        <f t="shared" si="23"/>
        <v>288.13684456978706</v>
      </c>
      <c r="AR118" s="488">
        <f t="shared" si="23"/>
        <v>292.96038257742458</v>
      </c>
      <c r="AS118" s="488">
        <f t="shared" si="23"/>
        <v>297.86768070242681</v>
      </c>
      <c r="AT118" s="467"/>
    </row>
    <row r="119" spans="1:51" s="7" customFormat="1">
      <c r="A119" s="43"/>
      <c r="B119" s="388"/>
      <c r="C119" s="388"/>
      <c r="D119" s="1"/>
      <c r="E119" s="37"/>
      <c r="F119" s="37"/>
      <c r="G119" s="37"/>
      <c r="H119" s="37"/>
      <c r="I119" s="37"/>
      <c r="J119" s="37"/>
      <c r="K119" s="37"/>
      <c r="L119" s="37"/>
      <c r="M119" s="38"/>
      <c r="N119" s="21"/>
      <c r="O119" s="481" t="s">
        <v>564</v>
      </c>
      <c r="P119" s="489">
        <f t="shared" ref="P119:AS119" si="24">(P118-P87)/P87*100</f>
        <v>99887.735396533666</v>
      </c>
      <c r="Q119" s="489">
        <f t="shared" si="24"/>
        <v>99887.67395738083</v>
      </c>
      <c r="R119" s="489">
        <f t="shared" si="24"/>
        <v>99887.6008796182</v>
      </c>
      <c r="S119" s="489">
        <f t="shared" si="24"/>
        <v>99887.528254290344</v>
      </c>
      <c r="T119" s="489">
        <f t="shared" si="24"/>
        <v>22166.596848914785</v>
      </c>
      <c r="U119" s="489">
        <f t="shared" si="24"/>
        <v>9457.9494006833102</v>
      </c>
      <c r="V119" s="489">
        <f t="shared" si="24"/>
        <v>5184.8323664629052</v>
      </c>
      <c r="W119" s="489">
        <f t="shared" si="24"/>
        <v>3247.8650277200968</v>
      </c>
      <c r="X119" s="489">
        <f t="shared" si="24"/>
        <v>2209.1691963138628</v>
      </c>
      <c r="Y119" s="489">
        <f t="shared" si="24"/>
        <v>1588.3452789848418</v>
      </c>
      <c r="Z119" s="489">
        <f t="shared" si="24"/>
        <v>1600.1056597395329</v>
      </c>
      <c r="AA119" s="489">
        <f t="shared" si="24"/>
        <v>1611.9418087328602</v>
      </c>
      <c r="AB119" s="489">
        <f t="shared" si="24"/>
        <v>1623.8540693712164</v>
      </c>
      <c r="AC119" s="489">
        <f t="shared" si="24"/>
        <v>1635.8428818990219</v>
      </c>
      <c r="AD119" s="489">
        <f t="shared" si="24"/>
        <v>1647.9086217529807</v>
      </c>
      <c r="AE119" s="489">
        <f t="shared" si="24"/>
        <v>1660.051827686149</v>
      </c>
      <c r="AF119" s="489">
        <f t="shared" si="24"/>
        <v>1672.2728876553351</v>
      </c>
      <c r="AG119" s="489">
        <f t="shared" si="24"/>
        <v>1684.5721635994078</v>
      </c>
      <c r="AH119" s="489">
        <f t="shared" si="24"/>
        <v>1696.9500991983828</v>
      </c>
      <c r="AI119" s="489">
        <f t="shared" si="24"/>
        <v>1709.4071589130915</v>
      </c>
      <c r="AJ119" s="489">
        <f t="shared" si="24"/>
        <v>1721.9437885942739</v>
      </c>
      <c r="AK119" s="489">
        <f t="shared" si="24"/>
        <v>1734.560425894113</v>
      </c>
      <c r="AL119" s="489">
        <f t="shared" si="24"/>
        <v>1747.2575101535679</v>
      </c>
      <c r="AM119" s="489">
        <f t="shared" si="24"/>
        <v>1760.0354824014566</v>
      </c>
      <c r="AN119" s="489">
        <f t="shared" si="24"/>
        <v>1772.8947853534376</v>
      </c>
      <c r="AO119" s="489">
        <f t="shared" si="24"/>
        <v>1785.8358634109059</v>
      </c>
      <c r="AP119" s="489">
        <f t="shared" si="24"/>
        <v>1798.8591626597799</v>
      </c>
      <c r="AQ119" s="489">
        <f t="shared" si="24"/>
        <v>1811.9651308692032</v>
      </c>
      <c r="AR119" s="489">
        <f t="shared" si="24"/>
        <v>1825.1542174901406</v>
      </c>
      <c r="AS119" s="489">
        <f t="shared" si="24"/>
        <v>1838.4268736538836</v>
      </c>
      <c r="AT119" s="467"/>
    </row>
    <row r="120" spans="1:51" s="7" customFormat="1">
      <c r="A120" s="43"/>
      <c r="B120" s="645" t="s">
        <v>763</v>
      </c>
      <c r="C120" s="645" t="s">
        <v>771</v>
      </c>
      <c r="D120" s="645" t="s">
        <v>751</v>
      </c>
      <c r="E120" s="37"/>
      <c r="F120" s="37"/>
      <c r="G120" s="37"/>
      <c r="H120" s="37"/>
      <c r="I120" s="37"/>
      <c r="J120" s="37"/>
      <c r="K120" s="37"/>
      <c r="L120" s="37"/>
      <c r="M120" s="38"/>
      <c r="N120" s="21"/>
      <c r="O120" s="481"/>
      <c r="P120" s="489"/>
      <c r="Q120" s="489"/>
      <c r="R120" s="489"/>
      <c r="S120" s="489"/>
      <c r="T120" s="489"/>
      <c r="U120" s="489"/>
      <c r="V120" s="489"/>
      <c r="W120" s="489"/>
      <c r="X120" s="489"/>
      <c r="Y120" s="489"/>
      <c r="Z120" s="489"/>
      <c r="AA120" s="489"/>
      <c r="AB120" s="489"/>
      <c r="AC120" s="489"/>
      <c r="AD120" s="489"/>
      <c r="AE120" s="489"/>
      <c r="AF120" s="489"/>
      <c r="AG120" s="489"/>
      <c r="AH120" s="489"/>
      <c r="AI120" s="489"/>
      <c r="AJ120" s="489"/>
      <c r="AK120" s="489"/>
      <c r="AL120" s="489"/>
      <c r="AM120" s="489"/>
      <c r="AN120" s="489"/>
      <c r="AO120" s="489"/>
      <c r="AP120" s="489"/>
      <c r="AQ120" s="489"/>
      <c r="AR120" s="489"/>
      <c r="AS120" s="489"/>
      <c r="AT120" s="467"/>
    </row>
    <row r="121" spans="1:51" s="7" customFormat="1">
      <c r="A121" s="128" t="s">
        <v>516</v>
      </c>
      <c r="B121" s="583">
        <f>2020+C129</f>
        <v>2025</v>
      </c>
      <c r="C121" s="645">
        <f>2020+C129</f>
        <v>2025</v>
      </c>
      <c r="D121" s="645" t="s">
        <v>752</v>
      </c>
      <c r="E121" s="37"/>
      <c r="F121" s="37"/>
      <c r="G121" s="37"/>
      <c r="H121" s="37"/>
      <c r="I121" s="37"/>
      <c r="J121" s="37"/>
      <c r="K121" s="37"/>
      <c r="L121" s="37"/>
      <c r="M121" s="38"/>
      <c r="N121" s="21"/>
      <c r="AT121" s="467"/>
    </row>
    <row r="122" spans="1:51" s="7" customFormat="1">
      <c r="A122" s="208" t="str">
        <f>'LOCAL DATASET INPUTS'!A47</f>
        <v>Petroleum products</v>
      </c>
      <c r="B122" s="100">
        <f>INDEX('LOCAL DATASET INPUTS'!E47:AH52,1,C129)</f>
        <v>0.1</v>
      </c>
      <c r="C122" s="413">
        <v>5</v>
      </c>
      <c r="D122" s="413">
        <v>0</v>
      </c>
      <c r="E122" s="37"/>
      <c r="F122" s="37"/>
      <c r="G122" s="37"/>
      <c r="H122" s="37"/>
      <c r="I122" s="37"/>
      <c r="J122" s="37"/>
      <c r="K122" s="37"/>
      <c r="L122" s="37"/>
      <c r="M122" s="38"/>
      <c r="N122" s="21"/>
      <c r="O122" s="476" t="s">
        <v>626</v>
      </c>
      <c r="P122" s="481"/>
      <c r="Q122" s="481"/>
      <c r="R122" s="481"/>
      <c r="S122" s="481"/>
      <c r="T122" s="475"/>
      <c r="U122" s="475"/>
      <c r="V122" s="475"/>
      <c r="W122" s="475"/>
      <c r="X122" s="475"/>
      <c r="Y122" s="475"/>
      <c r="Z122" s="475"/>
      <c r="AA122" s="475"/>
      <c r="AB122" s="475"/>
      <c r="AC122" s="475"/>
      <c r="AD122" s="475"/>
      <c r="AE122" s="475"/>
      <c r="AF122" s="475"/>
      <c r="AG122" s="475"/>
      <c r="AH122" s="475"/>
      <c r="AI122" s="475"/>
      <c r="AJ122" s="475"/>
      <c r="AK122" s="475"/>
      <c r="AL122" s="475"/>
      <c r="AM122" s="475"/>
      <c r="AN122" s="475"/>
      <c r="AO122" s="475"/>
      <c r="AP122" s="475"/>
      <c r="AQ122" s="475"/>
      <c r="AR122" s="475"/>
      <c r="AS122" s="475"/>
      <c r="AT122" s="467"/>
    </row>
    <row r="123" spans="1:51" s="7" customFormat="1">
      <c r="A123" s="208" t="str">
        <f>'LOCAL DATASET INPUTS'!A48</f>
        <v>Liquefied Petroleum Gas (LPG)</v>
      </c>
      <c r="B123" s="100">
        <f>INDEX('LOCAL DATASET INPUTS'!E47:AH52,2,C129)</f>
        <v>0</v>
      </c>
      <c r="C123" s="413">
        <v>5</v>
      </c>
      <c r="D123" s="5"/>
      <c r="E123" s="37"/>
      <c r="F123" s="37"/>
      <c r="G123" s="37"/>
      <c r="H123" s="37"/>
      <c r="I123" s="37"/>
      <c r="J123" s="37"/>
      <c r="K123" s="37"/>
      <c r="L123" s="37"/>
      <c r="M123" s="38"/>
      <c r="N123" s="21"/>
      <c r="O123" s="485" t="s">
        <v>571</v>
      </c>
      <c r="P123" s="486">
        <v>2021</v>
      </c>
      <c r="Q123" s="486">
        <f>P123+1</f>
        <v>2022</v>
      </c>
      <c r="R123" s="486">
        <f t="shared" ref="R123:AS123" si="25">Q123+1</f>
        <v>2023</v>
      </c>
      <c r="S123" s="486">
        <f t="shared" si="25"/>
        <v>2024</v>
      </c>
      <c r="T123" s="486">
        <f t="shared" si="25"/>
        <v>2025</v>
      </c>
      <c r="U123" s="486">
        <f t="shared" si="25"/>
        <v>2026</v>
      </c>
      <c r="V123" s="486">
        <f t="shared" si="25"/>
        <v>2027</v>
      </c>
      <c r="W123" s="486">
        <f t="shared" si="25"/>
        <v>2028</v>
      </c>
      <c r="X123" s="486">
        <f t="shared" si="25"/>
        <v>2029</v>
      </c>
      <c r="Y123" s="486">
        <f t="shared" si="25"/>
        <v>2030</v>
      </c>
      <c r="Z123" s="486">
        <f t="shared" si="25"/>
        <v>2031</v>
      </c>
      <c r="AA123" s="486">
        <f t="shared" si="25"/>
        <v>2032</v>
      </c>
      <c r="AB123" s="486">
        <f t="shared" si="25"/>
        <v>2033</v>
      </c>
      <c r="AC123" s="486">
        <f t="shared" si="25"/>
        <v>2034</v>
      </c>
      <c r="AD123" s="486">
        <f t="shared" si="25"/>
        <v>2035</v>
      </c>
      <c r="AE123" s="486">
        <f t="shared" si="25"/>
        <v>2036</v>
      </c>
      <c r="AF123" s="486">
        <f t="shared" si="25"/>
        <v>2037</v>
      </c>
      <c r="AG123" s="486">
        <f t="shared" si="25"/>
        <v>2038</v>
      </c>
      <c r="AH123" s="486">
        <f t="shared" si="25"/>
        <v>2039</v>
      </c>
      <c r="AI123" s="486">
        <f t="shared" si="25"/>
        <v>2040</v>
      </c>
      <c r="AJ123" s="486">
        <f t="shared" si="25"/>
        <v>2041</v>
      </c>
      <c r="AK123" s="486">
        <f t="shared" si="25"/>
        <v>2042</v>
      </c>
      <c r="AL123" s="486">
        <f t="shared" si="25"/>
        <v>2043</v>
      </c>
      <c r="AM123" s="486">
        <f t="shared" si="25"/>
        <v>2044</v>
      </c>
      <c r="AN123" s="486">
        <f t="shared" si="25"/>
        <v>2045</v>
      </c>
      <c r="AO123" s="486">
        <f t="shared" si="25"/>
        <v>2046</v>
      </c>
      <c r="AP123" s="486">
        <f t="shared" si="25"/>
        <v>2047</v>
      </c>
      <c r="AQ123" s="486">
        <f t="shared" si="25"/>
        <v>2048</v>
      </c>
      <c r="AR123" s="486">
        <f t="shared" si="25"/>
        <v>2049</v>
      </c>
      <c r="AS123" s="486">
        <f t="shared" si="25"/>
        <v>2050</v>
      </c>
      <c r="AT123" s="467"/>
      <c r="AU123" s="21"/>
      <c r="AV123" s="21"/>
      <c r="AW123" s="21"/>
      <c r="AX123" s="21"/>
      <c r="AY123" s="73"/>
    </row>
    <row r="124" spans="1:51" s="7" customFormat="1">
      <c r="A124" s="208" t="str">
        <f>'LOCAL DATASET INPUTS'!A50</f>
        <v>Natural Gas (CNG)</v>
      </c>
      <c r="B124" s="100">
        <f>INDEX('LOCAL DATASET INPUTS'!E47:AH52,4,C129)</f>
        <v>0</v>
      </c>
      <c r="C124" s="413">
        <v>5</v>
      </c>
      <c r="D124" s="5"/>
      <c r="E124" s="37"/>
      <c r="F124" s="37"/>
      <c r="G124" s="37"/>
      <c r="H124" s="37"/>
      <c r="I124" s="37"/>
      <c r="J124" s="37"/>
      <c r="K124" s="37"/>
      <c r="L124" s="37"/>
      <c r="M124" s="38"/>
      <c r="N124" s="21"/>
      <c r="O124" s="481" t="str">
        <f>O109</f>
        <v>Motor coaches, buses and trolley buses</v>
      </c>
      <c r="P124" s="490">
        <f>'LOCAL DATASET INPUTS'!E27</f>
        <v>14.785016393675518</v>
      </c>
      <c r="Q124" s="490" t="e">
        <f>'LOCAL DATASET INPUTS'!F27</f>
        <v>#REF!</v>
      </c>
      <c r="R124" s="490" t="e">
        <f>'LOCAL DATASET INPUTS'!G27</f>
        <v>#REF!</v>
      </c>
      <c r="S124" s="490" t="e">
        <f>'LOCAL DATASET INPUTS'!H27</f>
        <v>#REF!</v>
      </c>
      <c r="T124" s="490" t="e">
        <f>'LOCAL DATASET INPUTS'!I27</f>
        <v>#REF!</v>
      </c>
      <c r="U124" s="490" t="e">
        <f>'LOCAL DATASET INPUTS'!J27</f>
        <v>#REF!</v>
      </c>
      <c r="V124" s="490" t="e">
        <f>'LOCAL DATASET INPUTS'!K27</f>
        <v>#REF!</v>
      </c>
      <c r="W124" s="490" t="e">
        <f>'LOCAL DATASET INPUTS'!L27</f>
        <v>#REF!</v>
      </c>
      <c r="X124" s="490" t="e">
        <f>'LOCAL DATASET INPUTS'!M27</f>
        <v>#REF!</v>
      </c>
      <c r="Y124" s="490" t="e">
        <f>'LOCAL DATASET INPUTS'!N27</f>
        <v>#REF!</v>
      </c>
      <c r="Z124" s="490" t="e">
        <f>'LOCAL DATASET INPUTS'!O27</f>
        <v>#REF!</v>
      </c>
      <c r="AA124" s="490" t="e">
        <f>'LOCAL DATASET INPUTS'!P27</f>
        <v>#REF!</v>
      </c>
      <c r="AB124" s="490" t="e">
        <f>'LOCAL DATASET INPUTS'!Q27</f>
        <v>#REF!</v>
      </c>
      <c r="AC124" s="490" t="e">
        <f>'LOCAL DATASET INPUTS'!R27</f>
        <v>#REF!</v>
      </c>
      <c r="AD124" s="490" t="e">
        <f>'LOCAL DATASET INPUTS'!S27</f>
        <v>#REF!</v>
      </c>
      <c r="AE124" s="490" t="e">
        <f>'LOCAL DATASET INPUTS'!T27</f>
        <v>#REF!</v>
      </c>
      <c r="AF124" s="490" t="e">
        <f>'LOCAL DATASET INPUTS'!U27</f>
        <v>#REF!</v>
      </c>
      <c r="AG124" s="490" t="e">
        <f>'LOCAL DATASET INPUTS'!V27</f>
        <v>#REF!</v>
      </c>
      <c r="AH124" s="490" t="e">
        <f>'LOCAL DATASET INPUTS'!W27</f>
        <v>#REF!</v>
      </c>
      <c r="AI124" s="490" t="e">
        <f>'LOCAL DATASET INPUTS'!X27</f>
        <v>#REF!</v>
      </c>
      <c r="AJ124" s="490" t="e">
        <f>'LOCAL DATASET INPUTS'!Y27</f>
        <v>#REF!</v>
      </c>
      <c r="AK124" s="490" t="e">
        <f>'LOCAL DATASET INPUTS'!Z27</f>
        <v>#REF!</v>
      </c>
      <c r="AL124" s="490" t="e">
        <f>'LOCAL DATASET INPUTS'!AA27</f>
        <v>#REF!</v>
      </c>
      <c r="AM124" s="490" t="e">
        <f>'LOCAL DATASET INPUTS'!AB27</f>
        <v>#REF!</v>
      </c>
      <c r="AN124" s="490" t="e">
        <f>'LOCAL DATASET INPUTS'!AC27</f>
        <v>#REF!</v>
      </c>
      <c r="AO124" s="490" t="e">
        <f>'LOCAL DATASET INPUTS'!AD27</f>
        <v>#REF!</v>
      </c>
      <c r="AP124" s="490" t="e">
        <f>'LOCAL DATASET INPUTS'!AE27</f>
        <v>#REF!</v>
      </c>
      <c r="AQ124" s="490" t="e">
        <f>'LOCAL DATASET INPUTS'!AF27</f>
        <v>#REF!</v>
      </c>
      <c r="AR124" s="490" t="e">
        <f>'LOCAL DATASET INPUTS'!AG27</f>
        <v>#REF!</v>
      </c>
      <c r="AS124" s="490" t="e">
        <f>'LOCAL DATASET INPUTS'!AH27</f>
        <v>#REF!</v>
      </c>
      <c r="AT124" s="500" t="s">
        <v>578</v>
      </c>
      <c r="AU124" s="73"/>
      <c r="AV124" s="73"/>
      <c r="AW124" s="73"/>
      <c r="AX124" s="73"/>
      <c r="AY124" s="73"/>
    </row>
    <row r="125" spans="1:51" s="7" customFormat="1">
      <c r="A125" s="28" t="str">
        <f>'LOCAL DATASET INPUTS'!A52</f>
        <v>Electricity</v>
      </c>
      <c r="B125" s="100">
        <f>INDEX('LOCAL DATASET INPUTS'!E47:AH52,6,C129)</f>
        <v>0.30000000000000004</v>
      </c>
      <c r="C125" s="413">
        <v>45</v>
      </c>
      <c r="D125" s="5"/>
      <c r="E125" s="37"/>
      <c r="F125" s="37"/>
      <c r="G125" s="37"/>
      <c r="H125" s="37"/>
      <c r="I125" s="37"/>
      <c r="J125" s="37"/>
      <c r="K125" s="37"/>
      <c r="L125" s="37"/>
      <c r="M125" s="38"/>
      <c r="N125" s="21"/>
      <c r="O125" s="518" t="s">
        <v>600</v>
      </c>
      <c r="P125" s="520">
        <f>IF((P123-2020)=$B$109,(($C$103-$P$124)/($C$109-$B$109+1)),0)</f>
        <v>0</v>
      </c>
      <c r="Q125" s="520">
        <f t="shared" ref="Q125:AS125" si="26">IF((Q123-2020)=$B$109,(($C$103-P124)/($C$109-$B$109+1)),P125)</f>
        <v>0</v>
      </c>
      <c r="R125" s="520">
        <f t="shared" si="26"/>
        <v>0</v>
      </c>
      <c r="S125" s="520">
        <f t="shared" si="26"/>
        <v>0</v>
      </c>
      <c r="T125" s="520" t="e">
        <f t="shared" si="26"/>
        <v>#REF!</v>
      </c>
      <c r="U125" s="520" t="e">
        <f t="shared" si="26"/>
        <v>#REF!</v>
      </c>
      <c r="V125" s="520" t="e">
        <f t="shared" si="26"/>
        <v>#REF!</v>
      </c>
      <c r="W125" s="520" t="e">
        <f t="shared" si="26"/>
        <v>#REF!</v>
      </c>
      <c r="X125" s="520" t="e">
        <f t="shared" si="26"/>
        <v>#REF!</v>
      </c>
      <c r="Y125" s="520" t="e">
        <f t="shared" si="26"/>
        <v>#REF!</v>
      </c>
      <c r="Z125" s="520" t="e">
        <f t="shared" si="26"/>
        <v>#REF!</v>
      </c>
      <c r="AA125" s="520" t="e">
        <f t="shared" si="26"/>
        <v>#REF!</v>
      </c>
      <c r="AB125" s="520" t="e">
        <f t="shared" si="26"/>
        <v>#REF!</v>
      </c>
      <c r="AC125" s="520" t="e">
        <f t="shared" si="26"/>
        <v>#REF!</v>
      </c>
      <c r="AD125" s="520" t="e">
        <f t="shared" si="26"/>
        <v>#REF!</v>
      </c>
      <c r="AE125" s="520" t="e">
        <f t="shared" si="26"/>
        <v>#REF!</v>
      </c>
      <c r="AF125" s="520" t="e">
        <f t="shared" si="26"/>
        <v>#REF!</v>
      </c>
      <c r="AG125" s="520" t="e">
        <f t="shared" si="26"/>
        <v>#REF!</v>
      </c>
      <c r="AH125" s="520" t="e">
        <f t="shared" si="26"/>
        <v>#REF!</v>
      </c>
      <c r="AI125" s="520" t="e">
        <f t="shared" si="26"/>
        <v>#REF!</v>
      </c>
      <c r="AJ125" s="520" t="e">
        <f t="shared" si="26"/>
        <v>#REF!</v>
      </c>
      <c r="AK125" s="520" t="e">
        <f t="shared" si="26"/>
        <v>#REF!</v>
      </c>
      <c r="AL125" s="520" t="e">
        <f t="shared" si="26"/>
        <v>#REF!</v>
      </c>
      <c r="AM125" s="520" t="e">
        <f t="shared" si="26"/>
        <v>#REF!</v>
      </c>
      <c r="AN125" s="520" t="e">
        <f t="shared" si="26"/>
        <v>#REF!</v>
      </c>
      <c r="AO125" s="520" t="e">
        <f t="shared" si="26"/>
        <v>#REF!</v>
      </c>
      <c r="AP125" s="520" t="e">
        <f t="shared" si="26"/>
        <v>#REF!</v>
      </c>
      <c r="AQ125" s="520" t="e">
        <f t="shared" si="26"/>
        <v>#REF!</v>
      </c>
      <c r="AR125" s="520" t="e">
        <f t="shared" si="26"/>
        <v>#REF!</v>
      </c>
      <c r="AS125" s="520" t="e">
        <f t="shared" si="26"/>
        <v>#REF!</v>
      </c>
      <c r="AU125" s="73"/>
      <c r="AV125" s="73"/>
      <c r="AW125" s="73"/>
      <c r="AX125" s="73"/>
      <c r="AY125" s="73"/>
    </row>
    <row r="126" spans="1:51" s="7" customFormat="1">
      <c r="A126" s="441" t="str">
        <f>'LOCAL DATASET INPUTS'!A49</f>
        <v>Diesel</v>
      </c>
      <c r="B126" s="219">
        <f>INDEX('LOCAL DATASET INPUTS'!E47:AH52,3,C129)</f>
        <v>99.6</v>
      </c>
      <c r="C126" s="219">
        <f>100-SUM(C122:C125)</f>
        <v>40</v>
      </c>
      <c r="D126" s="5"/>
      <c r="E126" s="37"/>
      <c r="F126" s="37"/>
      <c r="G126" s="37"/>
      <c r="H126" s="37"/>
      <c r="I126" s="37"/>
      <c r="J126" s="37"/>
      <c r="K126" s="37"/>
      <c r="L126" s="37"/>
      <c r="M126" s="38"/>
      <c r="N126" s="21"/>
      <c r="O126" s="518" t="s">
        <v>573</v>
      </c>
      <c r="P126" s="507">
        <f>IF(AND((P123-2019)&gt;$B$109,(P123-2021)&lt;$C$109),($P$124+(($C$103-$P$124)/($C$109-$B$109+1))),P124)</f>
        <v>14.785016393675518</v>
      </c>
      <c r="Q126" s="507" t="e">
        <f>IF(AND((Q123-2019)&gt;$B$109,(Q123-2021)&lt;$C$109),(P126+Q125),(P126*(Q124/P124)))</f>
        <v>#REF!</v>
      </c>
      <c r="R126" s="507" t="e">
        <f t="shared" ref="R126:AS126" si="27">IF(AND((R123-2019)&gt;$B$109,(R123-2021)&lt;$C$109),(Q126+R125),(Q126*(R124/Q124)))</f>
        <v>#REF!</v>
      </c>
      <c r="S126" s="507" t="e">
        <f t="shared" si="27"/>
        <v>#REF!</v>
      </c>
      <c r="T126" s="507" t="e">
        <f t="shared" si="27"/>
        <v>#REF!</v>
      </c>
      <c r="U126" s="507" t="e">
        <f t="shared" si="27"/>
        <v>#REF!</v>
      </c>
      <c r="V126" s="507" t="e">
        <f t="shared" si="27"/>
        <v>#REF!</v>
      </c>
      <c r="W126" s="507" t="e">
        <f t="shared" si="27"/>
        <v>#REF!</v>
      </c>
      <c r="X126" s="507" t="e">
        <f t="shared" si="27"/>
        <v>#REF!</v>
      </c>
      <c r="Y126" s="507" t="e">
        <f t="shared" si="27"/>
        <v>#REF!</v>
      </c>
      <c r="Z126" s="507" t="e">
        <f t="shared" si="27"/>
        <v>#REF!</v>
      </c>
      <c r="AA126" s="507" t="e">
        <f t="shared" si="27"/>
        <v>#REF!</v>
      </c>
      <c r="AB126" s="507" t="e">
        <f t="shared" si="27"/>
        <v>#REF!</v>
      </c>
      <c r="AC126" s="507" t="e">
        <f t="shared" si="27"/>
        <v>#REF!</v>
      </c>
      <c r="AD126" s="507" t="e">
        <f t="shared" si="27"/>
        <v>#REF!</v>
      </c>
      <c r="AE126" s="507" t="e">
        <f t="shared" si="27"/>
        <v>#REF!</v>
      </c>
      <c r="AF126" s="507" t="e">
        <f t="shared" si="27"/>
        <v>#REF!</v>
      </c>
      <c r="AG126" s="507" t="e">
        <f t="shared" si="27"/>
        <v>#REF!</v>
      </c>
      <c r="AH126" s="507" t="e">
        <f t="shared" si="27"/>
        <v>#REF!</v>
      </c>
      <c r="AI126" s="507" t="e">
        <f t="shared" si="27"/>
        <v>#REF!</v>
      </c>
      <c r="AJ126" s="507" t="e">
        <f t="shared" si="27"/>
        <v>#REF!</v>
      </c>
      <c r="AK126" s="507" t="e">
        <f t="shared" si="27"/>
        <v>#REF!</v>
      </c>
      <c r="AL126" s="507" t="e">
        <f t="shared" si="27"/>
        <v>#REF!</v>
      </c>
      <c r="AM126" s="507" t="e">
        <f t="shared" si="27"/>
        <v>#REF!</v>
      </c>
      <c r="AN126" s="507" t="e">
        <f t="shared" si="27"/>
        <v>#REF!</v>
      </c>
      <c r="AO126" s="507" t="e">
        <f t="shared" si="27"/>
        <v>#REF!</v>
      </c>
      <c r="AP126" s="507" t="e">
        <f t="shared" si="27"/>
        <v>#REF!</v>
      </c>
      <c r="AQ126" s="507" t="e">
        <f t="shared" si="27"/>
        <v>#REF!</v>
      </c>
      <c r="AR126" s="507" t="e">
        <f t="shared" si="27"/>
        <v>#REF!</v>
      </c>
      <c r="AS126" s="507" t="e">
        <f t="shared" si="27"/>
        <v>#REF!</v>
      </c>
      <c r="AT126" s="500" t="s">
        <v>575</v>
      </c>
    </row>
    <row r="127" spans="1:51" s="7" customFormat="1">
      <c r="A127" s="208" t="s">
        <v>514</v>
      </c>
      <c r="B127" s="172">
        <f>SUM(B122:B126)</f>
        <v>100</v>
      </c>
      <c r="C127" s="442">
        <v>100</v>
      </c>
      <c r="D127" s="5"/>
      <c r="E127" s="37"/>
      <c r="F127" s="37"/>
      <c r="G127" s="37"/>
      <c r="H127" s="37"/>
      <c r="I127" s="37"/>
      <c r="J127" s="37"/>
      <c r="K127" s="37"/>
      <c r="L127" s="37"/>
      <c r="M127" s="38"/>
      <c r="N127" s="21"/>
      <c r="O127" s="485" t="s">
        <v>574</v>
      </c>
      <c r="P127" s="491">
        <f t="shared" ref="P127:AS127" si="28">P126/P124</f>
        <v>1</v>
      </c>
      <c r="Q127" s="491" t="e">
        <f t="shared" si="28"/>
        <v>#REF!</v>
      </c>
      <c r="R127" s="491" t="e">
        <f t="shared" si="28"/>
        <v>#REF!</v>
      </c>
      <c r="S127" s="491" t="e">
        <f t="shared" si="28"/>
        <v>#REF!</v>
      </c>
      <c r="T127" s="491" t="e">
        <f t="shared" si="28"/>
        <v>#REF!</v>
      </c>
      <c r="U127" s="491" t="e">
        <f t="shared" si="28"/>
        <v>#REF!</v>
      </c>
      <c r="V127" s="491" t="e">
        <f t="shared" si="28"/>
        <v>#REF!</v>
      </c>
      <c r="W127" s="491" t="e">
        <f t="shared" si="28"/>
        <v>#REF!</v>
      </c>
      <c r="X127" s="491" t="e">
        <f t="shared" si="28"/>
        <v>#REF!</v>
      </c>
      <c r="Y127" s="491" t="e">
        <f t="shared" si="28"/>
        <v>#REF!</v>
      </c>
      <c r="Z127" s="491" t="e">
        <f t="shared" si="28"/>
        <v>#REF!</v>
      </c>
      <c r="AA127" s="491" t="e">
        <f t="shared" si="28"/>
        <v>#REF!</v>
      </c>
      <c r="AB127" s="491" t="e">
        <f t="shared" si="28"/>
        <v>#REF!</v>
      </c>
      <c r="AC127" s="491" t="e">
        <f t="shared" si="28"/>
        <v>#REF!</v>
      </c>
      <c r="AD127" s="491" t="e">
        <f t="shared" si="28"/>
        <v>#REF!</v>
      </c>
      <c r="AE127" s="491" t="e">
        <f t="shared" si="28"/>
        <v>#REF!</v>
      </c>
      <c r="AF127" s="491" t="e">
        <f t="shared" si="28"/>
        <v>#REF!</v>
      </c>
      <c r="AG127" s="491" t="e">
        <f t="shared" si="28"/>
        <v>#REF!</v>
      </c>
      <c r="AH127" s="491" t="e">
        <f t="shared" si="28"/>
        <v>#REF!</v>
      </c>
      <c r="AI127" s="491" t="e">
        <f t="shared" si="28"/>
        <v>#REF!</v>
      </c>
      <c r="AJ127" s="491" t="e">
        <f t="shared" si="28"/>
        <v>#REF!</v>
      </c>
      <c r="AK127" s="491" t="e">
        <f t="shared" si="28"/>
        <v>#REF!</v>
      </c>
      <c r="AL127" s="491" t="e">
        <f t="shared" si="28"/>
        <v>#REF!</v>
      </c>
      <c r="AM127" s="491" t="e">
        <f t="shared" si="28"/>
        <v>#REF!</v>
      </c>
      <c r="AN127" s="491" t="e">
        <f t="shared" si="28"/>
        <v>#REF!</v>
      </c>
      <c r="AO127" s="491" t="e">
        <f t="shared" si="28"/>
        <v>#REF!</v>
      </c>
      <c r="AP127" s="491" t="e">
        <f t="shared" si="28"/>
        <v>#REF!</v>
      </c>
      <c r="AQ127" s="491" t="e">
        <f t="shared" si="28"/>
        <v>#REF!</v>
      </c>
      <c r="AR127" s="491" t="e">
        <f t="shared" si="28"/>
        <v>#REF!</v>
      </c>
      <c r="AS127" s="491" t="e">
        <f t="shared" si="28"/>
        <v>#REF!</v>
      </c>
      <c r="AT127" s="500"/>
    </row>
    <row r="128" spans="1:51" s="7" customFormat="1">
      <c r="A128" s="208" t="s">
        <v>750</v>
      </c>
      <c r="B128" s="645" t="s">
        <v>753</v>
      </c>
      <c r="C128" s="645" t="s">
        <v>754</v>
      </c>
      <c r="D128" s="5"/>
      <c r="E128" s="37"/>
      <c r="F128" s="37"/>
      <c r="G128" s="37"/>
      <c r="H128" s="37"/>
      <c r="I128" s="37"/>
      <c r="J128" s="37"/>
      <c r="K128" s="37"/>
      <c r="L128" s="37"/>
      <c r="M128" s="38"/>
      <c r="N128" s="21"/>
      <c r="O128" s="475" t="s">
        <v>572</v>
      </c>
      <c r="P128" s="490">
        <f>'LOCAL DATASET INPUTS'!E29</f>
        <v>0.44862070843613772</v>
      </c>
      <c r="Q128" s="490" t="e">
        <f>'LOCAL DATASET INPUTS'!F29</f>
        <v>#REF!</v>
      </c>
      <c r="R128" s="490" t="e">
        <f>'LOCAL DATASET INPUTS'!G29</f>
        <v>#REF!</v>
      </c>
      <c r="S128" s="490" t="e">
        <f>'LOCAL DATASET INPUTS'!H29</f>
        <v>#REF!</v>
      </c>
      <c r="T128" s="490" t="e">
        <f>'LOCAL DATASET INPUTS'!I29</f>
        <v>#REF!</v>
      </c>
      <c r="U128" s="490" t="e">
        <f>'LOCAL DATASET INPUTS'!J29</f>
        <v>#REF!</v>
      </c>
      <c r="V128" s="490" t="e">
        <f>'LOCAL DATASET INPUTS'!K29</f>
        <v>#REF!</v>
      </c>
      <c r="W128" s="490" t="e">
        <f>'LOCAL DATASET INPUTS'!L29</f>
        <v>#REF!</v>
      </c>
      <c r="X128" s="490" t="e">
        <f>'LOCAL DATASET INPUTS'!M29</f>
        <v>#REF!</v>
      </c>
      <c r="Y128" s="490" t="e">
        <f>'LOCAL DATASET INPUTS'!N29</f>
        <v>#REF!</v>
      </c>
      <c r="Z128" s="490" t="e">
        <f>'LOCAL DATASET INPUTS'!O29</f>
        <v>#REF!</v>
      </c>
      <c r="AA128" s="490" t="e">
        <f>'LOCAL DATASET INPUTS'!P29</f>
        <v>#REF!</v>
      </c>
      <c r="AB128" s="490" t="e">
        <f>'LOCAL DATASET INPUTS'!Q29</f>
        <v>#REF!</v>
      </c>
      <c r="AC128" s="490" t="e">
        <f>'LOCAL DATASET INPUTS'!R29</f>
        <v>#REF!</v>
      </c>
      <c r="AD128" s="490" t="e">
        <f>'LOCAL DATASET INPUTS'!S29</f>
        <v>#REF!</v>
      </c>
      <c r="AE128" s="490" t="e">
        <f>'LOCAL DATASET INPUTS'!T29</f>
        <v>#REF!</v>
      </c>
      <c r="AF128" s="490" t="e">
        <f>'LOCAL DATASET INPUTS'!U29</f>
        <v>#REF!</v>
      </c>
      <c r="AG128" s="490" t="e">
        <f>'LOCAL DATASET INPUTS'!V29</f>
        <v>#REF!</v>
      </c>
      <c r="AH128" s="490" t="e">
        <f>'LOCAL DATASET INPUTS'!W29</f>
        <v>#REF!</v>
      </c>
      <c r="AI128" s="490" t="e">
        <f>'LOCAL DATASET INPUTS'!X29</f>
        <v>#REF!</v>
      </c>
      <c r="AJ128" s="490" t="e">
        <f>'LOCAL DATASET INPUTS'!Y29</f>
        <v>#REF!</v>
      </c>
      <c r="AK128" s="490" t="e">
        <f>'LOCAL DATASET INPUTS'!Z29</f>
        <v>#REF!</v>
      </c>
      <c r="AL128" s="490" t="e">
        <f>'LOCAL DATASET INPUTS'!AA29</f>
        <v>#REF!</v>
      </c>
      <c r="AM128" s="490" t="e">
        <f>'LOCAL DATASET INPUTS'!AB29</f>
        <v>#REF!</v>
      </c>
      <c r="AN128" s="490" t="e">
        <f>'LOCAL DATASET INPUTS'!AC29</f>
        <v>#REF!</v>
      </c>
      <c r="AO128" s="490" t="e">
        <f>'LOCAL DATASET INPUTS'!AD29</f>
        <v>#REF!</v>
      </c>
      <c r="AP128" s="490" t="e">
        <f>'LOCAL DATASET INPUTS'!AE29</f>
        <v>#REF!</v>
      </c>
      <c r="AQ128" s="490" t="e">
        <f>'LOCAL DATASET INPUTS'!AF29</f>
        <v>#REF!</v>
      </c>
      <c r="AR128" s="490" t="e">
        <f>'LOCAL DATASET INPUTS'!AG29</f>
        <v>#REF!</v>
      </c>
      <c r="AS128" s="490" t="e">
        <f>'LOCAL DATASET INPUTS'!AH29</f>
        <v>#REF!</v>
      </c>
      <c r="AT128" s="500" t="s">
        <v>578</v>
      </c>
    </row>
    <row r="129" spans="1:46" s="7" customFormat="1">
      <c r="A129" s="13"/>
      <c r="B129" s="2">
        <v>5</v>
      </c>
      <c r="C129" s="2">
        <v>5</v>
      </c>
      <c r="D129" s="2" t="str">
        <f>IF(C129&lt;B129,"check inputs!","")</f>
        <v/>
      </c>
      <c r="E129" s="37"/>
      <c r="F129" s="37"/>
      <c r="G129" s="37"/>
      <c r="H129" s="37"/>
      <c r="I129" s="37"/>
      <c r="J129" s="37"/>
      <c r="K129" s="37"/>
      <c r="L129" s="37"/>
      <c r="M129" s="38"/>
      <c r="N129" s="21"/>
      <c r="O129" s="518" t="s">
        <v>600</v>
      </c>
      <c r="P129" s="520">
        <f>IF((P123-2020)=$B$109,(($C$104-$P$128)/($C$109-$B$109+1)),0)</f>
        <v>0</v>
      </c>
      <c r="Q129" s="520">
        <f t="shared" ref="Q129:AS129" si="29">IF((Q123-2020)=$B$109,(($C$104-P128)/($C$109-$B$109+1)),P129)</f>
        <v>0</v>
      </c>
      <c r="R129" s="520">
        <f t="shared" si="29"/>
        <v>0</v>
      </c>
      <c r="S129" s="520">
        <f t="shared" si="29"/>
        <v>0</v>
      </c>
      <c r="T129" s="520" t="e">
        <f t="shared" si="29"/>
        <v>#REF!</v>
      </c>
      <c r="U129" s="520" t="e">
        <f t="shared" si="29"/>
        <v>#REF!</v>
      </c>
      <c r="V129" s="520" t="e">
        <f t="shared" si="29"/>
        <v>#REF!</v>
      </c>
      <c r="W129" s="520" t="e">
        <f t="shared" si="29"/>
        <v>#REF!</v>
      </c>
      <c r="X129" s="520" t="e">
        <f t="shared" si="29"/>
        <v>#REF!</v>
      </c>
      <c r="Y129" s="520" t="e">
        <f t="shared" si="29"/>
        <v>#REF!</v>
      </c>
      <c r="Z129" s="520" t="e">
        <f t="shared" si="29"/>
        <v>#REF!</v>
      </c>
      <c r="AA129" s="520" t="e">
        <f t="shared" si="29"/>
        <v>#REF!</v>
      </c>
      <c r="AB129" s="520" t="e">
        <f t="shared" si="29"/>
        <v>#REF!</v>
      </c>
      <c r="AC129" s="520" t="e">
        <f t="shared" si="29"/>
        <v>#REF!</v>
      </c>
      <c r="AD129" s="520" t="e">
        <f t="shared" si="29"/>
        <v>#REF!</v>
      </c>
      <c r="AE129" s="520" t="e">
        <f t="shared" si="29"/>
        <v>#REF!</v>
      </c>
      <c r="AF129" s="520" t="e">
        <f t="shared" si="29"/>
        <v>#REF!</v>
      </c>
      <c r="AG129" s="520" t="e">
        <f t="shared" si="29"/>
        <v>#REF!</v>
      </c>
      <c r="AH129" s="520" t="e">
        <f t="shared" si="29"/>
        <v>#REF!</v>
      </c>
      <c r="AI129" s="520" t="e">
        <f t="shared" si="29"/>
        <v>#REF!</v>
      </c>
      <c r="AJ129" s="520" t="e">
        <f t="shared" si="29"/>
        <v>#REF!</v>
      </c>
      <c r="AK129" s="520" t="e">
        <f t="shared" si="29"/>
        <v>#REF!</v>
      </c>
      <c r="AL129" s="520" t="e">
        <f t="shared" si="29"/>
        <v>#REF!</v>
      </c>
      <c r="AM129" s="520" t="e">
        <f t="shared" si="29"/>
        <v>#REF!</v>
      </c>
      <c r="AN129" s="520" t="e">
        <f t="shared" si="29"/>
        <v>#REF!</v>
      </c>
      <c r="AO129" s="520" t="e">
        <f t="shared" si="29"/>
        <v>#REF!</v>
      </c>
      <c r="AP129" s="520" t="e">
        <f t="shared" si="29"/>
        <v>#REF!</v>
      </c>
      <c r="AQ129" s="520" t="e">
        <f t="shared" si="29"/>
        <v>#REF!</v>
      </c>
      <c r="AR129" s="520" t="e">
        <f t="shared" si="29"/>
        <v>#REF!</v>
      </c>
      <c r="AS129" s="520" t="e">
        <f t="shared" si="29"/>
        <v>#REF!</v>
      </c>
    </row>
    <row r="130" spans="1:46" s="7" customFormat="1">
      <c r="A130" s="13"/>
      <c r="B130" s="2"/>
      <c r="C130" s="2"/>
      <c r="D130" s="5"/>
      <c r="E130" s="37"/>
      <c r="F130" s="37"/>
      <c r="G130" s="37"/>
      <c r="H130" s="37"/>
      <c r="I130" s="37"/>
      <c r="J130" s="37"/>
      <c r="K130" s="37"/>
      <c r="L130" s="37"/>
      <c r="M130" s="38"/>
      <c r="N130" s="21"/>
      <c r="O130" s="518"/>
      <c r="P130" s="520"/>
      <c r="Q130" s="520"/>
      <c r="R130" s="520"/>
      <c r="S130" s="520"/>
      <c r="T130" s="520"/>
      <c r="U130" s="520"/>
      <c r="V130" s="520"/>
      <c r="W130" s="520"/>
      <c r="X130" s="520"/>
      <c r="Y130" s="520"/>
      <c r="Z130" s="520"/>
      <c r="AA130" s="520"/>
      <c r="AB130" s="520"/>
      <c r="AC130" s="520"/>
      <c r="AD130" s="520"/>
      <c r="AE130" s="520"/>
      <c r="AF130" s="520"/>
      <c r="AG130" s="520"/>
      <c r="AH130" s="520"/>
      <c r="AI130" s="520"/>
      <c r="AJ130" s="520"/>
      <c r="AK130" s="520"/>
      <c r="AL130" s="520"/>
      <c r="AM130" s="520"/>
      <c r="AN130" s="520"/>
      <c r="AO130" s="520"/>
      <c r="AP130" s="520"/>
      <c r="AQ130" s="520"/>
      <c r="AR130" s="520"/>
      <c r="AS130" s="520"/>
    </row>
    <row r="131" spans="1:46" s="7" customFormat="1">
      <c r="A131" s="13"/>
      <c r="B131" s="645" t="s">
        <v>763</v>
      </c>
      <c r="C131" s="388"/>
      <c r="D131" s="645" t="s">
        <v>751</v>
      </c>
      <c r="E131" s="37"/>
      <c r="F131" s="37"/>
      <c r="G131" s="37"/>
      <c r="H131" s="37"/>
      <c r="I131" s="37"/>
      <c r="J131" s="37"/>
      <c r="K131" s="37"/>
      <c r="L131" s="37"/>
      <c r="M131" s="38"/>
      <c r="N131" s="21"/>
      <c r="O131" s="518" t="s">
        <v>573</v>
      </c>
      <c r="P131" s="507">
        <f>IF(AND((P123-2019)&gt;$B$109,(P123-2021)&lt;$C$109),($P$128+(($C$104-$P$128)/($C$109-$B$109+1))),P128)</f>
        <v>0.44862070843613772</v>
      </c>
      <c r="Q131" s="507" t="e">
        <f>IF(AND((Q123-2019)&gt;$B$109,(Q123-2021)&lt;$C$109),(P131+Q129),(P131*(Q128/P128)))</f>
        <v>#REF!</v>
      </c>
      <c r="R131" s="507" t="e">
        <f t="shared" ref="R131:AS131" si="30">IF(AND((R123-2019)&gt;$B$109,(R123-2021)&lt;$C$109),(Q131+R129),(Q131*(R128/Q128)))</f>
        <v>#REF!</v>
      </c>
      <c r="S131" s="507" t="e">
        <f t="shared" si="30"/>
        <v>#REF!</v>
      </c>
      <c r="T131" s="507" t="e">
        <f t="shared" si="30"/>
        <v>#REF!</v>
      </c>
      <c r="U131" s="507" t="e">
        <f t="shared" si="30"/>
        <v>#REF!</v>
      </c>
      <c r="V131" s="507" t="e">
        <f t="shared" si="30"/>
        <v>#REF!</v>
      </c>
      <c r="W131" s="507" t="e">
        <f t="shared" si="30"/>
        <v>#REF!</v>
      </c>
      <c r="X131" s="507" t="e">
        <f t="shared" si="30"/>
        <v>#REF!</v>
      </c>
      <c r="Y131" s="507" t="e">
        <f t="shared" si="30"/>
        <v>#REF!</v>
      </c>
      <c r="Z131" s="507" t="e">
        <f t="shared" si="30"/>
        <v>#REF!</v>
      </c>
      <c r="AA131" s="507" t="e">
        <f t="shared" si="30"/>
        <v>#REF!</v>
      </c>
      <c r="AB131" s="507" t="e">
        <f t="shared" si="30"/>
        <v>#REF!</v>
      </c>
      <c r="AC131" s="507" t="e">
        <f t="shared" si="30"/>
        <v>#REF!</v>
      </c>
      <c r="AD131" s="507" t="e">
        <f t="shared" si="30"/>
        <v>#REF!</v>
      </c>
      <c r="AE131" s="507" t="e">
        <f t="shared" si="30"/>
        <v>#REF!</v>
      </c>
      <c r="AF131" s="507" t="e">
        <f t="shared" si="30"/>
        <v>#REF!</v>
      </c>
      <c r="AG131" s="507" t="e">
        <f t="shared" si="30"/>
        <v>#REF!</v>
      </c>
      <c r="AH131" s="507" t="e">
        <f t="shared" si="30"/>
        <v>#REF!</v>
      </c>
      <c r="AI131" s="507" t="e">
        <f t="shared" si="30"/>
        <v>#REF!</v>
      </c>
      <c r="AJ131" s="507" t="e">
        <f t="shared" si="30"/>
        <v>#REF!</v>
      </c>
      <c r="AK131" s="507" t="e">
        <f t="shared" si="30"/>
        <v>#REF!</v>
      </c>
      <c r="AL131" s="507" t="e">
        <f t="shared" si="30"/>
        <v>#REF!</v>
      </c>
      <c r="AM131" s="507" t="e">
        <f t="shared" si="30"/>
        <v>#REF!</v>
      </c>
      <c r="AN131" s="507" t="e">
        <f t="shared" si="30"/>
        <v>#REF!</v>
      </c>
      <c r="AO131" s="507" t="e">
        <f t="shared" si="30"/>
        <v>#REF!</v>
      </c>
      <c r="AP131" s="507" t="e">
        <f t="shared" si="30"/>
        <v>#REF!</v>
      </c>
      <c r="AQ131" s="507" t="e">
        <f t="shared" si="30"/>
        <v>#REF!</v>
      </c>
      <c r="AR131" s="507" t="e">
        <f t="shared" si="30"/>
        <v>#REF!</v>
      </c>
      <c r="AS131" s="507" t="e">
        <f t="shared" si="30"/>
        <v>#REF!</v>
      </c>
      <c r="AT131" s="500" t="s">
        <v>575</v>
      </c>
    </row>
    <row r="132" spans="1:46" s="7" customFormat="1">
      <c r="A132" s="128" t="s">
        <v>597</v>
      </c>
      <c r="B132" s="387">
        <f>2020+C150</f>
        <v>2025</v>
      </c>
      <c r="C132" s="645" t="s">
        <v>758</v>
      </c>
      <c r="D132" s="645" t="s">
        <v>752</v>
      </c>
      <c r="E132" s="37"/>
      <c r="F132" s="1"/>
      <c r="G132" s="37"/>
      <c r="H132" s="37"/>
      <c r="I132" s="37"/>
      <c r="J132" s="37"/>
      <c r="K132" s="37"/>
      <c r="L132" s="37"/>
      <c r="M132" s="38"/>
      <c r="N132" s="21"/>
      <c r="O132" s="485" t="s">
        <v>574</v>
      </c>
      <c r="P132" s="491">
        <f t="shared" ref="P132:AS132" si="31">P131/P128</f>
        <v>1</v>
      </c>
      <c r="Q132" s="491" t="e">
        <f t="shared" si="31"/>
        <v>#REF!</v>
      </c>
      <c r="R132" s="491" t="e">
        <f t="shared" si="31"/>
        <v>#REF!</v>
      </c>
      <c r="S132" s="491" t="e">
        <f t="shared" si="31"/>
        <v>#REF!</v>
      </c>
      <c r="T132" s="491" t="e">
        <f t="shared" si="31"/>
        <v>#REF!</v>
      </c>
      <c r="U132" s="491" t="e">
        <f t="shared" si="31"/>
        <v>#REF!</v>
      </c>
      <c r="V132" s="491" t="e">
        <f t="shared" si="31"/>
        <v>#REF!</v>
      </c>
      <c r="W132" s="491" t="e">
        <f t="shared" si="31"/>
        <v>#REF!</v>
      </c>
      <c r="X132" s="491" t="e">
        <f t="shared" si="31"/>
        <v>#REF!</v>
      </c>
      <c r="Y132" s="491" t="e">
        <f t="shared" si="31"/>
        <v>#REF!</v>
      </c>
      <c r="Z132" s="491" t="e">
        <f t="shared" si="31"/>
        <v>#REF!</v>
      </c>
      <c r="AA132" s="491" t="e">
        <f t="shared" si="31"/>
        <v>#REF!</v>
      </c>
      <c r="AB132" s="491" t="e">
        <f t="shared" si="31"/>
        <v>#REF!</v>
      </c>
      <c r="AC132" s="491" t="e">
        <f t="shared" si="31"/>
        <v>#REF!</v>
      </c>
      <c r="AD132" s="491" t="e">
        <f t="shared" si="31"/>
        <v>#REF!</v>
      </c>
      <c r="AE132" s="491" t="e">
        <f t="shared" si="31"/>
        <v>#REF!</v>
      </c>
      <c r="AF132" s="491" t="e">
        <f t="shared" si="31"/>
        <v>#REF!</v>
      </c>
      <c r="AG132" s="491" t="e">
        <f t="shared" si="31"/>
        <v>#REF!</v>
      </c>
      <c r="AH132" s="491" t="e">
        <f t="shared" si="31"/>
        <v>#REF!</v>
      </c>
      <c r="AI132" s="491" t="e">
        <f t="shared" si="31"/>
        <v>#REF!</v>
      </c>
      <c r="AJ132" s="491" t="e">
        <f t="shared" si="31"/>
        <v>#REF!</v>
      </c>
      <c r="AK132" s="491" t="e">
        <f t="shared" si="31"/>
        <v>#REF!</v>
      </c>
      <c r="AL132" s="491" t="e">
        <f t="shared" si="31"/>
        <v>#REF!</v>
      </c>
      <c r="AM132" s="491" t="e">
        <f t="shared" si="31"/>
        <v>#REF!</v>
      </c>
      <c r="AN132" s="491" t="e">
        <f t="shared" si="31"/>
        <v>#REF!</v>
      </c>
      <c r="AO132" s="491" t="e">
        <f t="shared" si="31"/>
        <v>#REF!</v>
      </c>
      <c r="AP132" s="491" t="e">
        <f t="shared" si="31"/>
        <v>#REF!</v>
      </c>
      <c r="AQ132" s="491" t="e">
        <f t="shared" si="31"/>
        <v>#REF!</v>
      </c>
      <c r="AR132" s="491" t="e">
        <f t="shared" si="31"/>
        <v>#REF!</v>
      </c>
      <c r="AS132" s="491" t="e">
        <f t="shared" si="31"/>
        <v>#REF!</v>
      </c>
      <c r="AT132" s="500"/>
    </row>
    <row r="133" spans="1:46" s="7" customFormat="1">
      <c r="A133" s="208" t="str">
        <f>'LOCAL DATASET INPUTS'!A84</f>
        <v>Liquefied Petroleum Gas LPG</v>
      </c>
      <c r="B133" s="443">
        <f>INDEX('LOCAL DATASET INPUTS'!E84:AH101,1,C150)</f>
        <v>0</v>
      </c>
      <c r="C133" s="437">
        <v>0</v>
      </c>
      <c r="D133" s="413">
        <v>0</v>
      </c>
      <c r="E133" s="37"/>
      <c r="F133" s="37"/>
      <c r="G133" s="37"/>
      <c r="H133" s="37"/>
      <c r="I133" s="37"/>
      <c r="J133" s="37"/>
      <c r="K133" s="37"/>
      <c r="L133" s="37"/>
      <c r="M133" s="38"/>
      <c r="N133" s="21"/>
      <c r="O133" s="481" t="str">
        <f>O114</f>
        <v>Passenger trains</v>
      </c>
      <c r="P133" s="490">
        <f>'LOCAL DATASET INPUTS'!E30</f>
        <v>3.2280878105452064</v>
      </c>
      <c r="Q133" s="490" t="e">
        <f>'LOCAL DATASET INPUTS'!F30</f>
        <v>#REF!</v>
      </c>
      <c r="R133" s="490" t="e">
        <f>'LOCAL DATASET INPUTS'!G30</f>
        <v>#REF!</v>
      </c>
      <c r="S133" s="490" t="e">
        <f>'LOCAL DATASET INPUTS'!H30</f>
        <v>#REF!</v>
      </c>
      <c r="T133" s="490" t="e">
        <f>'LOCAL DATASET INPUTS'!I30</f>
        <v>#REF!</v>
      </c>
      <c r="U133" s="490" t="e">
        <f>'LOCAL DATASET INPUTS'!J30</f>
        <v>#REF!</v>
      </c>
      <c r="V133" s="490" t="e">
        <f>'LOCAL DATASET INPUTS'!K30</f>
        <v>#REF!</v>
      </c>
      <c r="W133" s="490" t="e">
        <f>'LOCAL DATASET INPUTS'!L30</f>
        <v>#REF!</v>
      </c>
      <c r="X133" s="490" t="e">
        <f>'LOCAL DATASET INPUTS'!M30</f>
        <v>#REF!</v>
      </c>
      <c r="Y133" s="490" t="e">
        <f>'LOCAL DATASET INPUTS'!N30</f>
        <v>#REF!</v>
      </c>
      <c r="Z133" s="490" t="e">
        <f>'LOCAL DATASET INPUTS'!O30</f>
        <v>#REF!</v>
      </c>
      <c r="AA133" s="490" t="e">
        <f>'LOCAL DATASET INPUTS'!P30</f>
        <v>#REF!</v>
      </c>
      <c r="AB133" s="490" t="e">
        <f>'LOCAL DATASET INPUTS'!Q30</f>
        <v>#REF!</v>
      </c>
      <c r="AC133" s="490" t="e">
        <f>'LOCAL DATASET INPUTS'!R30</f>
        <v>#REF!</v>
      </c>
      <c r="AD133" s="490" t="e">
        <f>'LOCAL DATASET INPUTS'!S30</f>
        <v>#REF!</v>
      </c>
      <c r="AE133" s="490" t="e">
        <f>'LOCAL DATASET INPUTS'!T30</f>
        <v>#REF!</v>
      </c>
      <c r="AF133" s="490" t="e">
        <f>'LOCAL DATASET INPUTS'!U30</f>
        <v>#REF!</v>
      </c>
      <c r="AG133" s="490" t="e">
        <f>'LOCAL DATASET INPUTS'!V30</f>
        <v>#REF!</v>
      </c>
      <c r="AH133" s="490" t="e">
        <f>'LOCAL DATASET INPUTS'!W30</f>
        <v>#REF!</v>
      </c>
      <c r="AI133" s="490" t="e">
        <f>'LOCAL DATASET INPUTS'!X30</f>
        <v>#REF!</v>
      </c>
      <c r="AJ133" s="490" t="e">
        <f>'LOCAL DATASET INPUTS'!Y30</f>
        <v>#REF!</v>
      </c>
      <c r="AK133" s="490" t="e">
        <f>'LOCAL DATASET INPUTS'!Z30</f>
        <v>#REF!</v>
      </c>
      <c r="AL133" s="490" t="e">
        <f>'LOCAL DATASET INPUTS'!AA30</f>
        <v>#REF!</v>
      </c>
      <c r="AM133" s="490" t="e">
        <f>'LOCAL DATASET INPUTS'!AB30</f>
        <v>#REF!</v>
      </c>
      <c r="AN133" s="490" t="e">
        <f>'LOCAL DATASET INPUTS'!AC30</f>
        <v>#REF!</v>
      </c>
      <c r="AO133" s="490" t="e">
        <f>'LOCAL DATASET INPUTS'!AD30</f>
        <v>#REF!</v>
      </c>
      <c r="AP133" s="490" t="e">
        <f>'LOCAL DATASET INPUTS'!AE30</f>
        <v>#REF!</v>
      </c>
      <c r="AQ133" s="490" t="e">
        <f>'LOCAL DATASET INPUTS'!AF30</f>
        <v>#REF!</v>
      </c>
      <c r="AR133" s="490" t="e">
        <f>'LOCAL DATASET INPUTS'!AG30</f>
        <v>#REF!</v>
      </c>
      <c r="AS133" s="490" t="e">
        <f>'LOCAL DATASET INPUTS'!AH30</f>
        <v>#REF!</v>
      </c>
      <c r="AT133" s="500" t="s">
        <v>578</v>
      </c>
    </row>
    <row r="134" spans="1:46" s="7" customFormat="1">
      <c r="A134" s="208" t="str">
        <f>'LOCAL DATASET INPUTS'!A85</f>
        <v>Natural Gas CNG</v>
      </c>
      <c r="B134" s="443">
        <f>INDEX('LOCAL DATASET INPUTS'!E84:AH101,2,C150)</f>
        <v>0</v>
      </c>
      <c r="C134" s="437">
        <v>0.09</v>
      </c>
      <c r="D134" s="1"/>
      <c r="E134" s="37"/>
      <c r="F134" s="37"/>
      <c r="G134" s="37"/>
      <c r="H134" s="37"/>
      <c r="I134" s="37"/>
      <c r="J134" s="37"/>
      <c r="K134" s="37"/>
      <c r="L134" s="37"/>
      <c r="M134" s="38"/>
      <c r="N134" s="21"/>
      <c r="O134" s="518" t="s">
        <v>600</v>
      </c>
      <c r="P134" s="520">
        <f>IF((P123-2020)=$B$109,(($C$105-$P$133)/($C$109-$B$109+1)),0)</f>
        <v>0</v>
      </c>
      <c r="Q134" s="520">
        <f t="shared" ref="Q134:AS134" si="32">IF((Q123-2020)=$B$109,(($C$105-P133)/($C$109-$B$109+1)),P134)</f>
        <v>0</v>
      </c>
      <c r="R134" s="520">
        <f t="shared" si="32"/>
        <v>0</v>
      </c>
      <c r="S134" s="520">
        <f t="shared" si="32"/>
        <v>0</v>
      </c>
      <c r="T134" s="520" t="e">
        <f t="shared" si="32"/>
        <v>#REF!</v>
      </c>
      <c r="U134" s="520" t="e">
        <f t="shared" si="32"/>
        <v>#REF!</v>
      </c>
      <c r="V134" s="520" t="e">
        <f t="shared" si="32"/>
        <v>#REF!</v>
      </c>
      <c r="W134" s="520" t="e">
        <f t="shared" si="32"/>
        <v>#REF!</v>
      </c>
      <c r="X134" s="520" t="e">
        <f t="shared" si="32"/>
        <v>#REF!</v>
      </c>
      <c r="Y134" s="520" t="e">
        <f t="shared" si="32"/>
        <v>#REF!</v>
      </c>
      <c r="Z134" s="520" t="e">
        <f t="shared" si="32"/>
        <v>#REF!</v>
      </c>
      <c r="AA134" s="520" t="e">
        <f t="shared" si="32"/>
        <v>#REF!</v>
      </c>
      <c r="AB134" s="520" t="e">
        <f t="shared" si="32"/>
        <v>#REF!</v>
      </c>
      <c r="AC134" s="520" t="e">
        <f t="shared" si="32"/>
        <v>#REF!</v>
      </c>
      <c r="AD134" s="520" t="e">
        <f t="shared" si="32"/>
        <v>#REF!</v>
      </c>
      <c r="AE134" s="520" t="e">
        <f t="shared" si="32"/>
        <v>#REF!</v>
      </c>
      <c r="AF134" s="520" t="e">
        <f t="shared" si="32"/>
        <v>#REF!</v>
      </c>
      <c r="AG134" s="520" t="e">
        <f t="shared" si="32"/>
        <v>#REF!</v>
      </c>
      <c r="AH134" s="520" t="e">
        <f t="shared" si="32"/>
        <v>#REF!</v>
      </c>
      <c r="AI134" s="520" t="e">
        <f t="shared" si="32"/>
        <v>#REF!</v>
      </c>
      <c r="AJ134" s="520" t="e">
        <f t="shared" si="32"/>
        <v>#REF!</v>
      </c>
      <c r="AK134" s="520" t="e">
        <f t="shared" si="32"/>
        <v>#REF!</v>
      </c>
      <c r="AL134" s="520" t="e">
        <f t="shared" si="32"/>
        <v>#REF!</v>
      </c>
      <c r="AM134" s="520" t="e">
        <f t="shared" si="32"/>
        <v>#REF!</v>
      </c>
      <c r="AN134" s="520" t="e">
        <f t="shared" si="32"/>
        <v>#REF!</v>
      </c>
      <c r="AO134" s="520" t="e">
        <f t="shared" si="32"/>
        <v>#REF!</v>
      </c>
      <c r="AP134" s="520" t="e">
        <f t="shared" si="32"/>
        <v>#REF!</v>
      </c>
      <c r="AQ134" s="520" t="e">
        <f t="shared" si="32"/>
        <v>#REF!</v>
      </c>
      <c r="AR134" s="520" t="e">
        <f t="shared" si="32"/>
        <v>#REF!</v>
      </c>
      <c r="AS134" s="520" t="e">
        <f t="shared" si="32"/>
        <v>#REF!</v>
      </c>
    </row>
    <row r="135" spans="1:46" s="7" customFormat="1">
      <c r="A135" s="208" t="str">
        <f>'LOCAL DATASET INPUTS'!A86</f>
        <v>Alternative Energy / biomethane NGV</v>
      </c>
      <c r="B135" s="443">
        <f>INDEX('LOCAL DATASET INPUTS'!E84:AH101,3,C150)</f>
        <v>3.1069255412930827</v>
      </c>
      <c r="C135" s="437">
        <v>0.54</v>
      </c>
      <c r="D135" s="1"/>
      <c r="E135" s="37"/>
      <c r="F135" s="37"/>
      <c r="G135" s="37"/>
      <c r="H135" s="37"/>
      <c r="I135" s="37"/>
      <c r="J135" s="37"/>
      <c r="K135" s="37"/>
      <c r="L135" s="37"/>
      <c r="M135" s="38"/>
      <c r="N135" s="21"/>
      <c r="O135" s="518" t="s">
        <v>573</v>
      </c>
      <c r="P135" s="508">
        <f>IF(AND((P123-2019)&gt;$B$109,(P123-2021)&lt;$C$109),($P$204+(($C$105-$P$133)/($C$109-$B$109+1))),P133)</f>
        <v>3.2280878105452064</v>
      </c>
      <c r="Q135" s="508" t="e">
        <f>IF(AND((Q123-2019)&gt;$B$109,(Q123-2021)&lt;$C$109),(P135+Q134),(P135*(Q133/P133)))</f>
        <v>#REF!</v>
      </c>
      <c r="R135" s="508" t="e">
        <f t="shared" ref="R135:AS135" si="33">IF(AND((R123-2019)&gt;$B$109,(R123-2021)&lt;$C$109),(Q135+R134),(Q135*(R133/Q133)))</f>
        <v>#REF!</v>
      </c>
      <c r="S135" s="508" t="e">
        <f t="shared" si="33"/>
        <v>#REF!</v>
      </c>
      <c r="T135" s="508" t="e">
        <f t="shared" si="33"/>
        <v>#REF!</v>
      </c>
      <c r="U135" s="508" t="e">
        <f t="shared" si="33"/>
        <v>#REF!</v>
      </c>
      <c r="V135" s="508" t="e">
        <f t="shared" si="33"/>
        <v>#REF!</v>
      </c>
      <c r="W135" s="508" t="e">
        <f t="shared" si="33"/>
        <v>#REF!</v>
      </c>
      <c r="X135" s="508" t="e">
        <f t="shared" si="33"/>
        <v>#REF!</v>
      </c>
      <c r="Y135" s="508" t="e">
        <f t="shared" si="33"/>
        <v>#REF!</v>
      </c>
      <c r="Z135" s="508" t="e">
        <f t="shared" si="33"/>
        <v>#REF!</v>
      </c>
      <c r="AA135" s="508" t="e">
        <f t="shared" si="33"/>
        <v>#REF!</v>
      </c>
      <c r="AB135" s="508" t="e">
        <f t="shared" si="33"/>
        <v>#REF!</v>
      </c>
      <c r="AC135" s="508" t="e">
        <f t="shared" si="33"/>
        <v>#REF!</v>
      </c>
      <c r="AD135" s="508" t="e">
        <f t="shared" si="33"/>
        <v>#REF!</v>
      </c>
      <c r="AE135" s="508" t="e">
        <f t="shared" si="33"/>
        <v>#REF!</v>
      </c>
      <c r="AF135" s="508" t="e">
        <f t="shared" si="33"/>
        <v>#REF!</v>
      </c>
      <c r="AG135" s="508" t="e">
        <f t="shared" si="33"/>
        <v>#REF!</v>
      </c>
      <c r="AH135" s="508" t="e">
        <f t="shared" si="33"/>
        <v>#REF!</v>
      </c>
      <c r="AI135" s="508" t="e">
        <f t="shared" si="33"/>
        <v>#REF!</v>
      </c>
      <c r="AJ135" s="508" t="e">
        <f t="shared" si="33"/>
        <v>#REF!</v>
      </c>
      <c r="AK135" s="508" t="e">
        <f t="shared" si="33"/>
        <v>#REF!</v>
      </c>
      <c r="AL135" s="508" t="e">
        <f t="shared" si="33"/>
        <v>#REF!</v>
      </c>
      <c r="AM135" s="508" t="e">
        <f t="shared" si="33"/>
        <v>#REF!</v>
      </c>
      <c r="AN135" s="508" t="e">
        <f t="shared" si="33"/>
        <v>#REF!</v>
      </c>
      <c r="AO135" s="508" t="e">
        <f t="shared" si="33"/>
        <v>#REF!</v>
      </c>
      <c r="AP135" s="508" t="e">
        <f t="shared" si="33"/>
        <v>#REF!</v>
      </c>
      <c r="AQ135" s="508" t="e">
        <f t="shared" si="33"/>
        <v>#REF!</v>
      </c>
      <c r="AR135" s="508" t="e">
        <f t="shared" si="33"/>
        <v>#REF!</v>
      </c>
      <c r="AS135" s="508" t="e">
        <f t="shared" si="33"/>
        <v>#REF!</v>
      </c>
      <c r="AT135" s="500" t="s">
        <v>575</v>
      </c>
    </row>
    <row r="136" spans="1:46" s="7" customFormat="1">
      <c r="A136" s="208" t="str">
        <f>'LOCAL DATASET INPUTS'!A88</f>
        <v>Hybrid electric-petrol</v>
      </c>
      <c r="B136" s="443">
        <f>INDEX('LOCAL DATASET INPUTS'!E84:AH101,5,C150)</f>
        <v>0</v>
      </c>
      <c r="C136" s="437">
        <v>1.5</v>
      </c>
      <c r="D136" s="1"/>
      <c r="E136" s="37"/>
      <c r="F136" s="37"/>
      <c r="G136" s="37"/>
      <c r="H136" s="37"/>
      <c r="I136" s="37"/>
      <c r="J136" s="37"/>
      <c r="K136" s="37"/>
      <c r="L136" s="37"/>
      <c r="M136" s="38"/>
      <c r="N136" s="21"/>
      <c r="O136" s="485" t="s">
        <v>509</v>
      </c>
      <c r="P136" s="491">
        <f t="shared" ref="P136:AS136" si="34">P135/P133</f>
        <v>1</v>
      </c>
      <c r="Q136" s="491" t="e">
        <f t="shared" si="34"/>
        <v>#REF!</v>
      </c>
      <c r="R136" s="491" t="e">
        <f t="shared" si="34"/>
        <v>#REF!</v>
      </c>
      <c r="S136" s="491" t="e">
        <f t="shared" si="34"/>
        <v>#REF!</v>
      </c>
      <c r="T136" s="491" t="e">
        <f t="shared" si="34"/>
        <v>#REF!</v>
      </c>
      <c r="U136" s="491" t="e">
        <f t="shared" si="34"/>
        <v>#REF!</v>
      </c>
      <c r="V136" s="491" t="e">
        <f t="shared" si="34"/>
        <v>#REF!</v>
      </c>
      <c r="W136" s="491" t="e">
        <f t="shared" si="34"/>
        <v>#REF!</v>
      </c>
      <c r="X136" s="491" t="e">
        <f t="shared" si="34"/>
        <v>#REF!</v>
      </c>
      <c r="Y136" s="491" t="e">
        <f t="shared" si="34"/>
        <v>#REF!</v>
      </c>
      <c r="Z136" s="491" t="e">
        <f t="shared" si="34"/>
        <v>#REF!</v>
      </c>
      <c r="AA136" s="491" t="e">
        <f t="shared" si="34"/>
        <v>#REF!</v>
      </c>
      <c r="AB136" s="491" t="e">
        <f t="shared" si="34"/>
        <v>#REF!</v>
      </c>
      <c r="AC136" s="491" t="e">
        <f t="shared" si="34"/>
        <v>#REF!</v>
      </c>
      <c r="AD136" s="491" t="e">
        <f t="shared" si="34"/>
        <v>#REF!</v>
      </c>
      <c r="AE136" s="491" t="e">
        <f t="shared" si="34"/>
        <v>#REF!</v>
      </c>
      <c r="AF136" s="491" t="e">
        <f t="shared" si="34"/>
        <v>#REF!</v>
      </c>
      <c r="AG136" s="491" t="e">
        <f t="shared" si="34"/>
        <v>#REF!</v>
      </c>
      <c r="AH136" s="491" t="e">
        <f t="shared" si="34"/>
        <v>#REF!</v>
      </c>
      <c r="AI136" s="491" t="e">
        <f t="shared" si="34"/>
        <v>#REF!</v>
      </c>
      <c r="AJ136" s="491" t="e">
        <f t="shared" si="34"/>
        <v>#REF!</v>
      </c>
      <c r="AK136" s="491" t="e">
        <f t="shared" si="34"/>
        <v>#REF!</v>
      </c>
      <c r="AL136" s="491" t="e">
        <f t="shared" si="34"/>
        <v>#REF!</v>
      </c>
      <c r="AM136" s="491" t="e">
        <f t="shared" si="34"/>
        <v>#REF!</v>
      </c>
      <c r="AN136" s="491" t="e">
        <f t="shared" si="34"/>
        <v>#REF!</v>
      </c>
      <c r="AO136" s="491" t="e">
        <f t="shared" si="34"/>
        <v>#REF!</v>
      </c>
      <c r="AP136" s="491" t="e">
        <f t="shared" si="34"/>
        <v>#REF!</v>
      </c>
      <c r="AQ136" s="491" t="e">
        <f t="shared" si="34"/>
        <v>#REF!</v>
      </c>
      <c r="AR136" s="491" t="e">
        <f t="shared" si="34"/>
        <v>#REF!</v>
      </c>
      <c r="AS136" s="491" t="e">
        <f t="shared" si="34"/>
        <v>#REF!</v>
      </c>
      <c r="AT136" s="500"/>
    </row>
    <row r="137" spans="1:46" s="7" customFormat="1">
      <c r="A137" s="208" t="str">
        <f>'LOCAL DATASET INPUTS'!A89</f>
        <v>Plug-in hybrid petrol-electric PHEV</v>
      </c>
      <c r="B137" s="443">
        <f>INDEX('LOCAL DATASET INPUTS'!E84:AH101,16,C150)</f>
        <v>9.9999999999999978E-2</v>
      </c>
      <c r="C137" s="437">
        <v>0.64</v>
      </c>
      <c r="D137" s="1"/>
      <c r="E137" s="37"/>
      <c r="F137" s="37"/>
      <c r="G137" s="37"/>
      <c r="H137" s="37"/>
      <c r="I137" s="37"/>
      <c r="J137" s="37"/>
      <c r="K137" s="37"/>
      <c r="L137" s="37"/>
      <c r="M137" s="38"/>
      <c r="N137" s="21"/>
      <c r="O137" s="475" t="str">
        <f>O110</f>
        <v>Passenger cars</v>
      </c>
      <c r="P137" s="490">
        <f>'LOCAL DATASET INPUTS'!E28</f>
        <v>81.538275087343138</v>
      </c>
      <c r="Q137" s="490" t="e">
        <f>'LOCAL DATASET INPUTS'!F28</f>
        <v>#REF!</v>
      </c>
      <c r="R137" s="490" t="e">
        <f>'LOCAL DATASET INPUTS'!G28</f>
        <v>#REF!</v>
      </c>
      <c r="S137" s="490" t="e">
        <f>'LOCAL DATASET INPUTS'!H28</f>
        <v>#REF!</v>
      </c>
      <c r="T137" s="490" t="e">
        <f>'LOCAL DATASET INPUTS'!I28</f>
        <v>#REF!</v>
      </c>
      <c r="U137" s="490" t="e">
        <f>'LOCAL DATASET INPUTS'!J28</f>
        <v>#REF!</v>
      </c>
      <c r="V137" s="490" t="e">
        <f>'LOCAL DATASET INPUTS'!K28</f>
        <v>#REF!</v>
      </c>
      <c r="W137" s="490" t="e">
        <f>'LOCAL DATASET INPUTS'!L28</f>
        <v>#REF!</v>
      </c>
      <c r="X137" s="490" t="e">
        <f>'LOCAL DATASET INPUTS'!M28</f>
        <v>#REF!</v>
      </c>
      <c r="Y137" s="490" t="e">
        <f>'LOCAL DATASET INPUTS'!N28</f>
        <v>#REF!</v>
      </c>
      <c r="Z137" s="490" t="e">
        <f>'LOCAL DATASET INPUTS'!O28</f>
        <v>#REF!</v>
      </c>
      <c r="AA137" s="490" t="e">
        <f>'LOCAL DATASET INPUTS'!P28</f>
        <v>#REF!</v>
      </c>
      <c r="AB137" s="490" t="e">
        <f>'LOCAL DATASET INPUTS'!Q28</f>
        <v>#REF!</v>
      </c>
      <c r="AC137" s="490" t="e">
        <f>'LOCAL DATASET INPUTS'!R28</f>
        <v>#REF!</v>
      </c>
      <c r="AD137" s="490" t="e">
        <f>'LOCAL DATASET INPUTS'!S28</f>
        <v>#REF!</v>
      </c>
      <c r="AE137" s="490" t="e">
        <f>'LOCAL DATASET INPUTS'!T28</f>
        <v>#REF!</v>
      </c>
      <c r="AF137" s="490" t="e">
        <f>'LOCAL DATASET INPUTS'!U28</f>
        <v>#REF!</v>
      </c>
      <c r="AG137" s="490" t="e">
        <f>'LOCAL DATASET INPUTS'!V28</f>
        <v>#REF!</v>
      </c>
      <c r="AH137" s="490" t="e">
        <f>'LOCAL DATASET INPUTS'!W28</f>
        <v>#REF!</v>
      </c>
      <c r="AI137" s="490" t="e">
        <f>'LOCAL DATASET INPUTS'!X28</f>
        <v>#REF!</v>
      </c>
      <c r="AJ137" s="490" t="e">
        <f>'LOCAL DATASET INPUTS'!Y28</f>
        <v>#REF!</v>
      </c>
      <c r="AK137" s="490" t="e">
        <f>'LOCAL DATASET INPUTS'!Z28</f>
        <v>#REF!</v>
      </c>
      <c r="AL137" s="490" t="e">
        <f>'LOCAL DATASET INPUTS'!AA28</f>
        <v>#REF!</v>
      </c>
      <c r="AM137" s="490" t="e">
        <f>'LOCAL DATASET INPUTS'!AB28</f>
        <v>#REF!</v>
      </c>
      <c r="AN137" s="490" t="e">
        <f>'LOCAL DATASET INPUTS'!AC28</f>
        <v>#REF!</v>
      </c>
      <c r="AO137" s="490" t="e">
        <f>'LOCAL DATASET INPUTS'!AD28</f>
        <v>#REF!</v>
      </c>
      <c r="AP137" s="490" t="e">
        <f>'LOCAL DATASET INPUTS'!AE28</f>
        <v>#REF!</v>
      </c>
      <c r="AQ137" s="490" t="e">
        <f>'LOCAL DATASET INPUTS'!AF28</f>
        <v>#REF!</v>
      </c>
      <c r="AR137" s="490" t="e">
        <f>'LOCAL DATASET INPUTS'!AG28</f>
        <v>#REF!</v>
      </c>
      <c r="AS137" s="490" t="e">
        <f>'LOCAL DATASET INPUTS'!AH28</f>
        <v>#REF!</v>
      </c>
      <c r="AT137" s="500" t="s">
        <v>578</v>
      </c>
    </row>
    <row r="138" spans="1:46" s="7" customFormat="1">
      <c r="A138" s="208" t="str">
        <f>'LOCAL DATASET INPUTS'!A91</f>
        <v>Hybrid diesel-electric</v>
      </c>
      <c r="B138" s="443">
        <f>INDEX('LOCAL DATASET INPUTS'!E84:AH101,8,C150)</f>
        <v>0</v>
      </c>
      <c r="C138" s="437">
        <v>0.06</v>
      </c>
      <c r="D138" s="1"/>
      <c r="E138" s="37"/>
      <c r="F138" s="37"/>
      <c r="G138" s="37"/>
      <c r="H138" s="37"/>
      <c r="I138" s="37"/>
      <c r="J138" s="37"/>
      <c r="K138" s="37"/>
      <c r="L138" s="37"/>
      <c r="M138" s="38"/>
      <c r="N138" s="21"/>
      <c r="O138" s="481" t="s">
        <v>573</v>
      </c>
      <c r="P138" s="509">
        <f t="shared" ref="P138:AS138" si="35">100-(P126+P131+P135)</f>
        <v>81.538275087343138</v>
      </c>
      <c r="Q138" s="509" t="e">
        <f t="shared" si="35"/>
        <v>#REF!</v>
      </c>
      <c r="R138" s="509" t="e">
        <f t="shared" si="35"/>
        <v>#REF!</v>
      </c>
      <c r="S138" s="509" t="e">
        <f t="shared" si="35"/>
        <v>#REF!</v>
      </c>
      <c r="T138" s="509" t="e">
        <f t="shared" si="35"/>
        <v>#REF!</v>
      </c>
      <c r="U138" s="509" t="e">
        <f t="shared" si="35"/>
        <v>#REF!</v>
      </c>
      <c r="V138" s="509" t="e">
        <f t="shared" si="35"/>
        <v>#REF!</v>
      </c>
      <c r="W138" s="509" t="e">
        <f t="shared" si="35"/>
        <v>#REF!</v>
      </c>
      <c r="X138" s="509" t="e">
        <f t="shared" si="35"/>
        <v>#REF!</v>
      </c>
      <c r="Y138" s="509" t="e">
        <f t="shared" si="35"/>
        <v>#REF!</v>
      </c>
      <c r="Z138" s="509" t="e">
        <f t="shared" si="35"/>
        <v>#REF!</v>
      </c>
      <c r="AA138" s="509" t="e">
        <f t="shared" si="35"/>
        <v>#REF!</v>
      </c>
      <c r="AB138" s="509" t="e">
        <f t="shared" si="35"/>
        <v>#REF!</v>
      </c>
      <c r="AC138" s="509" t="e">
        <f t="shared" si="35"/>
        <v>#REF!</v>
      </c>
      <c r="AD138" s="509" t="e">
        <f t="shared" si="35"/>
        <v>#REF!</v>
      </c>
      <c r="AE138" s="509" t="e">
        <f t="shared" si="35"/>
        <v>#REF!</v>
      </c>
      <c r="AF138" s="509" t="e">
        <f t="shared" si="35"/>
        <v>#REF!</v>
      </c>
      <c r="AG138" s="509" t="e">
        <f t="shared" si="35"/>
        <v>#REF!</v>
      </c>
      <c r="AH138" s="509" t="e">
        <f t="shared" si="35"/>
        <v>#REF!</v>
      </c>
      <c r="AI138" s="509" t="e">
        <f t="shared" si="35"/>
        <v>#REF!</v>
      </c>
      <c r="AJ138" s="509" t="e">
        <f t="shared" si="35"/>
        <v>#REF!</v>
      </c>
      <c r="AK138" s="509" t="e">
        <f t="shared" si="35"/>
        <v>#REF!</v>
      </c>
      <c r="AL138" s="509" t="e">
        <f t="shared" si="35"/>
        <v>#REF!</v>
      </c>
      <c r="AM138" s="509" t="e">
        <f t="shared" si="35"/>
        <v>#REF!</v>
      </c>
      <c r="AN138" s="509" t="e">
        <f t="shared" si="35"/>
        <v>#REF!</v>
      </c>
      <c r="AO138" s="509" t="e">
        <f t="shared" si="35"/>
        <v>#REF!</v>
      </c>
      <c r="AP138" s="509" t="e">
        <f t="shared" si="35"/>
        <v>#REF!</v>
      </c>
      <c r="AQ138" s="509" t="e">
        <f t="shared" si="35"/>
        <v>#REF!</v>
      </c>
      <c r="AR138" s="509" t="e">
        <f t="shared" si="35"/>
        <v>#REF!</v>
      </c>
      <c r="AS138" s="509" t="e">
        <f t="shared" si="35"/>
        <v>#REF!</v>
      </c>
      <c r="AT138" s="500" t="s">
        <v>576</v>
      </c>
    </row>
    <row r="139" spans="1:46" s="7" customFormat="1">
      <c r="A139" s="208" t="str">
        <f>'LOCAL DATASET INPUTS'!A92</f>
        <v>Plug-in hybrid diesel-electric PHEV</v>
      </c>
      <c r="B139" s="443">
        <f>INDEX('LOCAL DATASET INPUTS'!E84:AH101,17,C150)</f>
        <v>1.9999999999999997E-2</v>
      </c>
      <c r="C139" s="437">
        <v>0.06</v>
      </c>
      <c r="D139" s="1"/>
      <c r="E139" s="37"/>
      <c r="F139" s="37"/>
      <c r="G139" s="37"/>
      <c r="H139" s="37"/>
      <c r="I139" s="37"/>
      <c r="J139" s="37"/>
      <c r="K139" s="37"/>
      <c r="L139" s="37"/>
      <c r="M139" s="38"/>
      <c r="N139" s="21"/>
      <c r="O139" s="485" t="s">
        <v>574</v>
      </c>
      <c r="P139" s="492">
        <f>P138/P137</f>
        <v>1</v>
      </c>
      <c r="Q139" s="492" t="e">
        <f t="shared" ref="Q139:AS139" si="36">Q138/Q137</f>
        <v>#REF!</v>
      </c>
      <c r="R139" s="492" t="e">
        <f t="shared" si="36"/>
        <v>#REF!</v>
      </c>
      <c r="S139" s="492" t="e">
        <f t="shared" si="36"/>
        <v>#REF!</v>
      </c>
      <c r="T139" s="492" t="e">
        <f t="shared" si="36"/>
        <v>#REF!</v>
      </c>
      <c r="U139" s="492" t="e">
        <f t="shared" si="36"/>
        <v>#REF!</v>
      </c>
      <c r="V139" s="492" t="e">
        <f t="shared" si="36"/>
        <v>#REF!</v>
      </c>
      <c r="W139" s="492" t="e">
        <f t="shared" si="36"/>
        <v>#REF!</v>
      </c>
      <c r="X139" s="492" t="e">
        <f t="shared" si="36"/>
        <v>#REF!</v>
      </c>
      <c r="Y139" s="492" t="e">
        <f t="shared" si="36"/>
        <v>#REF!</v>
      </c>
      <c r="Z139" s="492" t="e">
        <f t="shared" si="36"/>
        <v>#REF!</v>
      </c>
      <c r="AA139" s="492" t="e">
        <f t="shared" si="36"/>
        <v>#REF!</v>
      </c>
      <c r="AB139" s="492" t="e">
        <f t="shared" si="36"/>
        <v>#REF!</v>
      </c>
      <c r="AC139" s="492" t="e">
        <f t="shared" si="36"/>
        <v>#REF!</v>
      </c>
      <c r="AD139" s="492" t="e">
        <f t="shared" si="36"/>
        <v>#REF!</v>
      </c>
      <c r="AE139" s="492" t="e">
        <f t="shared" si="36"/>
        <v>#REF!</v>
      </c>
      <c r="AF139" s="492" t="e">
        <f t="shared" si="36"/>
        <v>#REF!</v>
      </c>
      <c r="AG139" s="492" t="e">
        <f t="shared" si="36"/>
        <v>#REF!</v>
      </c>
      <c r="AH139" s="492" t="e">
        <f t="shared" si="36"/>
        <v>#REF!</v>
      </c>
      <c r="AI139" s="492" t="e">
        <f t="shared" si="36"/>
        <v>#REF!</v>
      </c>
      <c r="AJ139" s="492" t="e">
        <f t="shared" si="36"/>
        <v>#REF!</v>
      </c>
      <c r="AK139" s="492" t="e">
        <f t="shared" si="36"/>
        <v>#REF!</v>
      </c>
      <c r="AL139" s="492" t="e">
        <f t="shared" si="36"/>
        <v>#REF!</v>
      </c>
      <c r="AM139" s="492" t="e">
        <f t="shared" si="36"/>
        <v>#REF!</v>
      </c>
      <c r="AN139" s="492" t="e">
        <f t="shared" si="36"/>
        <v>#REF!</v>
      </c>
      <c r="AO139" s="492" t="e">
        <f t="shared" si="36"/>
        <v>#REF!</v>
      </c>
      <c r="AP139" s="492" t="e">
        <f t="shared" si="36"/>
        <v>#REF!</v>
      </c>
      <c r="AQ139" s="492" t="e">
        <f t="shared" si="36"/>
        <v>#REF!</v>
      </c>
      <c r="AR139" s="492" t="e">
        <f t="shared" si="36"/>
        <v>#REF!</v>
      </c>
      <c r="AS139" s="492" t="e">
        <f t="shared" si="36"/>
        <v>#REF!</v>
      </c>
      <c r="AT139" s="500"/>
    </row>
    <row r="140" spans="1:46" s="7" customFormat="1">
      <c r="A140" s="208" t="str">
        <f>'LOCAL DATASET INPUTS'!A93</f>
        <v>Hydrogen and fuel cells</v>
      </c>
      <c r="B140" s="443">
        <f>INDEX('LOCAL DATASET INPUTS'!E84:AH101,10,C150)</f>
        <v>0</v>
      </c>
      <c r="C140" s="437">
        <v>0</v>
      </c>
      <c r="D140" s="1"/>
      <c r="E140" s="37"/>
      <c r="F140" s="37"/>
      <c r="G140" s="37"/>
      <c r="H140" s="37"/>
      <c r="I140" s="37"/>
      <c r="J140" s="37"/>
      <c r="K140" s="37"/>
      <c r="L140" s="37"/>
      <c r="M140" s="38"/>
      <c r="N140" s="21"/>
    </row>
    <row r="141" spans="1:46" s="7" customFormat="1">
      <c r="A141" s="208" t="str">
        <f>'LOCAL DATASET INPUTS'!A94</f>
        <v>Bioethanol</v>
      </c>
      <c r="B141" s="443">
        <f>INDEX('LOCAL DATASET INPUTS'!E84:AH101,11,C150)</f>
        <v>0</v>
      </c>
      <c r="C141" s="437">
        <v>0</v>
      </c>
      <c r="D141" s="1"/>
      <c r="E141" s="37"/>
      <c r="F141" s="37"/>
      <c r="G141" s="37"/>
      <c r="H141" s="37"/>
      <c r="I141" s="37"/>
      <c r="J141" s="37"/>
      <c r="K141" s="37"/>
      <c r="L141" s="37"/>
      <c r="M141" s="38"/>
      <c r="N141" s="21"/>
    </row>
    <row r="142" spans="1:46" s="7" customFormat="1">
      <c r="A142" s="208" t="str">
        <f>'LOCAL DATASET INPUTS'!A95</f>
        <v>Bio-diesel</v>
      </c>
      <c r="B142" s="443">
        <f>INDEX('LOCAL DATASET INPUTS'!E84:AH101,12,C150)</f>
        <v>0</v>
      </c>
      <c r="C142" s="437">
        <v>0</v>
      </c>
      <c r="D142" s="1"/>
      <c r="E142" s="37"/>
      <c r="F142" s="37"/>
      <c r="G142" s="37"/>
      <c r="H142" s="37"/>
      <c r="I142" s="37"/>
      <c r="J142" s="37"/>
      <c r="K142" s="37"/>
      <c r="L142" s="37"/>
      <c r="M142" s="38"/>
      <c r="N142" s="21"/>
      <c r="O142" s="485" t="s">
        <v>577</v>
      </c>
      <c r="P142" s="486">
        <v>2021</v>
      </c>
      <c r="Q142" s="486">
        <f>P142+1</f>
        <v>2022</v>
      </c>
      <c r="R142" s="486">
        <f t="shared" ref="R142:AS142" si="37">Q142+1</f>
        <v>2023</v>
      </c>
      <c r="S142" s="486">
        <f t="shared" si="37"/>
        <v>2024</v>
      </c>
      <c r="T142" s="486">
        <f t="shared" si="37"/>
        <v>2025</v>
      </c>
      <c r="U142" s="486">
        <f t="shared" si="37"/>
        <v>2026</v>
      </c>
      <c r="V142" s="486">
        <f t="shared" si="37"/>
        <v>2027</v>
      </c>
      <c r="W142" s="486">
        <f t="shared" si="37"/>
        <v>2028</v>
      </c>
      <c r="X142" s="486">
        <f t="shared" si="37"/>
        <v>2029</v>
      </c>
      <c r="Y142" s="486">
        <f t="shared" si="37"/>
        <v>2030</v>
      </c>
      <c r="Z142" s="486">
        <f t="shared" si="37"/>
        <v>2031</v>
      </c>
      <c r="AA142" s="486">
        <f t="shared" si="37"/>
        <v>2032</v>
      </c>
      <c r="AB142" s="486">
        <f t="shared" si="37"/>
        <v>2033</v>
      </c>
      <c r="AC142" s="486">
        <f t="shared" si="37"/>
        <v>2034</v>
      </c>
      <c r="AD142" s="486">
        <f t="shared" si="37"/>
        <v>2035</v>
      </c>
      <c r="AE142" s="486">
        <f t="shared" si="37"/>
        <v>2036</v>
      </c>
      <c r="AF142" s="486">
        <f t="shared" si="37"/>
        <v>2037</v>
      </c>
      <c r="AG142" s="486">
        <f t="shared" si="37"/>
        <v>2038</v>
      </c>
      <c r="AH142" s="486">
        <f t="shared" si="37"/>
        <v>2039</v>
      </c>
      <c r="AI142" s="486">
        <f t="shared" si="37"/>
        <v>2040</v>
      </c>
      <c r="AJ142" s="486">
        <f t="shared" si="37"/>
        <v>2041</v>
      </c>
      <c r="AK142" s="486">
        <f t="shared" si="37"/>
        <v>2042</v>
      </c>
      <c r="AL142" s="486">
        <f t="shared" si="37"/>
        <v>2043</v>
      </c>
      <c r="AM142" s="486">
        <f t="shared" si="37"/>
        <v>2044</v>
      </c>
      <c r="AN142" s="486">
        <f t="shared" si="37"/>
        <v>2045</v>
      </c>
      <c r="AO142" s="486">
        <f t="shared" si="37"/>
        <v>2046</v>
      </c>
      <c r="AP142" s="486">
        <f t="shared" si="37"/>
        <v>2047</v>
      </c>
      <c r="AQ142" s="486">
        <f t="shared" si="37"/>
        <v>2048</v>
      </c>
      <c r="AR142" s="486">
        <f t="shared" si="37"/>
        <v>2049</v>
      </c>
      <c r="AS142" s="486">
        <f t="shared" si="37"/>
        <v>2050</v>
      </c>
      <c r="AT142" s="500"/>
    </row>
    <row r="143" spans="1:46" s="7" customFormat="1">
      <c r="A143" s="208" t="str">
        <f>'LOCAL DATASET INPUTS'!A96</f>
        <v>Bi-fuel</v>
      </c>
      <c r="B143" s="443">
        <f>INDEX('LOCAL DATASET INPUTS'!E84:AH101,13,C150)</f>
        <v>0</v>
      </c>
      <c r="C143" s="437">
        <v>0.19</v>
      </c>
      <c r="D143" s="1"/>
      <c r="E143" s="37"/>
      <c r="F143" s="37"/>
      <c r="G143" s="37"/>
      <c r="H143" s="37"/>
      <c r="I143" s="37"/>
      <c r="J143" s="37"/>
      <c r="K143" s="37"/>
      <c r="L143" s="37"/>
      <c r="M143" s="38"/>
      <c r="N143" s="21"/>
      <c r="O143" s="481" t="str">
        <f>O115</f>
        <v>Rail freight</v>
      </c>
      <c r="P143" s="489" t="e">
        <f>'LOCAL DATASET INPUTS'!E252</f>
        <v>#REF!</v>
      </c>
      <c r="Q143" s="489" t="e">
        <f>'LOCAL DATASET INPUTS'!F252</f>
        <v>#REF!</v>
      </c>
      <c r="R143" s="489" t="e">
        <f>'LOCAL DATASET INPUTS'!G252</f>
        <v>#REF!</v>
      </c>
      <c r="S143" s="489" t="e">
        <f>'LOCAL DATASET INPUTS'!H252</f>
        <v>#REF!</v>
      </c>
      <c r="T143" s="489" t="e">
        <f>'LOCAL DATASET INPUTS'!I252</f>
        <v>#REF!</v>
      </c>
      <c r="U143" s="489" t="e">
        <f>'LOCAL DATASET INPUTS'!J252</f>
        <v>#REF!</v>
      </c>
      <c r="V143" s="489" t="e">
        <f>'LOCAL DATASET INPUTS'!K252</f>
        <v>#REF!</v>
      </c>
      <c r="W143" s="489" t="e">
        <f>'LOCAL DATASET INPUTS'!L252</f>
        <v>#REF!</v>
      </c>
      <c r="X143" s="489" t="e">
        <f>'LOCAL DATASET INPUTS'!M252</f>
        <v>#REF!</v>
      </c>
      <c r="Y143" s="489" t="e">
        <f>'LOCAL DATASET INPUTS'!N252</f>
        <v>#REF!</v>
      </c>
      <c r="Z143" s="489" t="e">
        <f>'LOCAL DATASET INPUTS'!O252</f>
        <v>#REF!</v>
      </c>
      <c r="AA143" s="489" t="e">
        <f>'LOCAL DATASET INPUTS'!P252</f>
        <v>#REF!</v>
      </c>
      <c r="AB143" s="489" t="e">
        <f>'LOCAL DATASET INPUTS'!Q252</f>
        <v>#REF!</v>
      </c>
      <c r="AC143" s="489" t="e">
        <f>'LOCAL DATASET INPUTS'!R252</f>
        <v>#REF!</v>
      </c>
      <c r="AD143" s="489" t="e">
        <f>'LOCAL DATASET INPUTS'!S252</f>
        <v>#REF!</v>
      </c>
      <c r="AE143" s="489" t="e">
        <f>'LOCAL DATASET INPUTS'!T252</f>
        <v>#REF!</v>
      </c>
      <c r="AF143" s="489" t="e">
        <f>'LOCAL DATASET INPUTS'!U252</f>
        <v>#REF!</v>
      </c>
      <c r="AG143" s="489" t="e">
        <f>'LOCAL DATASET INPUTS'!V252</f>
        <v>#REF!</v>
      </c>
      <c r="AH143" s="489" t="e">
        <f>'LOCAL DATASET INPUTS'!W252</f>
        <v>#REF!</v>
      </c>
      <c r="AI143" s="489" t="e">
        <f>'LOCAL DATASET INPUTS'!X252</f>
        <v>#REF!</v>
      </c>
      <c r="AJ143" s="489" t="e">
        <f>'LOCAL DATASET INPUTS'!Y252</f>
        <v>#REF!</v>
      </c>
      <c r="AK143" s="489" t="e">
        <f>'LOCAL DATASET INPUTS'!Z252</f>
        <v>#REF!</v>
      </c>
      <c r="AL143" s="489" t="e">
        <f>'LOCAL DATASET INPUTS'!AA252</f>
        <v>#REF!</v>
      </c>
      <c r="AM143" s="489" t="e">
        <f>'LOCAL DATASET INPUTS'!AB252</f>
        <v>#REF!</v>
      </c>
      <c r="AN143" s="489" t="e">
        <f>'LOCAL DATASET INPUTS'!AC252</f>
        <v>#REF!</v>
      </c>
      <c r="AO143" s="489" t="e">
        <f>'LOCAL DATASET INPUTS'!AD252</f>
        <v>#REF!</v>
      </c>
      <c r="AP143" s="489" t="e">
        <f>'LOCAL DATASET INPUTS'!AE252</f>
        <v>#REF!</v>
      </c>
      <c r="AQ143" s="489" t="e">
        <f>'LOCAL DATASET INPUTS'!AF252</f>
        <v>#REF!</v>
      </c>
      <c r="AR143" s="489" t="e">
        <f>'LOCAL DATASET INPUTS'!AG252</f>
        <v>#REF!</v>
      </c>
      <c r="AS143" s="489" t="e">
        <f>'LOCAL DATASET INPUTS'!AH252</f>
        <v>#REF!</v>
      </c>
      <c r="AT143" s="500" t="s">
        <v>578</v>
      </c>
    </row>
    <row r="144" spans="1:46" s="7" customFormat="1">
      <c r="A144" s="208" t="str">
        <f>'LOCAL DATASET INPUTS'!A97</f>
        <v>Other (unknown)</v>
      </c>
      <c r="B144" s="443">
        <f>INDEX('LOCAL DATASET INPUTS'!E84:AH101,14,C150)</f>
        <v>2.7375346707088952</v>
      </c>
      <c r="C144" s="437">
        <v>0</v>
      </c>
      <c r="D144" s="1"/>
      <c r="E144" s="37"/>
      <c r="F144" s="37"/>
      <c r="G144" s="37"/>
      <c r="H144" s="37"/>
      <c r="I144" s="37"/>
      <c r="J144" s="37"/>
      <c r="K144" s="37"/>
      <c r="L144" s="37"/>
      <c r="M144" s="38"/>
      <c r="N144" s="21"/>
      <c r="O144" s="518" t="s">
        <v>600</v>
      </c>
      <c r="P144" s="520">
        <f>IF((P142-2020)=$B$118,(($C$113-$P$143)/($C$118-$B$118+1)),0)</f>
        <v>0</v>
      </c>
      <c r="Q144" s="520">
        <f t="shared" ref="Q144:AS144" si="38">IF((Q142-2020)=$B$118,(($C$113-P143)/($C$118-$B$118+1)),P144)</f>
        <v>0</v>
      </c>
      <c r="R144" s="520">
        <f t="shared" si="38"/>
        <v>0</v>
      </c>
      <c r="S144" s="520">
        <f t="shared" si="38"/>
        <v>0</v>
      </c>
      <c r="T144" s="520" t="e">
        <f t="shared" si="38"/>
        <v>#REF!</v>
      </c>
      <c r="U144" s="520" t="e">
        <f t="shared" si="38"/>
        <v>#REF!</v>
      </c>
      <c r="V144" s="520" t="e">
        <f t="shared" si="38"/>
        <v>#REF!</v>
      </c>
      <c r="W144" s="520" t="e">
        <f t="shared" si="38"/>
        <v>#REF!</v>
      </c>
      <c r="X144" s="520" t="e">
        <f t="shared" si="38"/>
        <v>#REF!</v>
      </c>
      <c r="Y144" s="520" t="e">
        <f t="shared" si="38"/>
        <v>#REF!</v>
      </c>
      <c r="Z144" s="520" t="e">
        <f t="shared" si="38"/>
        <v>#REF!</v>
      </c>
      <c r="AA144" s="520" t="e">
        <f t="shared" si="38"/>
        <v>#REF!</v>
      </c>
      <c r="AB144" s="520" t="e">
        <f t="shared" si="38"/>
        <v>#REF!</v>
      </c>
      <c r="AC144" s="520" t="e">
        <f t="shared" si="38"/>
        <v>#REF!</v>
      </c>
      <c r="AD144" s="520" t="e">
        <f t="shared" si="38"/>
        <v>#REF!</v>
      </c>
      <c r="AE144" s="520" t="e">
        <f t="shared" si="38"/>
        <v>#REF!</v>
      </c>
      <c r="AF144" s="520" t="e">
        <f t="shared" si="38"/>
        <v>#REF!</v>
      </c>
      <c r="AG144" s="520" t="e">
        <f t="shared" si="38"/>
        <v>#REF!</v>
      </c>
      <c r="AH144" s="520" t="e">
        <f t="shared" si="38"/>
        <v>#REF!</v>
      </c>
      <c r="AI144" s="520" t="e">
        <f t="shared" si="38"/>
        <v>#REF!</v>
      </c>
      <c r="AJ144" s="520" t="e">
        <f t="shared" si="38"/>
        <v>#REF!</v>
      </c>
      <c r="AK144" s="520" t="e">
        <f t="shared" si="38"/>
        <v>#REF!</v>
      </c>
      <c r="AL144" s="520" t="e">
        <f t="shared" si="38"/>
        <v>#REF!</v>
      </c>
      <c r="AM144" s="520" t="e">
        <f t="shared" si="38"/>
        <v>#REF!</v>
      </c>
      <c r="AN144" s="520" t="e">
        <f t="shared" si="38"/>
        <v>#REF!</v>
      </c>
      <c r="AO144" s="520" t="e">
        <f t="shared" si="38"/>
        <v>#REF!</v>
      </c>
      <c r="AP144" s="520" t="e">
        <f t="shared" si="38"/>
        <v>#REF!</v>
      </c>
      <c r="AQ144" s="520" t="e">
        <f t="shared" si="38"/>
        <v>#REF!</v>
      </c>
      <c r="AR144" s="520" t="e">
        <f t="shared" si="38"/>
        <v>#REF!</v>
      </c>
      <c r="AS144" s="520" t="e">
        <f t="shared" si="38"/>
        <v>#REF!</v>
      </c>
    </row>
    <row r="145" spans="1:46" s="7" customFormat="1">
      <c r="A145" s="208" t="str">
        <f>'LOCAL DATASET INPUTS'!A101</f>
        <v>Electricity BEV</v>
      </c>
      <c r="B145" s="443">
        <f>INDEX('LOCAL DATASET INPUTS'!E84:AH101,18,C150)</f>
        <v>0.22</v>
      </c>
      <c r="C145" s="437">
        <v>20</v>
      </c>
      <c r="D145" s="1"/>
      <c r="E145" s="37"/>
      <c r="F145" s="37"/>
      <c r="G145" s="37"/>
      <c r="H145" s="37"/>
      <c r="I145" s="37"/>
      <c r="J145" s="37"/>
      <c r="K145" s="37"/>
      <c r="L145" s="37"/>
      <c r="M145" s="38"/>
      <c r="N145" s="21"/>
      <c r="O145" s="518" t="s">
        <v>573</v>
      </c>
      <c r="P145" s="508" t="e">
        <f>IF(AND((P142-2019)&gt;$B$118,(P142-2021)&lt;$C$118),($P$143+(($C$113-$P$143)/($C$118-$B$118+1))),P143)</f>
        <v>#REF!</v>
      </c>
      <c r="Q145" s="508" t="e">
        <f>IF(AND((Q142-2019)&gt;$B$118,(Q142-2021)&lt;$C$118),(P145+Q144),(P145*(Q143/P143)))</f>
        <v>#REF!</v>
      </c>
      <c r="R145" s="508" t="e">
        <f t="shared" ref="R145:AS145" si="39">IF(AND((R142-2019)&gt;$B$118,(R142-2021)&lt;$C$118),(Q145+R144),(Q145*(R143/Q143)))</f>
        <v>#REF!</v>
      </c>
      <c r="S145" s="508" t="e">
        <f t="shared" si="39"/>
        <v>#REF!</v>
      </c>
      <c r="T145" s="508" t="e">
        <f>IF(AND((T142-2019)&gt;$B$118,(T142-2021)&lt;$C$118),(S145+T144),(S145*(T143/S143)))</f>
        <v>#REF!</v>
      </c>
      <c r="U145" s="508" t="e">
        <f t="shared" si="39"/>
        <v>#REF!</v>
      </c>
      <c r="V145" s="508" t="e">
        <f t="shared" si="39"/>
        <v>#REF!</v>
      </c>
      <c r="W145" s="508" t="e">
        <f t="shared" si="39"/>
        <v>#REF!</v>
      </c>
      <c r="X145" s="508" t="e">
        <f t="shared" si="39"/>
        <v>#REF!</v>
      </c>
      <c r="Y145" s="508" t="e">
        <f t="shared" si="39"/>
        <v>#REF!</v>
      </c>
      <c r="Z145" s="508" t="e">
        <f t="shared" si="39"/>
        <v>#REF!</v>
      </c>
      <c r="AA145" s="508" t="e">
        <f t="shared" si="39"/>
        <v>#REF!</v>
      </c>
      <c r="AB145" s="508" t="e">
        <f t="shared" si="39"/>
        <v>#REF!</v>
      </c>
      <c r="AC145" s="508" t="e">
        <f t="shared" si="39"/>
        <v>#REF!</v>
      </c>
      <c r="AD145" s="508" t="e">
        <f t="shared" si="39"/>
        <v>#REF!</v>
      </c>
      <c r="AE145" s="508" t="e">
        <f t="shared" si="39"/>
        <v>#REF!</v>
      </c>
      <c r="AF145" s="508" t="e">
        <f t="shared" si="39"/>
        <v>#REF!</v>
      </c>
      <c r="AG145" s="508" t="e">
        <f t="shared" si="39"/>
        <v>#REF!</v>
      </c>
      <c r="AH145" s="508" t="e">
        <f t="shared" si="39"/>
        <v>#REF!</v>
      </c>
      <c r="AI145" s="508" t="e">
        <f t="shared" si="39"/>
        <v>#REF!</v>
      </c>
      <c r="AJ145" s="508" t="e">
        <f t="shared" si="39"/>
        <v>#REF!</v>
      </c>
      <c r="AK145" s="508" t="e">
        <f t="shared" si="39"/>
        <v>#REF!</v>
      </c>
      <c r="AL145" s="508" t="e">
        <f t="shared" si="39"/>
        <v>#REF!</v>
      </c>
      <c r="AM145" s="508" t="e">
        <f t="shared" si="39"/>
        <v>#REF!</v>
      </c>
      <c r="AN145" s="508" t="e">
        <f t="shared" si="39"/>
        <v>#REF!</v>
      </c>
      <c r="AO145" s="508" t="e">
        <f t="shared" si="39"/>
        <v>#REF!</v>
      </c>
      <c r="AP145" s="508" t="e">
        <f t="shared" si="39"/>
        <v>#REF!</v>
      </c>
      <c r="AQ145" s="508" t="e">
        <f t="shared" si="39"/>
        <v>#REF!</v>
      </c>
      <c r="AR145" s="508" t="e">
        <f t="shared" si="39"/>
        <v>#REF!</v>
      </c>
      <c r="AS145" s="508" t="e">
        <f t="shared" si="39"/>
        <v>#REF!</v>
      </c>
      <c r="AT145" s="500" t="s">
        <v>575</v>
      </c>
    </row>
    <row r="146" spans="1:46" s="7" customFormat="1">
      <c r="A146" s="208" t="str">
        <f>'LOCAL DATASET INPUTS'!A87</f>
        <v>Petrol, according to country selection</v>
      </c>
      <c r="B146" s="172">
        <f>INDEX('LOCAL DATASET INPUTS'!E84:AH101,4,C150)</f>
        <v>38.113813188636961</v>
      </c>
      <c r="C146" s="442">
        <f>(100-SUM(C133:C145))*(B146/(B146+B147))</f>
        <v>31.249775006304596</v>
      </c>
      <c r="D146" s="1"/>
      <c r="E146" s="37"/>
      <c r="F146" s="37"/>
      <c r="G146" s="37"/>
      <c r="H146" s="37"/>
      <c r="I146" s="37"/>
      <c r="J146" s="37"/>
      <c r="K146" s="37"/>
      <c r="L146" s="37"/>
      <c r="M146" s="38"/>
      <c r="N146" s="21"/>
      <c r="O146" s="485" t="s">
        <v>574</v>
      </c>
      <c r="P146" s="492" t="e">
        <f t="shared" ref="P146:AS146" si="40">P145/P143</f>
        <v>#REF!</v>
      </c>
      <c r="Q146" s="492" t="e">
        <f t="shared" si="40"/>
        <v>#REF!</v>
      </c>
      <c r="R146" s="492" t="e">
        <f t="shared" si="40"/>
        <v>#REF!</v>
      </c>
      <c r="S146" s="492" t="e">
        <f t="shared" si="40"/>
        <v>#REF!</v>
      </c>
      <c r="T146" s="492" t="e">
        <f t="shared" si="40"/>
        <v>#REF!</v>
      </c>
      <c r="U146" s="492" t="e">
        <f t="shared" si="40"/>
        <v>#REF!</v>
      </c>
      <c r="V146" s="492" t="e">
        <f t="shared" si="40"/>
        <v>#REF!</v>
      </c>
      <c r="W146" s="492" t="e">
        <f t="shared" si="40"/>
        <v>#REF!</v>
      </c>
      <c r="X146" s="492" t="e">
        <f t="shared" si="40"/>
        <v>#REF!</v>
      </c>
      <c r="Y146" s="492" t="e">
        <f t="shared" si="40"/>
        <v>#REF!</v>
      </c>
      <c r="Z146" s="492" t="e">
        <f t="shared" si="40"/>
        <v>#REF!</v>
      </c>
      <c r="AA146" s="492" t="e">
        <f t="shared" si="40"/>
        <v>#REF!</v>
      </c>
      <c r="AB146" s="492" t="e">
        <f t="shared" si="40"/>
        <v>#REF!</v>
      </c>
      <c r="AC146" s="492" t="e">
        <f t="shared" si="40"/>
        <v>#REF!</v>
      </c>
      <c r="AD146" s="492" t="e">
        <f t="shared" si="40"/>
        <v>#REF!</v>
      </c>
      <c r="AE146" s="492" t="e">
        <f t="shared" si="40"/>
        <v>#REF!</v>
      </c>
      <c r="AF146" s="492" t="e">
        <f t="shared" si="40"/>
        <v>#REF!</v>
      </c>
      <c r="AG146" s="492" t="e">
        <f t="shared" si="40"/>
        <v>#REF!</v>
      </c>
      <c r="AH146" s="492" t="e">
        <f t="shared" si="40"/>
        <v>#REF!</v>
      </c>
      <c r="AI146" s="492" t="e">
        <f t="shared" si="40"/>
        <v>#REF!</v>
      </c>
      <c r="AJ146" s="492" t="e">
        <f t="shared" si="40"/>
        <v>#REF!</v>
      </c>
      <c r="AK146" s="492" t="e">
        <f t="shared" si="40"/>
        <v>#REF!</v>
      </c>
      <c r="AL146" s="492" t="e">
        <f t="shared" si="40"/>
        <v>#REF!</v>
      </c>
      <c r="AM146" s="492" t="e">
        <f t="shared" si="40"/>
        <v>#REF!</v>
      </c>
      <c r="AN146" s="492" t="e">
        <f t="shared" si="40"/>
        <v>#REF!</v>
      </c>
      <c r="AO146" s="492" t="e">
        <f t="shared" si="40"/>
        <v>#REF!</v>
      </c>
      <c r="AP146" s="492" t="e">
        <f t="shared" si="40"/>
        <v>#REF!</v>
      </c>
      <c r="AQ146" s="492" t="e">
        <f t="shared" si="40"/>
        <v>#REF!</v>
      </c>
      <c r="AR146" s="492" t="e">
        <f t="shared" si="40"/>
        <v>#REF!</v>
      </c>
      <c r="AS146" s="492" t="e">
        <f t="shared" si="40"/>
        <v>#REF!</v>
      </c>
      <c r="AT146" s="500"/>
    </row>
    <row r="147" spans="1:46" s="7" customFormat="1">
      <c r="A147" s="441" t="str">
        <f>'LOCAL DATASET INPUTS'!A90</f>
        <v>Diesel, according to country selection</v>
      </c>
      <c r="B147" s="173">
        <f>INDEX('LOCAL DATASET INPUTS'!E84:AH101,7,C150)</f>
        <v>55.701726599361059</v>
      </c>
      <c r="C147" s="439">
        <f>(100-SUM(C133:C145))*(B147/(B146+B147))</f>
        <v>45.670224993695406</v>
      </c>
      <c r="D147" s="1"/>
      <c r="E147" s="37"/>
      <c r="F147" s="37"/>
      <c r="G147" s="37"/>
      <c r="H147" s="37"/>
      <c r="I147" s="37"/>
      <c r="J147" s="37"/>
      <c r="K147" s="37"/>
      <c r="L147" s="37"/>
      <c r="M147" s="38"/>
      <c r="N147" s="21"/>
      <c r="O147" s="481" t="str">
        <f>O117</f>
        <v>Inland waterways freight</v>
      </c>
      <c r="P147" s="489" t="e">
        <f>'LOCAL DATASET INPUTS'!E254</f>
        <v>#REF!</v>
      </c>
      <c r="Q147" s="489" t="e">
        <f>'LOCAL DATASET INPUTS'!F254</f>
        <v>#REF!</v>
      </c>
      <c r="R147" s="489" t="e">
        <f>'LOCAL DATASET INPUTS'!G254</f>
        <v>#REF!</v>
      </c>
      <c r="S147" s="489" t="e">
        <f>'LOCAL DATASET INPUTS'!H254</f>
        <v>#REF!</v>
      </c>
      <c r="T147" s="489" t="e">
        <f>'LOCAL DATASET INPUTS'!I254</f>
        <v>#REF!</v>
      </c>
      <c r="U147" s="489" t="e">
        <f>'LOCAL DATASET INPUTS'!J254</f>
        <v>#REF!</v>
      </c>
      <c r="V147" s="489" t="e">
        <f>'LOCAL DATASET INPUTS'!K254</f>
        <v>#REF!</v>
      </c>
      <c r="W147" s="489" t="e">
        <f>'LOCAL DATASET INPUTS'!L254</f>
        <v>#REF!</v>
      </c>
      <c r="X147" s="489" t="e">
        <f>'LOCAL DATASET INPUTS'!M254</f>
        <v>#REF!</v>
      </c>
      <c r="Y147" s="489" t="e">
        <f>'LOCAL DATASET INPUTS'!N254</f>
        <v>#REF!</v>
      </c>
      <c r="Z147" s="489" t="e">
        <f>'LOCAL DATASET INPUTS'!O254</f>
        <v>#REF!</v>
      </c>
      <c r="AA147" s="489" t="e">
        <f>'LOCAL DATASET INPUTS'!P254</f>
        <v>#REF!</v>
      </c>
      <c r="AB147" s="489" t="e">
        <f>'LOCAL DATASET INPUTS'!Q254</f>
        <v>#REF!</v>
      </c>
      <c r="AC147" s="489" t="e">
        <f>'LOCAL DATASET INPUTS'!R254</f>
        <v>#REF!</v>
      </c>
      <c r="AD147" s="489" t="e">
        <f>'LOCAL DATASET INPUTS'!S254</f>
        <v>#REF!</v>
      </c>
      <c r="AE147" s="489" t="e">
        <f>'LOCAL DATASET INPUTS'!T254</f>
        <v>#REF!</v>
      </c>
      <c r="AF147" s="489" t="e">
        <f>'LOCAL DATASET INPUTS'!U254</f>
        <v>#REF!</v>
      </c>
      <c r="AG147" s="489" t="e">
        <f>'LOCAL DATASET INPUTS'!V254</f>
        <v>#REF!</v>
      </c>
      <c r="AH147" s="489" t="e">
        <f>'LOCAL DATASET INPUTS'!W254</f>
        <v>#REF!</v>
      </c>
      <c r="AI147" s="489" t="e">
        <f>'LOCAL DATASET INPUTS'!X254</f>
        <v>#REF!</v>
      </c>
      <c r="AJ147" s="489" t="e">
        <f>'LOCAL DATASET INPUTS'!Y254</f>
        <v>#REF!</v>
      </c>
      <c r="AK147" s="489" t="e">
        <f>'LOCAL DATASET INPUTS'!Z254</f>
        <v>#REF!</v>
      </c>
      <c r="AL147" s="489" t="e">
        <f>'LOCAL DATASET INPUTS'!AA254</f>
        <v>#REF!</v>
      </c>
      <c r="AM147" s="489" t="e">
        <f>'LOCAL DATASET INPUTS'!AB254</f>
        <v>#REF!</v>
      </c>
      <c r="AN147" s="489" t="e">
        <f>'LOCAL DATASET INPUTS'!AC254</f>
        <v>#REF!</v>
      </c>
      <c r="AO147" s="489" t="e">
        <f>'LOCAL DATASET INPUTS'!AD254</f>
        <v>#REF!</v>
      </c>
      <c r="AP147" s="489" t="e">
        <f>'LOCAL DATASET INPUTS'!AE254</f>
        <v>#REF!</v>
      </c>
      <c r="AQ147" s="489" t="e">
        <f>'LOCAL DATASET INPUTS'!AF254</f>
        <v>#REF!</v>
      </c>
      <c r="AR147" s="489" t="e">
        <f>'LOCAL DATASET INPUTS'!AG254</f>
        <v>#REF!</v>
      </c>
      <c r="AS147" s="489" t="e">
        <f>'LOCAL DATASET INPUTS'!AH254</f>
        <v>#REF!</v>
      </c>
      <c r="AT147" s="500" t="s">
        <v>578</v>
      </c>
    </row>
    <row r="148" spans="1:46" s="7" customFormat="1">
      <c r="A148" s="208" t="s">
        <v>514</v>
      </c>
      <c r="B148" s="172">
        <f>SUM(B133:B147)</f>
        <v>100</v>
      </c>
      <c r="C148" s="442">
        <v>100</v>
      </c>
      <c r="D148" s="1"/>
      <c r="E148" s="37"/>
      <c r="F148" s="37"/>
      <c r="G148" s="37"/>
      <c r="H148" s="37"/>
      <c r="I148" s="37"/>
      <c r="J148" s="37"/>
      <c r="K148" s="37"/>
      <c r="L148" s="37"/>
      <c r="M148" s="38"/>
      <c r="N148" s="21"/>
      <c r="O148" s="518" t="s">
        <v>600</v>
      </c>
      <c r="P148" s="577">
        <f>IF((P142-2020)=$B$118,(($C$113-$P$147)/($C$118-$B$118+1)),0)</f>
        <v>0</v>
      </c>
      <c r="Q148" s="577">
        <f t="shared" ref="Q148:AS148" si="41">IF((Q142-2020)=$B$118,(($C$114-P147)/($C$118-$B$118+1)),P148)</f>
        <v>0</v>
      </c>
      <c r="R148" s="577">
        <f t="shared" si="41"/>
        <v>0</v>
      </c>
      <c r="S148" s="577">
        <f t="shared" si="41"/>
        <v>0</v>
      </c>
      <c r="T148" s="578" t="e">
        <f t="shared" si="41"/>
        <v>#REF!</v>
      </c>
      <c r="U148" s="578" t="e">
        <f t="shared" si="41"/>
        <v>#REF!</v>
      </c>
      <c r="V148" s="578" t="e">
        <f t="shared" si="41"/>
        <v>#REF!</v>
      </c>
      <c r="W148" s="578" t="e">
        <f t="shared" si="41"/>
        <v>#REF!</v>
      </c>
      <c r="X148" s="578" t="e">
        <f t="shared" si="41"/>
        <v>#REF!</v>
      </c>
      <c r="Y148" s="578" t="e">
        <f t="shared" si="41"/>
        <v>#REF!</v>
      </c>
      <c r="Z148" s="578" t="e">
        <f t="shared" si="41"/>
        <v>#REF!</v>
      </c>
      <c r="AA148" s="578" t="e">
        <f t="shared" si="41"/>
        <v>#REF!</v>
      </c>
      <c r="AB148" s="578" t="e">
        <f t="shared" si="41"/>
        <v>#REF!</v>
      </c>
      <c r="AC148" s="578" t="e">
        <f t="shared" si="41"/>
        <v>#REF!</v>
      </c>
      <c r="AD148" s="578" t="e">
        <f t="shared" si="41"/>
        <v>#REF!</v>
      </c>
      <c r="AE148" s="578" t="e">
        <f t="shared" si="41"/>
        <v>#REF!</v>
      </c>
      <c r="AF148" s="578" t="e">
        <f t="shared" si="41"/>
        <v>#REF!</v>
      </c>
      <c r="AG148" s="578" t="e">
        <f t="shared" si="41"/>
        <v>#REF!</v>
      </c>
      <c r="AH148" s="578" t="e">
        <f t="shared" si="41"/>
        <v>#REF!</v>
      </c>
      <c r="AI148" s="578" t="e">
        <f t="shared" si="41"/>
        <v>#REF!</v>
      </c>
      <c r="AJ148" s="578" t="e">
        <f t="shared" si="41"/>
        <v>#REF!</v>
      </c>
      <c r="AK148" s="578" t="e">
        <f t="shared" si="41"/>
        <v>#REF!</v>
      </c>
      <c r="AL148" s="578" t="e">
        <f t="shared" si="41"/>
        <v>#REF!</v>
      </c>
      <c r="AM148" s="578" t="e">
        <f t="shared" si="41"/>
        <v>#REF!</v>
      </c>
      <c r="AN148" s="578" t="e">
        <f t="shared" si="41"/>
        <v>#REF!</v>
      </c>
      <c r="AO148" s="578" t="e">
        <f t="shared" si="41"/>
        <v>#REF!</v>
      </c>
      <c r="AP148" s="578" t="e">
        <f t="shared" si="41"/>
        <v>#REF!</v>
      </c>
      <c r="AQ148" s="578" t="e">
        <f t="shared" si="41"/>
        <v>#REF!</v>
      </c>
      <c r="AR148" s="578" t="e">
        <f t="shared" si="41"/>
        <v>#REF!</v>
      </c>
      <c r="AS148" s="578" t="e">
        <f t="shared" si="41"/>
        <v>#REF!</v>
      </c>
    </row>
    <row r="149" spans="1:46" s="7" customFormat="1">
      <c r="A149" s="208" t="s">
        <v>750</v>
      </c>
      <c r="B149" s="645" t="s">
        <v>753</v>
      </c>
      <c r="C149" s="645" t="s">
        <v>754</v>
      </c>
      <c r="D149" s="5"/>
      <c r="E149" s="37"/>
      <c r="F149" s="37"/>
      <c r="G149" s="37"/>
      <c r="H149" s="37"/>
      <c r="I149" s="37"/>
      <c r="J149" s="37"/>
      <c r="K149" s="37"/>
      <c r="L149" s="37"/>
      <c r="M149" s="38"/>
      <c r="N149" s="21"/>
      <c r="O149" s="518" t="s">
        <v>573</v>
      </c>
      <c r="P149" s="508" t="e">
        <f>IF(AND((P142-2019)&gt;$B$118,(P142-2021)&lt;$C$118),($P$147+(($C$114-$P$147)/($C$118-$B$118+1))),P147)</f>
        <v>#REF!</v>
      </c>
      <c r="Q149" s="508" t="e">
        <f>IF(AND((Q142-2019)&gt;$B$118,(Q142-2021)&lt;$C$118),(P149+Q148),(P149*(Q147/P147)))</f>
        <v>#REF!</v>
      </c>
      <c r="R149" s="508" t="e">
        <f t="shared" ref="R149:AS149" si="42">IF(AND((R142-2019)&gt;$B$118,(R142-2021)&lt;$C$118),(Q149+R148),(Q149*(R147/Q147)))</f>
        <v>#REF!</v>
      </c>
      <c r="S149" s="508" t="e">
        <f t="shared" si="42"/>
        <v>#REF!</v>
      </c>
      <c r="T149" s="508" t="e">
        <f t="shared" si="42"/>
        <v>#REF!</v>
      </c>
      <c r="U149" s="508" t="e">
        <f t="shared" si="42"/>
        <v>#REF!</v>
      </c>
      <c r="V149" s="508" t="e">
        <f t="shared" si="42"/>
        <v>#REF!</v>
      </c>
      <c r="W149" s="508" t="e">
        <f t="shared" si="42"/>
        <v>#REF!</v>
      </c>
      <c r="X149" s="508" t="e">
        <f t="shared" si="42"/>
        <v>#REF!</v>
      </c>
      <c r="Y149" s="508" t="e">
        <f t="shared" si="42"/>
        <v>#REF!</v>
      </c>
      <c r="Z149" s="508" t="e">
        <f t="shared" si="42"/>
        <v>#REF!</v>
      </c>
      <c r="AA149" s="508" t="e">
        <f t="shared" si="42"/>
        <v>#REF!</v>
      </c>
      <c r="AB149" s="508" t="e">
        <f t="shared" si="42"/>
        <v>#REF!</v>
      </c>
      <c r="AC149" s="508" t="e">
        <f t="shared" si="42"/>
        <v>#REF!</v>
      </c>
      <c r="AD149" s="508" t="e">
        <f t="shared" si="42"/>
        <v>#REF!</v>
      </c>
      <c r="AE149" s="508" t="e">
        <f t="shared" si="42"/>
        <v>#REF!</v>
      </c>
      <c r="AF149" s="508" t="e">
        <f t="shared" si="42"/>
        <v>#REF!</v>
      </c>
      <c r="AG149" s="508" t="e">
        <f t="shared" si="42"/>
        <v>#REF!</v>
      </c>
      <c r="AH149" s="508" t="e">
        <f t="shared" si="42"/>
        <v>#REF!</v>
      </c>
      <c r="AI149" s="508" t="e">
        <f t="shared" si="42"/>
        <v>#REF!</v>
      </c>
      <c r="AJ149" s="508" t="e">
        <f t="shared" si="42"/>
        <v>#REF!</v>
      </c>
      <c r="AK149" s="508" t="e">
        <f t="shared" si="42"/>
        <v>#REF!</v>
      </c>
      <c r="AL149" s="508" t="e">
        <f t="shared" si="42"/>
        <v>#REF!</v>
      </c>
      <c r="AM149" s="508" t="e">
        <f t="shared" si="42"/>
        <v>#REF!</v>
      </c>
      <c r="AN149" s="508" t="e">
        <f t="shared" si="42"/>
        <v>#REF!</v>
      </c>
      <c r="AO149" s="508" t="e">
        <f t="shared" si="42"/>
        <v>#REF!</v>
      </c>
      <c r="AP149" s="508" t="e">
        <f t="shared" si="42"/>
        <v>#REF!</v>
      </c>
      <c r="AQ149" s="508" t="e">
        <f t="shared" si="42"/>
        <v>#REF!</v>
      </c>
      <c r="AR149" s="508" t="e">
        <f t="shared" si="42"/>
        <v>#REF!</v>
      </c>
      <c r="AS149" s="508" t="e">
        <f t="shared" si="42"/>
        <v>#REF!</v>
      </c>
      <c r="AT149" s="500" t="s">
        <v>575</v>
      </c>
    </row>
    <row r="150" spans="1:46" s="7" customFormat="1">
      <c r="A150" s="13"/>
      <c r="B150" s="2">
        <v>5</v>
      </c>
      <c r="C150" s="2">
        <v>5</v>
      </c>
      <c r="D150" s="2" t="str">
        <f>IF(C150&lt;B150,"check inputs!","")</f>
        <v/>
      </c>
      <c r="E150" s="37"/>
      <c r="F150" s="37"/>
      <c r="G150" s="37"/>
      <c r="H150" s="37"/>
      <c r="I150" s="37"/>
      <c r="J150" s="37"/>
      <c r="K150" s="37"/>
      <c r="L150" s="37"/>
      <c r="M150" s="38"/>
      <c r="N150" s="21"/>
      <c r="O150" s="485" t="s">
        <v>574</v>
      </c>
      <c r="P150" s="492" t="e">
        <f t="shared" ref="P150:AS150" si="43">P149/P147</f>
        <v>#REF!</v>
      </c>
      <c r="Q150" s="492" t="e">
        <f t="shared" si="43"/>
        <v>#REF!</v>
      </c>
      <c r="R150" s="492" t="e">
        <f t="shared" si="43"/>
        <v>#REF!</v>
      </c>
      <c r="S150" s="492" t="e">
        <f t="shared" si="43"/>
        <v>#REF!</v>
      </c>
      <c r="T150" s="492" t="e">
        <f t="shared" si="43"/>
        <v>#REF!</v>
      </c>
      <c r="U150" s="492" t="e">
        <f t="shared" si="43"/>
        <v>#REF!</v>
      </c>
      <c r="V150" s="492" t="e">
        <f t="shared" si="43"/>
        <v>#REF!</v>
      </c>
      <c r="W150" s="492" t="e">
        <f t="shared" si="43"/>
        <v>#REF!</v>
      </c>
      <c r="X150" s="492" t="e">
        <f t="shared" si="43"/>
        <v>#REF!</v>
      </c>
      <c r="Y150" s="492" t="e">
        <f t="shared" si="43"/>
        <v>#REF!</v>
      </c>
      <c r="Z150" s="492" t="e">
        <f t="shared" si="43"/>
        <v>#REF!</v>
      </c>
      <c r="AA150" s="492" t="e">
        <f t="shared" si="43"/>
        <v>#REF!</v>
      </c>
      <c r="AB150" s="492" t="e">
        <f t="shared" si="43"/>
        <v>#REF!</v>
      </c>
      <c r="AC150" s="492" t="e">
        <f t="shared" si="43"/>
        <v>#REF!</v>
      </c>
      <c r="AD150" s="492" t="e">
        <f t="shared" si="43"/>
        <v>#REF!</v>
      </c>
      <c r="AE150" s="492" t="e">
        <f t="shared" si="43"/>
        <v>#REF!</v>
      </c>
      <c r="AF150" s="492" t="e">
        <f t="shared" si="43"/>
        <v>#REF!</v>
      </c>
      <c r="AG150" s="492" t="e">
        <f t="shared" si="43"/>
        <v>#REF!</v>
      </c>
      <c r="AH150" s="492" t="e">
        <f t="shared" si="43"/>
        <v>#REF!</v>
      </c>
      <c r="AI150" s="492" t="e">
        <f t="shared" si="43"/>
        <v>#REF!</v>
      </c>
      <c r="AJ150" s="492" t="e">
        <f t="shared" si="43"/>
        <v>#REF!</v>
      </c>
      <c r="AK150" s="492" t="e">
        <f t="shared" si="43"/>
        <v>#REF!</v>
      </c>
      <c r="AL150" s="492" t="e">
        <f t="shared" si="43"/>
        <v>#REF!</v>
      </c>
      <c r="AM150" s="492" t="e">
        <f t="shared" si="43"/>
        <v>#REF!</v>
      </c>
      <c r="AN150" s="492" t="e">
        <f t="shared" si="43"/>
        <v>#REF!</v>
      </c>
      <c r="AO150" s="492" t="e">
        <f t="shared" si="43"/>
        <v>#REF!</v>
      </c>
      <c r="AP150" s="492" t="e">
        <f t="shared" si="43"/>
        <v>#REF!</v>
      </c>
      <c r="AQ150" s="492" t="e">
        <f t="shared" si="43"/>
        <v>#REF!</v>
      </c>
      <c r="AR150" s="492" t="e">
        <f t="shared" si="43"/>
        <v>#REF!</v>
      </c>
      <c r="AS150" s="492" t="e">
        <f t="shared" si="43"/>
        <v>#REF!</v>
      </c>
      <c r="AT150" s="500"/>
    </row>
    <row r="151" spans="1:46" s="7" customFormat="1">
      <c r="A151" s="13"/>
      <c r="B151" s="2"/>
      <c r="C151" s="2"/>
      <c r="D151" s="2"/>
      <c r="E151" s="37"/>
      <c r="F151" s="37"/>
      <c r="G151" s="37"/>
      <c r="H151" s="37"/>
      <c r="I151" s="37"/>
      <c r="J151" s="37"/>
      <c r="K151" s="37"/>
      <c r="L151" s="37"/>
      <c r="M151" s="38"/>
      <c r="N151" s="21"/>
      <c r="O151" s="481"/>
      <c r="P151" s="489"/>
      <c r="Q151" s="489"/>
      <c r="R151" s="489"/>
      <c r="S151" s="489"/>
      <c r="T151" s="489"/>
      <c r="U151" s="489"/>
      <c r="V151" s="489"/>
      <c r="W151" s="489"/>
      <c r="X151" s="489"/>
      <c r="Y151" s="489"/>
      <c r="Z151" s="489"/>
      <c r="AA151" s="489"/>
      <c r="AB151" s="489"/>
      <c r="AC151" s="489"/>
      <c r="AD151" s="489"/>
      <c r="AE151" s="489"/>
      <c r="AF151" s="489"/>
      <c r="AG151" s="489"/>
      <c r="AH151" s="489"/>
      <c r="AI151" s="489"/>
      <c r="AJ151" s="489"/>
      <c r="AK151" s="489"/>
      <c r="AL151" s="489"/>
      <c r="AM151" s="489"/>
      <c r="AN151" s="489"/>
      <c r="AO151" s="489"/>
      <c r="AP151" s="489"/>
      <c r="AQ151" s="489"/>
      <c r="AR151" s="489"/>
      <c r="AS151" s="489"/>
      <c r="AT151" s="500"/>
    </row>
    <row r="152" spans="1:46" s="7" customFormat="1">
      <c r="A152" s="13"/>
      <c r="B152" s="645" t="s">
        <v>765</v>
      </c>
      <c r="C152" s="2"/>
      <c r="D152" s="645" t="s">
        <v>751</v>
      </c>
      <c r="E152" s="2"/>
      <c r="F152" s="2"/>
      <c r="G152" s="2"/>
      <c r="H152" s="2"/>
      <c r="I152" s="2"/>
      <c r="J152" s="2"/>
      <c r="K152" s="2"/>
      <c r="L152" s="2"/>
      <c r="M152" s="14"/>
      <c r="N152" s="21"/>
      <c r="O152" s="481" t="str">
        <f>O104</f>
        <v>Road freight LGVs</v>
      </c>
      <c r="P152" s="490" t="e">
        <f>'LOCAL DATASET INPUTS'!E253</f>
        <v>#REF!</v>
      </c>
      <c r="Q152" s="490" t="e">
        <f>'LOCAL DATASET INPUTS'!F253</f>
        <v>#REF!</v>
      </c>
      <c r="R152" s="490" t="e">
        <f>'LOCAL DATASET INPUTS'!G253</f>
        <v>#REF!</v>
      </c>
      <c r="S152" s="490" t="e">
        <f>'LOCAL DATASET INPUTS'!H253</f>
        <v>#REF!</v>
      </c>
      <c r="T152" s="490" t="e">
        <f>'LOCAL DATASET INPUTS'!I253</f>
        <v>#REF!</v>
      </c>
      <c r="U152" s="490" t="e">
        <f>'LOCAL DATASET INPUTS'!J253</f>
        <v>#REF!</v>
      </c>
      <c r="V152" s="490" t="e">
        <f>'LOCAL DATASET INPUTS'!K253</f>
        <v>#REF!</v>
      </c>
      <c r="W152" s="490" t="e">
        <f>'LOCAL DATASET INPUTS'!L253</f>
        <v>#REF!</v>
      </c>
      <c r="X152" s="490" t="e">
        <f>'LOCAL DATASET INPUTS'!M253</f>
        <v>#REF!</v>
      </c>
      <c r="Y152" s="490" t="e">
        <f>'LOCAL DATASET INPUTS'!N253</f>
        <v>#REF!</v>
      </c>
      <c r="Z152" s="490" t="e">
        <f>'LOCAL DATASET INPUTS'!O253</f>
        <v>#REF!</v>
      </c>
      <c r="AA152" s="490" t="e">
        <f>'LOCAL DATASET INPUTS'!P253</f>
        <v>#REF!</v>
      </c>
      <c r="AB152" s="490" t="e">
        <f>'LOCAL DATASET INPUTS'!Q253</f>
        <v>#REF!</v>
      </c>
      <c r="AC152" s="490" t="e">
        <f>'LOCAL DATASET INPUTS'!R253</f>
        <v>#REF!</v>
      </c>
      <c r="AD152" s="490" t="e">
        <f>'LOCAL DATASET INPUTS'!S253</f>
        <v>#REF!</v>
      </c>
      <c r="AE152" s="490" t="e">
        <f>'LOCAL DATASET INPUTS'!T253</f>
        <v>#REF!</v>
      </c>
      <c r="AF152" s="490" t="e">
        <f>'LOCAL DATASET INPUTS'!U253</f>
        <v>#REF!</v>
      </c>
      <c r="AG152" s="490" t="e">
        <f>'LOCAL DATASET INPUTS'!V253</f>
        <v>#REF!</v>
      </c>
      <c r="AH152" s="490" t="e">
        <f>'LOCAL DATASET INPUTS'!W253</f>
        <v>#REF!</v>
      </c>
      <c r="AI152" s="490" t="e">
        <f>'LOCAL DATASET INPUTS'!X253</f>
        <v>#REF!</v>
      </c>
      <c r="AJ152" s="490" t="e">
        <f>'LOCAL DATASET INPUTS'!Y253</f>
        <v>#REF!</v>
      </c>
      <c r="AK152" s="490" t="e">
        <f>'LOCAL DATASET INPUTS'!Z253</f>
        <v>#REF!</v>
      </c>
      <c r="AL152" s="490" t="e">
        <f>'LOCAL DATASET INPUTS'!AA253</f>
        <v>#REF!</v>
      </c>
      <c r="AM152" s="490" t="e">
        <f>'LOCAL DATASET INPUTS'!AB253</f>
        <v>#REF!</v>
      </c>
      <c r="AN152" s="490" t="e">
        <f>'LOCAL DATASET INPUTS'!AC253</f>
        <v>#REF!</v>
      </c>
      <c r="AO152" s="490" t="e">
        <f>'LOCAL DATASET INPUTS'!AD253</f>
        <v>#REF!</v>
      </c>
      <c r="AP152" s="490" t="e">
        <f>'LOCAL DATASET INPUTS'!AE253</f>
        <v>#REF!</v>
      </c>
      <c r="AQ152" s="490" t="e">
        <f>'LOCAL DATASET INPUTS'!AF253</f>
        <v>#REF!</v>
      </c>
      <c r="AR152" s="490" t="e">
        <f>'LOCAL DATASET INPUTS'!AG253</f>
        <v>#REF!</v>
      </c>
      <c r="AS152" s="490" t="e">
        <f>'LOCAL DATASET INPUTS'!AH253</f>
        <v>#REF!</v>
      </c>
      <c r="AT152" s="500" t="s">
        <v>578</v>
      </c>
    </row>
    <row r="153" spans="1:46" s="7" customFormat="1">
      <c r="A153" s="128" t="s">
        <v>670</v>
      </c>
      <c r="B153" s="387">
        <f>2020+C156</f>
        <v>2035</v>
      </c>
      <c r="C153" s="388" t="s">
        <v>116</v>
      </c>
      <c r="D153" s="645" t="s">
        <v>752</v>
      </c>
      <c r="E153" s="2"/>
      <c r="F153" s="2"/>
      <c r="G153" s="2"/>
      <c r="H153" s="2"/>
      <c r="I153" s="2"/>
      <c r="J153" s="2"/>
      <c r="K153" s="2"/>
      <c r="L153" s="2"/>
      <c r="M153" s="14"/>
      <c r="N153" s="21"/>
      <c r="O153" s="481" t="s">
        <v>573</v>
      </c>
      <c r="P153" s="489" t="e">
        <f t="shared" ref="P153:AS153" si="44">100-(P145+P149)</f>
        <v>#REF!</v>
      </c>
      <c r="Q153" s="489" t="e">
        <f t="shared" si="44"/>
        <v>#REF!</v>
      </c>
      <c r="R153" s="489" t="e">
        <f t="shared" si="44"/>
        <v>#REF!</v>
      </c>
      <c r="S153" s="489" t="e">
        <f t="shared" si="44"/>
        <v>#REF!</v>
      </c>
      <c r="T153" s="489" t="e">
        <f t="shared" si="44"/>
        <v>#REF!</v>
      </c>
      <c r="U153" s="489" t="e">
        <f t="shared" si="44"/>
        <v>#REF!</v>
      </c>
      <c r="V153" s="489" t="e">
        <f t="shared" si="44"/>
        <v>#REF!</v>
      </c>
      <c r="W153" s="489" t="e">
        <f t="shared" si="44"/>
        <v>#REF!</v>
      </c>
      <c r="X153" s="489" t="e">
        <f t="shared" si="44"/>
        <v>#REF!</v>
      </c>
      <c r="Y153" s="489" t="e">
        <f t="shared" si="44"/>
        <v>#REF!</v>
      </c>
      <c r="Z153" s="489" t="e">
        <f t="shared" si="44"/>
        <v>#REF!</v>
      </c>
      <c r="AA153" s="489" t="e">
        <f t="shared" si="44"/>
        <v>#REF!</v>
      </c>
      <c r="AB153" s="489" t="e">
        <f t="shared" si="44"/>
        <v>#REF!</v>
      </c>
      <c r="AC153" s="489" t="e">
        <f t="shared" si="44"/>
        <v>#REF!</v>
      </c>
      <c r="AD153" s="489" t="e">
        <f t="shared" si="44"/>
        <v>#REF!</v>
      </c>
      <c r="AE153" s="489" t="e">
        <f t="shared" si="44"/>
        <v>#REF!</v>
      </c>
      <c r="AF153" s="489" t="e">
        <f t="shared" si="44"/>
        <v>#REF!</v>
      </c>
      <c r="AG153" s="489" t="e">
        <f t="shared" si="44"/>
        <v>#REF!</v>
      </c>
      <c r="AH153" s="489" t="e">
        <f t="shared" si="44"/>
        <v>#REF!</v>
      </c>
      <c r="AI153" s="489" t="e">
        <f t="shared" si="44"/>
        <v>#REF!</v>
      </c>
      <c r="AJ153" s="489" t="e">
        <f t="shared" si="44"/>
        <v>#REF!</v>
      </c>
      <c r="AK153" s="489" t="e">
        <f t="shared" si="44"/>
        <v>#REF!</v>
      </c>
      <c r="AL153" s="489" t="e">
        <f t="shared" si="44"/>
        <v>#REF!</v>
      </c>
      <c r="AM153" s="489" t="e">
        <f t="shared" si="44"/>
        <v>#REF!</v>
      </c>
      <c r="AN153" s="489" t="e">
        <f t="shared" si="44"/>
        <v>#REF!</v>
      </c>
      <c r="AO153" s="489" t="e">
        <f t="shared" si="44"/>
        <v>#REF!</v>
      </c>
      <c r="AP153" s="489" t="e">
        <f t="shared" si="44"/>
        <v>#REF!</v>
      </c>
      <c r="AQ153" s="489" t="e">
        <f t="shared" si="44"/>
        <v>#REF!</v>
      </c>
      <c r="AR153" s="489" t="e">
        <f t="shared" si="44"/>
        <v>#REF!</v>
      </c>
      <c r="AS153" s="489" t="e">
        <f t="shared" si="44"/>
        <v>#REF!</v>
      </c>
      <c r="AT153" s="500" t="s">
        <v>576</v>
      </c>
    </row>
    <row r="154" spans="1:46" s="7" customFormat="1">
      <c r="A154" s="27" t="s">
        <v>757</v>
      </c>
      <c r="B154" s="464">
        <f>INDEX(P265:AS265,1,C156)</f>
        <v>351.34391304347827</v>
      </c>
      <c r="C154" s="209">
        <v>-90</v>
      </c>
      <c r="D154" s="413">
        <v>0</v>
      </c>
      <c r="E154" s="2"/>
      <c r="F154" s="2"/>
      <c r="G154" s="2"/>
      <c r="H154" s="579"/>
      <c r="I154" s="2"/>
      <c r="J154" s="2"/>
      <c r="K154" s="2"/>
      <c r="L154" s="2"/>
      <c r="M154" s="14"/>
      <c r="N154" s="21"/>
      <c r="O154" s="485" t="s">
        <v>574</v>
      </c>
      <c r="P154" s="492" t="e">
        <f>P153/P152</f>
        <v>#REF!</v>
      </c>
      <c r="Q154" s="492" t="e">
        <f t="shared" ref="Q154:AS154" si="45">Q153/Q152</f>
        <v>#REF!</v>
      </c>
      <c r="R154" s="492" t="e">
        <f t="shared" si="45"/>
        <v>#REF!</v>
      </c>
      <c r="S154" s="492" t="e">
        <f t="shared" si="45"/>
        <v>#REF!</v>
      </c>
      <c r="T154" s="492" t="e">
        <f t="shared" si="45"/>
        <v>#REF!</v>
      </c>
      <c r="U154" s="492" t="e">
        <f t="shared" si="45"/>
        <v>#REF!</v>
      </c>
      <c r="V154" s="492" t="e">
        <f t="shared" si="45"/>
        <v>#REF!</v>
      </c>
      <c r="W154" s="492" t="e">
        <f t="shared" si="45"/>
        <v>#REF!</v>
      </c>
      <c r="X154" s="492" t="e">
        <f t="shared" si="45"/>
        <v>#REF!</v>
      </c>
      <c r="Y154" s="492" t="e">
        <f t="shared" si="45"/>
        <v>#REF!</v>
      </c>
      <c r="Z154" s="492" t="e">
        <f t="shared" si="45"/>
        <v>#REF!</v>
      </c>
      <c r="AA154" s="492" t="e">
        <f t="shared" si="45"/>
        <v>#REF!</v>
      </c>
      <c r="AB154" s="492" t="e">
        <f t="shared" si="45"/>
        <v>#REF!</v>
      </c>
      <c r="AC154" s="492" t="e">
        <f t="shared" si="45"/>
        <v>#REF!</v>
      </c>
      <c r="AD154" s="492" t="e">
        <f t="shared" si="45"/>
        <v>#REF!</v>
      </c>
      <c r="AE154" s="492" t="e">
        <f t="shared" si="45"/>
        <v>#REF!</v>
      </c>
      <c r="AF154" s="492" t="e">
        <f t="shared" si="45"/>
        <v>#REF!</v>
      </c>
      <c r="AG154" s="492" t="e">
        <f t="shared" si="45"/>
        <v>#REF!</v>
      </c>
      <c r="AH154" s="492" t="e">
        <f t="shared" si="45"/>
        <v>#REF!</v>
      </c>
      <c r="AI154" s="492" t="e">
        <f t="shared" si="45"/>
        <v>#REF!</v>
      </c>
      <c r="AJ154" s="492" t="e">
        <f t="shared" si="45"/>
        <v>#REF!</v>
      </c>
      <c r="AK154" s="492" t="e">
        <f t="shared" si="45"/>
        <v>#REF!</v>
      </c>
      <c r="AL154" s="492" t="e">
        <f t="shared" si="45"/>
        <v>#REF!</v>
      </c>
      <c r="AM154" s="492" t="e">
        <f t="shared" si="45"/>
        <v>#REF!</v>
      </c>
      <c r="AN154" s="492" t="e">
        <f t="shared" si="45"/>
        <v>#REF!</v>
      </c>
      <c r="AO154" s="492" t="e">
        <f t="shared" si="45"/>
        <v>#REF!</v>
      </c>
      <c r="AP154" s="492" t="e">
        <f t="shared" si="45"/>
        <v>#REF!</v>
      </c>
      <c r="AQ154" s="492" t="e">
        <f t="shared" si="45"/>
        <v>#REF!</v>
      </c>
      <c r="AR154" s="492" t="e">
        <f t="shared" si="45"/>
        <v>#REF!</v>
      </c>
      <c r="AS154" s="492" t="e">
        <f t="shared" si="45"/>
        <v>#REF!</v>
      </c>
      <c r="AT154" s="467"/>
    </row>
    <row r="155" spans="1:46" s="7" customFormat="1">
      <c r="A155" s="208" t="s">
        <v>750</v>
      </c>
      <c r="B155" s="645" t="s">
        <v>753</v>
      </c>
      <c r="C155" s="645" t="s">
        <v>754</v>
      </c>
      <c r="D155" s="2"/>
      <c r="E155" s="2"/>
      <c r="F155" s="37"/>
      <c r="G155" s="37"/>
      <c r="H155" s="37"/>
      <c r="I155" s="37"/>
      <c r="J155" s="37"/>
      <c r="K155" s="37"/>
      <c r="L155" s="37"/>
      <c r="M155" s="38"/>
      <c r="N155" s="21"/>
      <c r="AT155" s="467"/>
    </row>
    <row r="156" spans="1:46" s="7" customFormat="1">
      <c r="A156" s="13"/>
      <c r="B156" s="2">
        <v>15</v>
      </c>
      <c r="C156" s="2">
        <v>15</v>
      </c>
      <c r="D156" s="2" t="str">
        <f>IF(C156&lt;B156,"check inputs!","")</f>
        <v/>
      </c>
      <c r="E156" s="37"/>
      <c r="F156" s="37"/>
      <c r="G156" s="37"/>
      <c r="H156" s="37"/>
      <c r="I156" s="37"/>
      <c r="J156" s="37"/>
      <c r="K156" s="37"/>
      <c r="L156" s="37"/>
      <c r="M156" s="38"/>
      <c r="N156" s="21"/>
      <c r="AT156" s="467"/>
    </row>
    <row r="157" spans="1:46" ht="15.75" thickBot="1">
      <c r="A157" s="206"/>
      <c r="B157" s="51"/>
      <c r="C157" s="17"/>
      <c r="D157" s="17"/>
      <c r="E157" s="17"/>
      <c r="F157" s="17"/>
      <c r="G157" s="17"/>
      <c r="H157" s="17"/>
      <c r="I157" s="207"/>
      <c r="J157" s="207"/>
      <c r="K157" s="207"/>
      <c r="L157" s="207"/>
      <c r="M157" s="444"/>
    </row>
    <row r="159" spans="1:46" ht="15" customHeight="1">
      <c r="O159" s="476" t="s">
        <v>627</v>
      </c>
      <c r="P159" s="477">
        <v>2021</v>
      </c>
      <c r="Q159" s="477">
        <f>P159+1</f>
        <v>2022</v>
      </c>
      <c r="R159" s="477">
        <f t="shared" ref="R159:AS159" si="46">Q159+1</f>
        <v>2023</v>
      </c>
      <c r="S159" s="477">
        <f t="shared" si="46"/>
        <v>2024</v>
      </c>
      <c r="T159" s="477">
        <f t="shared" si="46"/>
        <v>2025</v>
      </c>
      <c r="U159" s="477">
        <f t="shared" si="46"/>
        <v>2026</v>
      </c>
      <c r="V159" s="477">
        <f t="shared" si="46"/>
        <v>2027</v>
      </c>
      <c r="W159" s="477">
        <f t="shared" si="46"/>
        <v>2028</v>
      </c>
      <c r="X159" s="477">
        <f t="shared" si="46"/>
        <v>2029</v>
      </c>
      <c r="Y159" s="477">
        <f t="shared" si="46"/>
        <v>2030</v>
      </c>
      <c r="Z159" s="477">
        <f t="shared" si="46"/>
        <v>2031</v>
      </c>
      <c r="AA159" s="477">
        <f t="shared" si="46"/>
        <v>2032</v>
      </c>
      <c r="AB159" s="477">
        <f t="shared" si="46"/>
        <v>2033</v>
      </c>
      <c r="AC159" s="477">
        <f t="shared" si="46"/>
        <v>2034</v>
      </c>
      <c r="AD159" s="477">
        <f t="shared" si="46"/>
        <v>2035</v>
      </c>
      <c r="AE159" s="477">
        <f t="shared" si="46"/>
        <v>2036</v>
      </c>
      <c r="AF159" s="477">
        <f t="shared" si="46"/>
        <v>2037</v>
      </c>
      <c r="AG159" s="477">
        <f t="shared" si="46"/>
        <v>2038</v>
      </c>
      <c r="AH159" s="477">
        <f t="shared" si="46"/>
        <v>2039</v>
      </c>
      <c r="AI159" s="477">
        <f t="shared" si="46"/>
        <v>2040</v>
      </c>
      <c r="AJ159" s="477">
        <f t="shared" si="46"/>
        <v>2041</v>
      </c>
      <c r="AK159" s="477">
        <f t="shared" si="46"/>
        <v>2042</v>
      </c>
      <c r="AL159" s="477">
        <f t="shared" si="46"/>
        <v>2043</v>
      </c>
      <c r="AM159" s="477">
        <f t="shared" si="46"/>
        <v>2044</v>
      </c>
      <c r="AN159" s="477">
        <f t="shared" si="46"/>
        <v>2045</v>
      </c>
      <c r="AO159" s="477">
        <f t="shared" si="46"/>
        <v>2046</v>
      </c>
      <c r="AP159" s="477">
        <f t="shared" si="46"/>
        <v>2047</v>
      </c>
      <c r="AQ159" s="477">
        <f t="shared" si="46"/>
        <v>2048</v>
      </c>
      <c r="AR159" s="477">
        <f t="shared" si="46"/>
        <v>2049</v>
      </c>
      <c r="AS159" s="477">
        <f t="shared" si="46"/>
        <v>2050</v>
      </c>
    </row>
    <row r="160" spans="1:46">
      <c r="O160" s="478" t="str">
        <f>O109</f>
        <v>Motor coaches, buses and trolley buses</v>
      </c>
      <c r="P160" s="514">
        <f>(P109*P127*$D$103/100)+(P109*(100-$D$103)/100)</f>
        <v>76.549372212823627</v>
      </c>
      <c r="Q160" s="514" t="e">
        <f t="shared" ref="Q160:AS160" si="47">(Q109*Q127*$D$103/100)+(Q109*(100-$D$103)/100)</f>
        <v>#REF!</v>
      </c>
      <c r="R160" s="514" t="e">
        <f t="shared" si="47"/>
        <v>#REF!</v>
      </c>
      <c r="S160" s="514" t="e">
        <f t="shared" si="47"/>
        <v>#REF!</v>
      </c>
      <c r="T160" s="514" t="e">
        <f t="shared" si="47"/>
        <v>#REF!</v>
      </c>
      <c r="U160" s="514" t="e">
        <f t="shared" si="47"/>
        <v>#REF!</v>
      </c>
      <c r="V160" s="514" t="e">
        <f t="shared" si="47"/>
        <v>#REF!</v>
      </c>
      <c r="W160" s="514" t="e">
        <f t="shared" si="47"/>
        <v>#REF!</v>
      </c>
      <c r="X160" s="514" t="e">
        <f t="shared" si="47"/>
        <v>#REF!</v>
      </c>
      <c r="Y160" s="514" t="e">
        <f t="shared" si="47"/>
        <v>#REF!</v>
      </c>
      <c r="Z160" s="514" t="e">
        <f t="shared" si="47"/>
        <v>#REF!</v>
      </c>
      <c r="AA160" s="514" t="e">
        <f t="shared" si="47"/>
        <v>#REF!</v>
      </c>
      <c r="AB160" s="514" t="e">
        <f t="shared" si="47"/>
        <v>#REF!</v>
      </c>
      <c r="AC160" s="514" t="e">
        <f t="shared" si="47"/>
        <v>#REF!</v>
      </c>
      <c r="AD160" s="514" t="e">
        <f t="shared" si="47"/>
        <v>#REF!</v>
      </c>
      <c r="AE160" s="514" t="e">
        <f t="shared" si="47"/>
        <v>#REF!</v>
      </c>
      <c r="AF160" s="514" t="e">
        <f t="shared" si="47"/>
        <v>#REF!</v>
      </c>
      <c r="AG160" s="514" t="e">
        <f t="shared" si="47"/>
        <v>#REF!</v>
      </c>
      <c r="AH160" s="514" t="e">
        <f t="shared" si="47"/>
        <v>#REF!</v>
      </c>
      <c r="AI160" s="514" t="e">
        <f t="shared" si="47"/>
        <v>#REF!</v>
      </c>
      <c r="AJ160" s="514" t="e">
        <f t="shared" si="47"/>
        <v>#REF!</v>
      </c>
      <c r="AK160" s="514" t="e">
        <f t="shared" si="47"/>
        <v>#REF!</v>
      </c>
      <c r="AL160" s="514" t="e">
        <f t="shared" si="47"/>
        <v>#REF!</v>
      </c>
      <c r="AM160" s="514" t="e">
        <f t="shared" si="47"/>
        <v>#REF!</v>
      </c>
      <c r="AN160" s="514" t="e">
        <f t="shared" si="47"/>
        <v>#REF!</v>
      </c>
      <c r="AO160" s="514" t="e">
        <f t="shared" si="47"/>
        <v>#REF!</v>
      </c>
      <c r="AP160" s="514" t="e">
        <f t="shared" si="47"/>
        <v>#REF!</v>
      </c>
      <c r="AQ160" s="514" t="e">
        <f t="shared" si="47"/>
        <v>#REF!</v>
      </c>
      <c r="AR160" s="514" t="e">
        <f t="shared" si="47"/>
        <v>#REF!</v>
      </c>
      <c r="AS160" s="514" t="e">
        <f t="shared" si="47"/>
        <v>#REF!</v>
      </c>
    </row>
    <row r="161" spans="15:46">
      <c r="O161" s="478" t="str">
        <f>O110</f>
        <v>Passenger cars</v>
      </c>
      <c r="P161" s="514">
        <f>(P110*P139*$D$103/100)+(P110*(100-$D$103)/100)</f>
        <v>1336.0591831187487</v>
      </c>
      <c r="Q161" s="514" t="e">
        <f t="shared" ref="Q161:AS161" si="48">(Q110*Q139*$D$103/100)+(Q110*(100-$D$103)/100)</f>
        <v>#REF!</v>
      </c>
      <c r="R161" s="514" t="e">
        <f t="shared" si="48"/>
        <v>#REF!</v>
      </c>
      <c r="S161" s="514" t="e">
        <f t="shared" si="48"/>
        <v>#REF!</v>
      </c>
      <c r="T161" s="514" t="e">
        <f t="shared" si="48"/>
        <v>#REF!</v>
      </c>
      <c r="U161" s="514" t="e">
        <f t="shared" si="48"/>
        <v>#REF!</v>
      </c>
      <c r="V161" s="514" t="e">
        <f t="shared" si="48"/>
        <v>#REF!</v>
      </c>
      <c r="W161" s="514" t="e">
        <f t="shared" si="48"/>
        <v>#REF!</v>
      </c>
      <c r="X161" s="514" t="e">
        <f>(X110*X139*$D$103/100)+(X110*(100-$D$103)/100)</f>
        <v>#REF!</v>
      </c>
      <c r="Y161" s="514" t="e">
        <f t="shared" si="48"/>
        <v>#REF!</v>
      </c>
      <c r="Z161" s="514" t="e">
        <f t="shared" si="48"/>
        <v>#REF!</v>
      </c>
      <c r="AA161" s="514" t="e">
        <f t="shared" si="48"/>
        <v>#REF!</v>
      </c>
      <c r="AB161" s="514" t="e">
        <f t="shared" si="48"/>
        <v>#REF!</v>
      </c>
      <c r="AC161" s="514" t="e">
        <f t="shared" si="48"/>
        <v>#REF!</v>
      </c>
      <c r="AD161" s="514" t="e">
        <f t="shared" si="48"/>
        <v>#REF!</v>
      </c>
      <c r="AE161" s="514" t="e">
        <f t="shared" si="48"/>
        <v>#REF!</v>
      </c>
      <c r="AF161" s="514" t="e">
        <f t="shared" si="48"/>
        <v>#REF!</v>
      </c>
      <c r="AG161" s="514" t="e">
        <f t="shared" si="48"/>
        <v>#REF!</v>
      </c>
      <c r="AH161" s="514" t="e">
        <f t="shared" si="48"/>
        <v>#REF!</v>
      </c>
      <c r="AI161" s="514" t="e">
        <f t="shared" si="48"/>
        <v>#REF!</v>
      </c>
      <c r="AJ161" s="514" t="e">
        <f t="shared" si="48"/>
        <v>#REF!</v>
      </c>
      <c r="AK161" s="514" t="e">
        <f t="shared" si="48"/>
        <v>#REF!</v>
      </c>
      <c r="AL161" s="514" t="e">
        <f t="shared" si="48"/>
        <v>#REF!</v>
      </c>
      <c r="AM161" s="514" t="e">
        <f t="shared" si="48"/>
        <v>#REF!</v>
      </c>
      <c r="AN161" s="514" t="e">
        <f t="shared" si="48"/>
        <v>#REF!</v>
      </c>
      <c r="AO161" s="514" t="e">
        <f t="shared" si="48"/>
        <v>#REF!</v>
      </c>
      <c r="AP161" s="514" t="e">
        <f t="shared" si="48"/>
        <v>#REF!</v>
      </c>
      <c r="AQ161" s="514" t="e">
        <f t="shared" si="48"/>
        <v>#REF!</v>
      </c>
      <c r="AR161" s="514" t="e">
        <f t="shared" si="48"/>
        <v>#REF!</v>
      </c>
      <c r="AS161" s="514" t="e">
        <f t="shared" si="48"/>
        <v>#REF!</v>
      </c>
    </row>
    <row r="162" spans="15:46">
      <c r="O162" s="478" t="str">
        <f t="shared" ref="O162:O168" si="49">O112</f>
        <v>Metro</v>
      </c>
      <c r="P162" s="514">
        <f t="shared" ref="P162:AS162" si="50">(P112*P132*$D$103/100)+(P112*(100-$D$103)/100)</f>
        <v>0</v>
      </c>
      <c r="Q162" s="514" t="e">
        <f t="shared" si="50"/>
        <v>#REF!</v>
      </c>
      <c r="R162" s="514" t="e">
        <f t="shared" si="50"/>
        <v>#REF!</v>
      </c>
      <c r="S162" s="514" t="e">
        <f t="shared" si="50"/>
        <v>#REF!</v>
      </c>
      <c r="T162" s="514" t="e">
        <f t="shared" si="50"/>
        <v>#REF!</v>
      </c>
      <c r="U162" s="514" t="e">
        <f t="shared" si="50"/>
        <v>#REF!</v>
      </c>
      <c r="V162" s="514" t="e">
        <f t="shared" si="50"/>
        <v>#REF!</v>
      </c>
      <c r="W162" s="514" t="e">
        <f t="shared" si="50"/>
        <v>#REF!</v>
      </c>
      <c r="X162" s="514" t="e">
        <f t="shared" si="50"/>
        <v>#REF!</v>
      </c>
      <c r="Y162" s="514" t="e">
        <f t="shared" si="50"/>
        <v>#REF!</v>
      </c>
      <c r="Z162" s="514" t="e">
        <f t="shared" si="50"/>
        <v>#REF!</v>
      </c>
      <c r="AA162" s="514" t="e">
        <f t="shared" si="50"/>
        <v>#REF!</v>
      </c>
      <c r="AB162" s="514" t="e">
        <f t="shared" si="50"/>
        <v>#REF!</v>
      </c>
      <c r="AC162" s="514" t="e">
        <f t="shared" si="50"/>
        <v>#REF!</v>
      </c>
      <c r="AD162" s="514" t="e">
        <f t="shared" si="50"/>
        <v>#REF!</v>
      </c>
      <c r="AE162" s="514" t="e">
        <f t="shared" si="50"/>
        <v>#REF!</v>
      </c>
      <c r="AF162" s="514" t="e">
        <f t="shared" si="50"/>
        <v>#REF!</v>
      </c>
      <c r="AG162" s="514" t="e">
        <f t="shared" si="50"/>
        <v>#REF!</v>
      </c>
      <c r="AH162" s="514" t="e">
        <f t="shared" si="50"/>
        <v>#REF!</v>
      </c>
      <c r="AI162" s="514" t="e">
        <f t="shared" si="50"/>
        <v>#REF!</v>
      </c>
      <c r="AJ162" s="514" t="e">
        <f t="shared" si="50"/>
        <v>#REF!</v>
      </c>
      <c r="AK162" s="514" t="e">
        <f t="shared" si="50"/>
        <v>#REF!</v>
      </c>
      <c r="AL162" s="514" t="e">
        <f t="shared" si="50"/>
        <v>#REF!</v>
      </c>
      <c r="AM162" s="514" t="e">
        <f t="shared" si="50"/>
        <v>#REF!</v>
      </c>
      <c r="AN162" s="514" t="e">
        <f t="shared" si="50"/>
        <v>#REF!</v>
      </c>
      <c r="AO162" s="514" t="e">
        <f t="shared" si="50"/>
        <v>#REF!</v>
      </c>
      <c r="AP162" s="514" t="e">
        <f t="shared" si="50"/>
        <v>#REF!</v>
      </c>
      <c r="AQ162" s="514" t="e">
        <f t="shared" si="50"/>
        <v>#REF!</v>
      </c>
      <c r="AR162" s="514" t="e">
        <f t="shared" si="50"/>
        <v>#REF!</v>
      </c>
      <c r="AS162" s="514" t="e">
        <f t="shared" si="50"/>
        <v>#REF!</v>
      </c>
    </row>
    <row r="163" spans="15:46">
      <c r="O163" s="478" t="str">
        <f t="shared" si="49"/>
        <v>Tram, light train</v>
      </c>
      <c r="P163" s="514">
        <f t="shared" ref="P163:AS163" si="51">(P113*P132*$D$103/100)+(P113*(100-$D$103)/100)</f>
        <v>0</v>
      </c>
      <c r="Q163" s="514" t="e">
        <f t="shared" si="51"/>
        <v>#REF!</v>
      </c>
      <c r="R163" s="514" t="e">
        <f t="shared" si="51"/>
        <v>#REF!</v>
      </c>
      <c r="S163" s="514" t="e">
        <f t="shared" si="51"/>
        <v>#REF!</v>
      </c>
      <c r="T163" s="514" t="e">
        <f t="shared" si="51"/>
        <v>#REF!</v>
      </c>
      <c r="U163" s="514" t="e">
        <f t="shared" si="51"/>
        <v>#REF!</v>
      </c>
      <c r="V163" s="514" t="e">
        <f t="shared" si="51"/>
        <v>#REF!</v>
      </c>
      <c r="W163" s="514" t="e">
        <f t="shared" si="51"/>
        <v>#REF!</v>
      </c>
      <c r="X163" s="514" t="e">
        <f t="shared" si="51"/>
        <v>#REF!</v>
      </c>
      <c r="Y163" s="514" t="e">
        <f t="shared" si="51"/>
        <v>#REF!</v>
      </c>
      <c r="Z163" s="514" t="e">
        <f t="shared" si="51"/>
        <v>#REF!</v>
      </c>
      <c r="AA163" s="514" t="e">
        <f t="shared" si="51"/>
        <v>#REF!</v>
      </c>
      <c r="AB163" s="514" t="e">
        <f t="shared" si="51"/>
        <v>#REF!</v>
      </c>
      <c r="AC163" s="514" t="e">
        <f t="shared" si="51"/>
        <v>#REF!</v>
      </c>
      <c r="AD163" s="514" t="e">
        <f t="shared" si="51"/>
        <v>#REF!</v>
      </c>
      <c r="AE163" s="514" t="e">
        <f t="shared" si="51"/>
        <v>#REF!</v>
      </c>
      <c r="AF163" s="514" t="e">
        <f t="shared" si="51"/>
        <v>#REF!</v>
      </c>
      <c r="AG163" s="514" t="e">
        <f t="shared" si="51"/>
        <v>#REF!</v>
      </c>
      <c r="AH163" s="514" t="e">
        <f t="shared" si="51"/>
        <v>#REF!</v>
      </c>
      <c r="AI163" s="514" t="e">
        <f t="shared" si="51"/>
        <v>#REF!</v>
      </c>
      <c r="AJ163" s="514" t="e">
        <f t="shared" si="51"/>
        <v>#REF!</v>
      </c>
      <c r="AK163" s="514" t="e">
        <f t="shared" si="51"/>
        <v>#REF!</v>
      </c>
      <c r="AL163" s="514" t="e">
        <f t="shared" si="51"/>
        <v>#REF!</v>
      </c>
      <c r="AM163" s="514" t="e">
        <f t="shared" si="51"/>
        <v>#REF!</v>
      </c>
      <c r="AN163" s="514" t="e">
        <f t="shared" si="51"/>
        <v>#REF!</v>
      </c>
      <c r="AO163" s="514" t="e">
        <f t="shared" si="51"/>
        <v>#REF!</v>
      </c>
      <c r="AP163" s="514" t="e">
        <f t="shared" si="51"/>
        <v>#REF!</v>
      </c>
      <c r="AQ163" s="514" t="e">
        <f t="shared" si="51"/>
        <v>#REF!</v>
      </c>
      <c r="AR163" s="514" t="e">
        <f t="shared" si="51"/>
        <v>#REF!</v>
      </c>
      <c r="AS163" s="514" t="e">
        <f t="shared" si="51"/>
        <v>#REF!</v>
      </c>
    </row>
    <row r="164" spans="15:46">
      <c r="O164" s="478" t="str">
        <f t="shared" si="49"/>
        <v>Passenger trains</v>
      </c>
      <c r="P164" s="514">
        <f t="shared" ref="P164:AS164" si="52">(P114*P136*$D$103/100)+(P114*(100-$D$103)/100)</f>
        <v>9.2101198979936127E-3</v>
      </c>
      <c r="Q164" s="514" t="e">
        <f t="shared" si="52"/>
        <v>#REF!</v>
      </c>
      <c r="R164" s="514" t="e">
        <f t="shared" si="52"/>
        <v>#REF!</v>
      </c>
      <c r="S164" s="514" t="e">
        <f t="shared" si="52"/>
        <v>#REF!</v>
      </c>
      <c r="T164" s="514" t="e">
        <f t="shared" si="52"/>
        <v>#REF!</v>
      </c>
      <c r="U164" s="514" t="e">
        <f t="shared" si="52"/>
        <v>#REF!</v>
      </c>
      <c r="V164" s="514" t="e">
        <f t="shared" si="52"/>
        <v>#REF!</v>
      </c>
      <c r="W164" s="514" t="e">
        <f t="shared" si="52"/>
        <v>#REF!</v>
      </c>
      <c r="X164" s="514" t="e">
        <f t="shared" si="52"/>
        <v>#REF!</v>
      </c>
      <c r="Y164" s="514" t="e">
        <f t="shared" si="52"/>
        <v>#REF!</v>
      </c>
      <c r="Z164" s="514" t="e">
        <f t="shared" si="52"/>
        <v>#REF!</v>
      </c>
      <c r="AA164" s="514" t="e">
        <f t="shared" si="52"/>
        <v>#REF!</v>
      </c>
      <c r="AB164" s="514" t="e">
        <f t="shared" si="52"/>
        <v>#REF!</v>
      </c>
      <c r="AC164" s="514" t="e">
        <f t="shared" si="52"/>
        <v>#REF!</v>
      </c>
      <c r="AD164" s="514" t="e">
        <f t="shared" si="52"/>
        <v>#REF!</v>
      </c>
      <c r="AE164" s="514" t="e">
        <f t="shared" si="52"/>
        <v>#REF!</v>
      </c>
      <c r="AF164" s="514" t="e">
        <f t="shared" si="52"/>
        <v>#REF!</v>
      </c>
      <c r="AG164" s="514" t="e">
        <f t="shared" si="52"/>
        <v>#REF!</v>
      </c>
      <c r="AH164" s="514" t="e">
        <f t="shared" si="52"/>
        <v>#REF!</v>
      </c>
      <c r="AI164" s="514" t="e">
        <f t="shared" si="52"/>
        <v>#REF!</v>
      </c>
      <c r="AJ164" s="514" t="e">
        <f t="shared" si="52"/>
        <v>#REF!</v>
      </c>
      <c r="AK164" s="514" t="e">
        <f t="shared" si="52"/>
        <v>#REF!</v>
      </c>
      <c r="AL164" s="514" t="e">
        <f t="shared" si="52"/>
        <v>#REF!</v>
      </c>
      <c r="AM164" s="514" t="e">
        <f t="shared" si="52"/>
        <v>#REF!</v>
      </c>
      <c r="AN164" s="514" t="e">
        <f t="shared" si="52"/>
        <v>#REF!</v>
      </c>
      <c r="AO164" s="514" t="e">
        <f t="shared" si="52"/>
        <v>#REF!</v>
      </c>
      <c r="AP164" s="514" t="e">
        <f t="shared" si="52"/>
        <v>#REF!</v>
      </c>
      <c r="AQ164" s="514" t="e">
        <f t="shared" si="52"/>
        <v>#REF!</v>
      </c>
      <c r="AR164" s="514" t="e">
        <f t="shared" si="52"/>
        <v>#REF!</v>
      </c>
      <c r="AS164" s="514" t="e">
        <f t="shared" si="52"/>
        <v>#REF!</v>
      </c>
    </row>
    <row r="165" spans="15:46">
      <c r="O165" s="478" t="str">
        <f t="shared" si="49"/>
        <v>Rail freight</v>
      </c>
      <c r="P165" s="514" t="e">
        <f>P115*P146</f>
        <v>#REF!</v>
      </c>
      <c r="Q165" s="514" t="e">
        <f t="shared" ref="Q165:AS165" si="53">Q115*Q146</f>
        <v>#REF!</v>
      </c>
      <c r="R165" s="514" t="e">
        <f t="shared" si="53"/>
        <v>#REF!</v>
      </c>
      <c r="S165" s="514" t="e">
        <f t="shared" si="53"/>
        <v>#REF!</v>
      </c>
      <c r="T165" s="514" t="e">
        <f t="shared" si="53"/>
        <v>#REF!</v>
      </c>
      <c r="U165" s="514" t="e">
        <f t="shared" si="53"/>
        <v>#REF!</v>
      </c>
      <c r="V165" s="514" t="e">
        <f t="shared" si="53"/>
        <v>#REF!</v>
      </c>
      <c r="W165" s="514" t="e">
        <f t="shared" si="53"/>
        <v>#REF!</v>
      </c>
      <c r="X165" s="514" t="e">
        <f t="shared" si="53"/>
        <v>#REF!</v>
      </c>
      <c r="Y165" s="514" t="e">
        <f t="shared" si="53"/>
        <v>#REF!</v>
      </c>
      <c r="Z165" s="514" t="e">
        <f t="shared" si="53"/>
        <v>#REF!</v>
      </c>
      <c r="AA165" s="514" t="e">
        <f t="shared" si="53"/>
        <v>#REF!</v>
      </c>
      <c r="AB165" s="514" t="e">
        <f t="shared" si="53"/>
        <v>#REF!</v>
      </c>
      <c r="AC165" s="514" t="e">
        <f t="shared" si="53"/>
        <v>#REF!</v>
      </c>
      <c r="AD165" s="514" t="e">
        <f t="shared" si="53"/>
        <v>#REF!</v>
      </c>
      <c r="AE165" s="514" t="e">
        <f t="shared" si="53"/>
        <v>#REF!</v>
      </c>
      <c r="AF165" s="514" t="e">
        <f t="shared" si="53"/>
        <v>#REF!</v>
      </c>
      <c r="AG165" s="514" t="e">
        <f t="shared" si="53"/>
        <v>#REF!</v>
      </c>
      <c r="AH165" s="514" t="e">
        <f t="shared" si="53"/>
        <v>#REF!</v>
      </c>
      <c r="AI165" s="514" t="e">
        <f t="shared" si="53"/>
        <v>#REF!</v>
      </c>
      <c r="AJ165" s="514" t="e">
        <f t="shared" si="53"/>
        <v>#REF!</v>
      </c>
      <c r="AK165" s="514" t="e">
        <f t="shared" si="53"/>
        <v>#REF!</v>
      </c>
      <c r="AL165" s="514" t="e">
        <f t="shared" si="53"/>
        <v>#REF!</v>
      </c>
      <c r="AM165" s="514" t="e">
        <f t="shared" si="53"/>
        <v>#REF!</v>
      </c>
      <c r="AN165" s="514" t="e">
        <f t="shared" si="53"/>
        <v>#REF!</v>
      </c>
      <c r="AO165" s="514" t="e">
        <f t="shared" si="53"/>
        <v>#REF!</v>
      </c>
      <c r="AP165" s="514" t="e">
        <f t="shared" si="53"/>
        <v>#REF!</v>
      </c>
      <c r="AQ165" s="514" t="e">
        <f t="shared" si="53"/>
        <v>#REF!</v>
      </c>
      <c r="AR165" s="514" t="e">
        <f t="shared" si="53"/>
        <v>#REF!</v>
      </c>
      <c r="AS165" s="514" t="e">
        <f t="shared" si="53"/>
        <v>#REF!</v>
      </c>
    </row>
    <row r="166" spans="15:46">
      <c r="O166" s="478" t="str">
        <f t="shared" si="49"/>
        <v>Road freight</v>
      </c>
      <c r="P166" s="514" t="e">
        <f>P116*P154</f>
        <v>#REF!</v>
      </c>
      <c r="Q166" s="514" t="e">
        <f t="shared" ref="Q166:AS166" si="54">Q116*Q154</f>
        <v>#REF!</v>
      </c>
      <c r="R166" s="514" t="e">
        <f t="shared" si="54"/>
        <v>#REF!</v>
      </c>
      <c r="S166" s="514" t="e">
        <f t="shared" si="54"/>
        <v>#REF!</v>
      </c>
      <c r="T166" s="514" t="e">
        <f t="shared" si="54"/>
        <v>#REF!</v>
      </c>
      <c r="U166" s="514" t="e">
        <f t="shared" si="54"/>
        <v>#REF!</v>
      </c>
      <c r="V166" s="514" t="e">
        <f t="shared" si="54"/>
        <v>#REF!</v>
      </c>
      <c r="W166" s="514" t="e">
        <f t="shared" si="54"/>
        <v>#REF!</v>
      </c>
      <c r="X166" s="514" t="e">
        <f t="shared" si="54"/>
        <v>#REF!</v>
      </c>
      <c r="Y166" s="514" t="e">
        <f t="shared" si="54"/>
        <v>#REF!</v>
      </c>
      <c r="Z166" s="514" t="e">
        <f t="shared" si="54"/>
        <v>#REF!</v>
      </c>
      <c r="AA166" s="514" t="e">
        <f t="shared" si="54"/>
        <v>#REF!</v>
      </c>
      <c r="AB166" s="514" t="e">
        <f t="shared" si="54"/>
        <v>#REF!</v>
      </c>
      <c r="AC166" s="514" t="e">
        <f t="shared" si="54"/>
        <v>#REF!</v>
      </c>
      <c r="AD166" s="514" t="e">
        <f t="shared" si="54"/>
        <v>#REF!</v>
      </c>
      <c r="AE166" s="514" t="e">
        <f t="shared" si="54"/>
        <v>#REF!</v>
      </c>
      <c r="AF166" s="514" t="e">
        <f t="shared" si="54"/>
        <v>#REF!</v>
      </c>
      <c r="AG166" s="514" t="e">
        <f t="shared" si="54"/>
        <v>#REF!</v>
      </c>
      <c r="AH166" s="514" t="e">
        <f t="shared" si="54"/>
        <v>#REF!</v>
      </c>
      <c r="AI166" s="514" t="e">
        <f t="shared" si="54"/>
        <v>#REF!</v>
      </c>
      <c r="AJ166" s="514" t="e">
        <f t="shared" si="54"/>
        <v>#REF!</v>
      </c>
      <c r="AK166" s="514" t="e">
        <f t="shared" si="54"/>
        <v>#REF!</v>
      </c>
      <c r="AL166" s="514" t="e">
        <f t="shared" si="54"/>
        <v>#REF!</v>
      </c>
      <c r="AM166" s="514" t="e">
        <f t="shared" si="54"/>
        <v>#REF!</v>
      </c>
      <c r="AN166" s="514" t="e">
        <f t="shared" si="54"/>
        <v>#REF!</v>
      </c>
      <c r="AO166" s="514" t="e">
        <f t="shared" si="54"/>
        <v>#REF!</v>
      </c>
      <c r="AP166" s="514" t="e">
        <f t="shared" si="54"/>
        <v>#REF!</v>
      </c>
      <c r="AQ166" s="514" t="e">
        <f t="shared" si="54"/>
        <v>#REF!</v>
      </c>
      <c r="AR166" s="514" t="e">
        <f t="shared" si="54"/>
        <v>#REF!</v>
      </c>
      <c r="AS166" s="514" t="e">
        <f t="shared" si="54"/>
        <v>#REF!</v>
      </c>
    </row>
    <row r="167" spans="15:46">
      <c r="O167" s="478" t="str">
        <f t="shared" si="49"/>
        <v>Inland waterways freight</v>
      </c>
      <c r="P167" s="514" t="e">
        <f t="shared" ref="P167:AS167" si="55">P117*P150</f>
        <v>#REF!</v>
      </c>
      <c r="Q167" s="514" t="e">
        <f t="shared" si="55"/>
        <v>#REF!</v>
      </c>
      <c r="R167" s="514" t="e">
        <f t="shared" si="55"/>
        <v>#REF!</v>
      </c>
      <c r="S167" s="514" t="e">
        <f t="shared" si="55"/>
        <v>#REF!</v>
      </c>
      <c r="T167" s="514" t="e">
        <f t="shared" si="55"/>
        <v>#REF!</v>
      </c>
      <c r="U167" s="514" t="e">
        <f t="shared" si="55"/>
        <v>#REF!</v>
      </c>
      <c r="V167" s="514" t="e">
        <f t="shared" si="55"/>
        <v>#REF!</v>
      </c>
      <c r="W167" s="514" t="e">
        <f t="shared" si="55"/>
        <v>#REF!</v>
      </c>
      <c r="X167" s="514" t="e">
        <f t="shared" si="55"/>
        <v>#REF!</v>
      </c>
      <c r="Y167" s="514" t="e">
        <f t="shared" si="55"/>
        <v>#REF!</v>
      </c>
      <c r="Z167" s="514" t="e">
        <f t="shared" si="55"/>
        <v>#REF!</v>
      </c>
      <c r="AA167" s="514" t="e">
        <f t="shared" si="55"/>
        <v>#REF!</v>
      </c>
      <c r="AB167" s="514" t="e">
        <f t="shared" si="55"/>
        <v>#REF!</v>
      </c>
      <c r="AC167" s="514" t="e">
        <f t="shared" si="55"/>
        <v>#REF!</v>
      </c>
      <c r="AD167" s="514" t="e">
        <f t="shared" si="55"/>
        <v>#REF!</v>
      </c>
      <c r="AE167" s="514" t="e">
        <f t="shared" si="55"/>
        <v>#REF!</v>
      </c>
      <c r="AF167" s="514" t="e">
        <f t="shared" si="55"/>
        <v>#REF!</v>
      </c>
      <c r="AG167" s="514" t="e">
        <f t="shared" si="55"/>
        <v>#REF!</v>
      </c>
      <c r="AH167" s="514" t="e">
        <f t="shared" si="55"/>
        <v>#REF!</v>
      </c>
      <c r="AI167" s="514" t="e">
        <f t="shared" si="55"/>
        <v>#REF!</v>
      </c>
      <c r="AJ167" s="514" t="e">
        <f t="shared" si="55"/>
        <v>#REF!</v>
      </c>
      <c r="AK167" s="514" t="e">
        <f t="shared" si="55"/>
        <v>#REF!</v>
      </c>
      <c r="AL167" s="514" t="e">
        <f t="shared" si="55"/>
        <v>#REF!</v>
      </c>
      <c r="AM167" s="514" t="e">
        <f t="shared" si="55"/>
        <v>#REF!</v>
      </c>
      <c r="AN167" s="514" t="e">
        <f t="shared" si="55"/>
        <v>#REF!</v>
      </c>
      <c r="AO167" s="514" t="e">
        <f t="shared" si="55"/>
        <v>#REF!</v>
      </c>
      <c r="AP167" s="514" t="e">
        <f t="shared" si="55"/>
        <v>#REF!</v>
      </c>
      <c r="AQ167" s="514" t="e">
        <f t="shared" si="55"/>
        <v>#REF!</v>
      </c>
      <c r="AR167" s="514" t="e">
        <f t="shared" si="55"/>
        <v>#REF!</v>
      </c>
      <c r="AS167" s="514" t="e">
        <f t="shared" si="55"/>
        <v>#REF!</v>
      </c>
    </row>
    <row r="168" spans="15:46">
      <c r="O168" s="481" t="str">
        <f t="shared" si="49"/>
        <v>Total</v>
      </c>
      <c r="P168" s="493" t="e">
        <f>SUM(P160:P167)</f>
        <v>#REF!</v>
      </c>
      <c r="Q168" s="493" t="e">
        <f t="shared" ref="Q168:AS168" si="56">SUM(Q160:Q167)</f>
        <v>#REF!</v>
      </c>
      <c r="R168" s="493" t="e">
        <f t="shared" si="56"/>
        <v>#REF!</v>
      </c>
      <c r="S168" s="493" t="e">
        <f t="shared" si="56"/>
        <v>#REF!</v>
      </c>
      <c r="T168" s="493" t="e">
        <f t="shared" si="56"/>
        <v>#REF!</v>
      </c>
      <c r="U168" s="493" t="e">
        <f t="shared" si="56"/>
        <v>#REF!</v>
      </c>
      <c r="V168" s="493" t="e">
        <f t="shared" si="56"/>
        <v>#REF!</v>
      </c>
      <c r="W168" s="493" t="e">
        <f t="shared" si="56"/>
        <v>#REF!</v>
      </c>
      <c r="X168" s="493" t="e">
        <f t="shared" si="56"/>
        <v>#REF!</v>
      </c>
      <c r="Y168" s="493" t="e">
        <f t="shared" si="56"/>
        <v>#REF!</v>
      </c>
      <c r="Z168" s="493" t="e">
        <f t="shared" si="56"/>
        <v>#REF!</v>
      </c>
      <c r="AA168" s="493" t="e">
        <f t="shared" si="56"/>
        <v>#REF!</v>
      </c>
      <c r="AB168" s="493" t="e">
        <f t="shared" si="56"/>
        <v>#REF!</v>
      </c>
      <c r="AC168" s="493" t="e">
        <f t="shared" si="56"/>
        <v>#REF!</v>
      </c>
      <c r="AD168" s="493" t="e">
        <f t="shared" si="56"/>
        <v>#REF!</v>
      </c>
      <c r="AE168" s="493" t="e">
        <f t="shared" si="56"/>
        <v>#REF!</v>
      </c>
      <c r="AF168" s="493" t="e">
        <f t="shared" si="56"/>
        <v>#REF!</v>
      </c>
      <c r="AG168" s="493" t="e">
        <f t="shared" si="56"/>
        <v>#REF!</v>
      </c>
      <c r="AH168" s="493" t="e">
        <f t="shared" si="56"/>
        <v>#REF!</v>
      </c>
      <c r="AI168" s="493" t="e">
        <f t="shared" si="56"/>
        <v>#REF!</v>
      </c>
      <c r="AJ168" s="493" t="e">
        <f t="shared" si="56"/>
        <v>#REF!</v>
      </c>
      <c r="AK168" s="493" t="e">
        <f t="shared" si="56"/>
        <v>#REF!</v>
      </c>
      <c r="AL168" s="493" t="e">
        <f t="shared" si="56"/>
        <v>#REF!</v>
      </c>
      <c r="AM168" s="493" t="e">
        <f t="shared" si="56"/>
        <v>#REF!</v>
      </c>
      <c r="AN168" s="493" t="e">
        <f t="shared" si="56"/>
        <v>#REF!</v>
      </c>
      <c r="AO168" s="493" t="e">
        <f t="shared" si="56"/>
        <v>#REF!</v>
      </c>
      <c r="AP168" s="493" t="e">
        <f t="shared" si="56"/>
        <v>#REF!</v>
      </c>
      <c r="AQ168" s="493" t="e">
        <f t="shared" si="56"/>
        <v>#REF!</v>
      </c>
      <c r="AR168" s="493" t="e">
        <f t="shared" si="56"/>
        <v>#REF!</v>
      </c>
      <c r="AS168" s="493" t="e">
        <f t="shared" si="56"/>
        <v>#REF!</v>
      </c>
    </row>
    <row r="169" spans="15:46">
      <c r="O169" s="481" t="s">
        <v>564</v>
      </c>
      <c r="P169" s="489" t="e">
        <f t="shared" ref="P169:AS169" si="57">(P168-P118)/P118*100</f>
        <v>#REF!</v>
      </c>
      <c r="Q169" s="489" t="e">
        <f t="shared" si="57"/>
        <v>#REF!</v>
      </c>
      <c r="R169" s="489" t="e">
        <f t="shared" si="57"/>
        <v>#REF!</v>
      </c>
      <c r="S169" s="489" t="e">
        <f t="shared" si="57"/>
        <v>#REF!</v>
      </c>
      <c r="T169" s="489" t="e">
        <f t="shared" si="57"/>
        <v>#REF!</v>
      </c>
      <c r="U169" s="489" t="e">
        <f t="shared" si="57"/>
        <v>#REF!</v>
      </c>
      <c r="V169" s="489" t="e">
        <f t="shared" si="57"/>
        <v>#REF!</v>
      </c>
      <c r="W169" s="489" t="e">
        <f t="shared" si="57"/>
        <v>#REF!</v>
      </c>
      <c r="X169" s="489" t="e">
        <f t="shared" si="57"/>
        <v>#REF!</v>
      </c>
      <c r="Y169" s="489" t="e">
        <f t="shared" si="57"/>
        <v>#REF!</v>
      </c>
      <c r="Z169" s="489" t="e">
        <f t="shared" si="57"/>
        <v>#REF!</v>
      </c>
      <c r="AA169" s="489" t="e">
        <f t="shared" si="57"/>
        <v>#REF!</v>
      </c>
      <c r="AB169" s="489" t="e">
        <f t="shared" si="57"/>
        <v>#REF!</v>
      </c>
      <c r="AC169" s="489" t="e">
        <f t="shared" si="57"/>
        <v>#REF!</v>
      </c>
      <c r="AD169" s="489" t="e">
        <f t="shared" si="57"/>
        <v>#REF!</v>
      </c>
      <c r="AE169" s="489" t="e">
        <f t="shared" si="57"/>
        <v>#REF!</v>
      </c>
      <c r="AF169" s="489" t="e">
        <f t="shared" si="57"/>
        <v>#REF!</v>
      </c>
      <c r="AG169" s="489" t="e">
        <f t="shared" si="57"/>
        <v>#REF!</v>
      </c>
      <c r="AH169" s="489" t="e">
        <f t="shared" si="57"/>
        <v>#REF!</v>
      </c>
      <c r="AI169" s="489" t="e">
        <f t="shared" si="57"/>
        <v>#REF!</v>
      </c>
      <c r="AJ169" s="489" t="e">
        <f t="shared" si="57"/>
        <v>#REF!</v>
      </c>
      <c r="AK169" s="489" t="e">
        <f t="shared" si="57"/>
        <v>#REF!</v>
      </c>
      <c r="AL169" s="489" t="e">
        <f t="shared" si="57"/>
        <v>#REF!</v>
      </c>
      <c r="AM169" s="489" t="e">
        <f t="shared" si="57"/>
        <v>#REF!</v>
      </c>
      <c r="AN169" s="489" t="e">
        <f t="shared" si="57"/>
        <v>#REF!</v>
      </c>
      <c r="AO169" s="489" t="e">
        <f t="shared" si="57"/>
        <v>#REF!</v>
      </c>
      <c r="AP169" s="489" t="e">
        <f t="shared" si="57"/>
        <v>#REF!</v>
      </c>
      <c r="AQ169" s="489" t="e">
        <f t="shared" si="57"/>
        <v>#REF!</v>
      </c>
      <c r="AR169" s="489" t="e">
        <f t="shared" si="57"/>
        <v>#REF!</v>
      </c>
      <c r="AS169" s="489" t="e">
        <f t="shared" si="57"/>
        <v>#REF!</v>
      </c>
    </row>
    <row r="170" spans="15:46">
      <c r="O170" s="475"/>
      <c r="P170" s="475"/>
      <c r="Q170" s="475"/>
      <c r="R170" s="475"/>
      <c r="S170" s="475"/>
      <c r="T170" s="475"/>
      <c r="U170" s="475"/>
      <c r="V170" s="475"/>
      <c r="W170" s="475"/>
      <c r="X170" s="475"/>
      <c r="Y170" s="475"/>
      <c r="Z170" s="475"/>
      <c r="AA170" s="475"/>
      <c r="AB170" s="475"/>
      <c r="AC170" s="475"/>
      <c r="AD170" s="475"/>
      <c r="AE170" s="475"/>
      <c r="AF170" s="475"/>
      <c r="AG170" s="475"/>
      <c r="AH170" s="475"/>
      <c r="AI170" s="475"/>
      <c r="AJ170" s="475"/>
      <c r="AK170" s="475"/>
      <c r="AL170" s="475"/>
      <c r="AM170" s="475"/>
      <c r="AN170" s="475"/>
      <c r="AO170" s="475"/>
      <c r="AP170" s="475"/>
      <c r="AQ170" s="475"/>
      <c r="AR170" s="475"/>
      <c r="AS170" s="475"/>
    </row>
    <row r="171" spans="15:46">
      <c r="O171" s="472" t="s">
        <v>628</v>
      </c>
      <c r="P171" s="475"/>
      <c r="Q171" s="475"/>
      <c r="R171" s="475"/>
      <c r="S171" s="475"/>
      <c r="T171" s="475"/>
      <c r="U171" s="475"/>
      <c r="V171" s="475"/>
      <c r="W171" s="475"/>
      <c r="X171" s="475"/>
      <c r="Y171" s="475"/>
      <c r="Z171" s="475"/>
      <c r="AA171" s="475"/>
      <c r="AB171" s="475"/>
      <c r="AC171" s="475"/>
      <c r="AD171" s="475"/>
      <c r="AE171" s="475"/>
      <c r="AF171" s="475"/>
      <c r="AG171" s="475"/>
      <c r="AH171" s="475"/>
      <c r="AI171" s="475"/>
      <c r="AJ171" s="475"/>
      <c r="AK171" s="475"/>
      <c r="AL171" s="475"/>
      <c r="AM171" s="475"/>
      <c r="AN171" s="475"/>
      <c r="AO171" s="475"/>
      <c r="AP171" s="475"/>
      <c r="AQ171" s="475"/>
      <c r="AR171" s="475"/>
      <c r="AS171" s="475"/>
    </row>
    <row r="172" spans="15:46">
      <c r="O172" s="494" t="s">
        <v>588</v>
      </c>
      <c r="P172" s="483">
        <v>2021</v>
      </c>
      <c r="Q172" s="483">
        <f>P172+1</f>
        <v>2022</v>
      </c>
      <c r="R172" s="483">
        <f t="shared" ref="R172:AS172" si="58">Q172+1</f>
        <v>2023</v>
      </c>
      <c r="S172" s="483">
        <f t="shared" si="58"/>
        <v>2024</v>
      </c>
      <c r="T172" s="483">
        <f t="shared" si="58"/>
        <v>2025</v>
      </c>
      <c r="U172" s="483">
        <f t="shared" si="58"/>
        <v>2026</v>
      </c>
      <c r="V172" s="483">
        <f t="shared" si="58"/>
        <v>2027</v>
      </c>
      <c r="W172" s="483">
        <f t="shared" si="58"/>
        <v>2028</v>
      </c>
      <c r="X172" s="483">
        <f t="shared" si="58"/>
        <v>2029</v>
      </c>
      <c r="Y172" s="483">
        <f t="shared" si="58"/>
        <v>2030</v>
      </c>
      <c r="Z172" s="483">
        <f t="shared" si="58"/>
        <v>2031</v>
      </c>
      <c r="AA172" s="483">
        <f t="shared" si="58"/>
        <v>2032</v>
      </c>
      <c r="AB172" s="483">
        <f t="shared" si="58"/>
        <v>2033</v>
      </c>
      <c r="AC172" s="483">
        <f t="shared" si="58"/>
        <v>2034</v>
      </c>
      <c r="AD172" s="483">
        <f t="shared" si="58"/>
        <v>2035</v>
      </c>
      <c r="AE172" s="483">
        <f t="shared" si="58"/>
        <v>2036</v>
      </c>
      <c r="AF172" s="483">
        <f t="shared" si="58"/>
        <v>2037</v>
      </c>
      <c r="AG172" s="483">
        <f t="shared" si="58"/>
        <v>2038</v>
      </c>
      <c r="AH172" s="483">
        <f t="shared" si="58"/>
        <v>2039</v>
      </c>
      <c r="AI172" s="483">
        <f t="shared" si="58"/>
        <v>2040</v>
      </c>
      <c r="AJ172" s="483">
        <f t="shared" si="58"/>
        <v>2041</v>
      </c>
      <c r="AK172" s="483">
        <f t="shared" si="58"/>
        <v>2042</v>
      </c>
      <c r="AL172" s="483">
        <f t="shared" si="58"/>
        <v>2043</v>
      </c>
      <c r="AM172" s="483">
        <f t="shared" si="58"/>
        <v>2044</v>
      </c>
      <c r="AN172" s="483">
        <f t="shared" si="58"/>
        <v>2045</v>
      </c>
      <c r="AO172" s="483">
        <f t="shared" si="58"/>
        <v>2046</v>
      </c>
      <c r="AP172" s="483">
        <f t="shared" si="58"/>
        <v>2047</v>
      </c>
      <c r="AQ172" s="483">
        <f t="shared" si="58"/>
        <v>2048</v>
      </c>
      <c r="AR172" s="483">
        <f t="shared" si="58"/>
        <v>2049</v>
      </c>
      <c r="AS172" s="483">
        <f t="shared" si="58"/>
        <v>2050</v>
      </c>
    </row>
    <row r="173" spans="15:46">
      <c r="O173" s="484" t="str">
        <f>'LOCAL DATASET INPUTS'!A47</f>
        <v>Petroleum products</v>
      </c>
      <c r="P173" s="495">
        <f>'LOCAL DATASET INPUTS'!E47</f>
        <v>0.1</v>
      </c>
      <c r="Q173" s="496">
        <f>'LOCAL DATASET INPUTS'!F47</f>
        <v>0.1</v>
      </c>
      <c r="R173" s="496">
        <f>'LOCAL DATASET INPUTS'!G47</f>
        <v>0.1</v>
      </c>
      <c r="S173" s="496">
        <f>'LOCAL DATASET INPUTS'!H47</f>
        <v>0.1</v>
      </c>
      <c r="T173" s="496">
        <f>'LOCAL DATASET INPUTS'!I47</f>
        <v>0.1</v>
      </c>
      <c r="U173" s="496">
        <f>'LOCAL DATASET INPUTS'!J47</f>
        <v>0.1</v>
      </c>
      <c r="V173" s="496">
        <f>'LOCAL DATASET INPUTS'!K47</f>
        <v>0.1</v>
      </c>
      <c r="W173" s="496">
        <f>'LOCAL DATASET INPUTS'!L47</f>
        <v>0.1</v>
      </c>
      <c r="X173" s="496">
        <f>'LOCAL DATASET INPUTS'!M47</f>
        <v>0.1</v>
      </c>
      <c r="Y173" s="496">
        <f>'LOCAL DATASET INPUTS'!N47</f>
        <v>0.1</v>
      </c>
      <c r="Z173" s="496">
        <f>'LOCAL DATASET INPUTS'!O47</f>
        <v>0.1</v>
      </c>
      <c r="AA173" s="496">
        <f>'LOCAL DATASET INPUTS'!P47</f>
        <v>0.1</v>
      </c>
      <c r="AB173" s="496">
        <f>'LOCAL DATASET INPUTS'!Q47</f>
        <v>0.1</v>
      </c>
      <c r="AC173" s="496">
        <f>'LOCAL DATASET INPUTS'!R47</f>
        <v>0.1</v>
      </c>
      <c r="AD173" s="496">
        <f>'LOCAL DATASET INPUTS'!S47</f>
        <v>0.1</v>
      </c>
      <c r="AE173" s="496">
        <f>'LOCAL DATASET INPUTS'!T47</f>
        <v>0.1</v>
      </c>
      <c r="AF173" s="496">
        <f>'LOCAL DATASET INPUTS'!U47</f>
        <v>0.1</v>
      </c>
      <c r="AG173" s="496">
        <f>'LOCAL DATASET INPUTS'!V47</f>
        <v>0.1</v>
      </c>
      <c r="AH173" s="496">
        <f>'LOCAL DATASET INPUTS'!W47</f>
        <v>0.1</v>
      </c>
      <c r="AI173" s="496">
        <f>'LOCAL DATASET INPUTS'!X47</f>
        <v>0.1</v>
      </c>
      <c r="AJ173" s="496">
        <f>'LOCAL DATASET INPUTS'!Y47</f>
        <v>0.1</v>
      </c>
      <c r="AK173" s="496">
        <f>'LOCAL DATASET INPUTS'!Z47</f>
        <v>0.1</v>
      </c>
      <c r="AL173" s="496">
        <f>'LOCAL DATASET INPUTS'!AA47</f>
        <v>0.1</v>
      </c>
      <c r="AM173" s="496">
        <f>'LOCAL DATASET INPUTS'!AB47</f>
        <v>0.1</v>
      </c>
      <c r="AN173" s="496">
        <f>'LOCAL DATASET INPUTS'!AC47</f>
        <v>0.1</v>
      </c>
      <c r="AO173" s="496">
        <f>'LOCAL DATASET INPUTS'!AD47</f>
        <v>0.1</v>
      </c>
      <c r="AP173" s="496">
        <f>'LOCAL DATASET INPUTS'!AE47</f>
        <v>0.1</v>
      </c>
      <c r="AQ173" s="496">
        <f>'LOCAL DATASET INPUTS'!AF47</f>
        <v>0.1</v>
      </c>
      <c r="AR173" s="496">
        <f>'LOCAL DATASET INPUTS'!AG47</f>
        <v>0.1</v>
      </c>
      <c r="AS173" s="496">
        <f>'LOCAL DATASET INPUTS'!AH47</f>
        <v>0.1</v>
      </c>
      <c r="AT173" s="469"/>
    </row>
    <row r="174" spans="15:46">
      <c r="O174" s="518" t="s">
        <v>600</v>
      </c>
      <c r="P174" s="578">
        <f>IF((P172-2020)=$B$129,(($C$122-$P$173)/($C$129-$B$129+1)),0)</f>
        <v>0</v>
      </c>
      <c r="Q174" s="578">
        <f t="shared" ref="Q174:AS174" si="59">IF((Q172-2020)=$B$129,(($C$122-P173)/($C$129-$B$129+1)),P174)</f>
        <v>0</v>
      </c>
      <c r="R174" s="578">
        <f t="shared" si="59"/>
        <v>0</v>
      </c>
      <c r="S174" s="578">
        <f t="shared" si="59"/>
        <v>0</v>
      </c>
      <c r="T174" s="578">
        <f t="shared" si="59"/>
        <v>4.9000000000000004</v>
      </c>
      <c r="U174" s="578">
        <f t="shared" si="59"/>
        <v>4.9000000000000004</v>
      </c>
      <c r="V174" s="578">
        <f t="shared" si="59"/>
        <v>4.9000000000000004</v>
      </c>
      <c r="W174" s="578">
        <f t="shared" si="59"/>
        <v>4.9000000000000004</v>
      </c>
      <c r="X174" s="578">
        <f t="shared" si="59"/>
        <v>4.9000000000000004</v>
      </c>
      <c r="Y174" s="578">
        <f t="shared" si="59"/>
        <v>4.9000000000000004</v>
      </c>
      <c r="Z174" s="578">
        <f t="shared" si="59"/>
        <v>4.9000000000000004</v>
      </c>
      <c r="AA174" s="578">
        <f t="shared" si="59"/>
        <v>4.9000000000000004</v>
      </c>
      <c r="AB174" s="578">
        <f t="shared" si="59"/>
        <v>4.9000000000000004</v>
      </c>
      <c r="AC174" s="578">
        <f t="shared" si="59"/>
        <v>4.9000000000000004</v>
      </c>
      <c r="AD174" s="578">
        <f t="shared" si="59"/>
        <v>4.9000000000000004</v>
      </c>
      <c r="AE174" s="578">
        <f t="shared" si="59"/>
        <v>4.9000000000000004</v>
      </c>
      <c r="AF174" s="578">
        <f t="shared" si="59"/>
        <v>4.9000000000000004</v>
      </c>
      <c r="AG174" s="578">
        <f t="shared" si="59"/>
        <v>4.9000000000000004</v>
      </c>
      <c r="AH174" s="578">
        <f t="shared" si="59"/>
        <v>4.9000000000000004</v>
      </c>
      <c r="AI174" s="578">
        <f t="shared" si="59"/>
        <v>4.9000000000000004</v>
      </c>
      <c r="AJ174" s="578">
        <f t="shared" si="59"/>
        <v>4.9000000000000004</v>
      </c>
      <c r="AK174" s="578">
        <f t="shared" si="59"/>
        <v>4.9000000000000004</v>
      </c>
      <c r="AL174" s="578">
        <f t="shared" si="59"/>
        <v>4.9000000000000004</v>
      </c>
      <c r="AM174" s="578">
        <f t="shared" si="59"/>
        <v>4.9000000000000004</v>
      </c>
      <c r="AN174" s="578">
        <f t="shared" si="59"/>
        <v>4.9000000000000004</v>
      </c>
      <c r="AO174" s="578">
        <f t="shared" si="59"/>
        <v>4.9000000000000004</v>
      </c>
      <c r="AP174" s="578">
        <f t="shared" si="59"/>
        <v>4.9000000000000004</v>
      </c>
      <c r="AQ174" s="578">
        <f t="shared" si="59"/>
        <v>4.9000000000000004</v>
      </c>
      <c r="AR174" s="578">
        <f t="shared" si="59"/>
        <v>4.9000000000000004</v>
      </c>
      <c r="AS174" s="578">
        <f t="shared" si="59"/>
        <v>4.9000000000000004</v>
      </c>
      <c r="AT174" s="469"/>
    </row>
    <row r="175" spans="15:46">
      <c r="O175" s="523" t="s">
        <v>573</v>
      </c>
      <c r="P175" s="510">
        <f>IF(AND((P172-2019)&gt;$B$129,(P172-2021)&lt;$C$129),($P$173+(($C$122-$P$173)/($C$129-$B$129+1))),P173)</f>
        <v>0.1</v>
      </c>
      <c r="Q175" s="510">
        <f>IF(AND((Q172-2019)&gt;$B$129,(Q172-2021)&lt;$C$129),(P175+Q174),(P175*(Q173/P173)))</f>
        <v>0.1</v>
      </c>
      <c r="R175" s="510">
        <f t="shared" ref="R175:AS175" si="60">IF(AND((R172-2019)&gt;$B$129,(R172-2021)&lt;$C$129),(Q175+R174),(Q175*(R173/Q173)))</f>
        <v>0.1</v>
      </c>
      <c r="S175" s="510">
        <f t="shared" si="60"/>
        <v>0.1</v>
      </c>
      <c r="T175" s="511">
        <f t="shared" si="60"/>
        <v>5</v>
      </c>
      <c r="U175" s="511">
        <f t="shared" si="60"/>
        <v>5</v>
      </c>
      <c r="V175" s="510">
        <f t="shared" si="60"/>
        <v>5</v>
      </c>
      <c r="W175" s="511">
        <f t="shared" si="60"/>
        <v>5</v>
      </c>
      <c r="X175" s="511">
        <f t="shared" si="60"/>
        <v>5</v>
      </c>
      <c r="Y175" s="511">
        <f t="shared" si="60"/>
        <v>5</v>
      </c>
      <c r="Z175" s="511">
        <f t="shared" si="60"/>
        <v>5</v>
      </c>
      <c r="AA175" s="510">
        <f t="shared" si="60"/>
        <v>5</v>
      </c>
      <c r="AB175" s="511">
        <f t="shared" si="60"/>
        <v>5</v>
      </c>
      <c r="AC175" s="511">
        <f t="shared" si="60"/>
        <v>5</v>
      </c>
      <c r="AD175" s="510">
        <f t="shared" si="60"/>
        <v>5</v>
      </c>
      <c r="AE175" s="510">
        <f t="shared" si="60"/>
        <v>5</v>
      </c>
      <c r="AF175" s="510">
        <f t="shared" si="60"/>
        <v>5</v>
      </c>
      <c r="AG175" s="510">
        <f t="shared" si="60"/>
        <v>5</v>
      </c>
      <c r="AH175" s="510">
        <f t="shared" si="60"/>
        <v>5</v>
      </c>
      <c r="AI175" s="510">
        <f t="shared" si="60"/>
        <v>5</v>
      </c>
      <c r="AJ175" s="510">
        <f t="shared" si="60"/>
        <v>5</v>
      </c>
      <c r="AK175" s="510">
        <f t="shared" si="60"/>
        <v>5</v>
      </c>
      <c r="AL175" s="510">
        <f t="shared" si="60"/>
        <v>5</v>
      </c>
      <c r="AM175" s="510">
        <f t="shared" si="60"/>
        <v>5</v>
      </c>
      <c r="AN175" s="510">
        <f t="shared" si="60"/>
        <v>5</v>
      </c>
      <c r="AO175" s="510">
        <f t="shared" si="60"/>
        <v>5</v>
      </c>
      <c r="AP175" s="510">
        <f t="shared" si="60"/>
        <v>5</v>
      </c>
      <c r="AQ175" s="510">
        <f t="shared" si="60"/>
        <v>5</v>
      </c>
      <c r="AR175" s="510">
        <f t="shared" si="60"/>
        <v>5</v>
      </c>
      <c r="AS175" s="510">
        <f t="shared" si="60"/>
        <v>5</v>
      </c>
      <c r="AT175" s="469"/>
    </row>
    <row r="176" spans="15:46">
      <c r="O176" s="484" t="str">
        <f>'LOCAL DATASET INPUTS'!A48</f>
        <v>Liquefied Petroleum Gas (LPG)</v>
      </c>
      <c r="P176" s="495">
        <f>'LOCAL DATASET INPUTS'!E48</f>
        <v>0</v>
      </c>
      <c r="Q176" s="495">
        <f>'LOCAL DATASET INPUTS'!F48</f>
        <v>0</v>
      </c>
      <c r="R176" s="495">
        <f>'LOCAL DATASET INPUTS'!G48</f>
        <v>0</v>
      </c>
      <c r="S176" s="495">
        <f>'LOCAL DATASET INPUTS'!H48</f>
        <v>0</v>
      </c>
      <c r="T176" s="495">
        <f>'LOCAL DATASET INPUTS'!I48</f>
        <v>0</v>
      </c>
      <c r="U176" s="495">
        <f>'LOCAL DATASET INPUTS'!J48</f>
        <v>0</v>
      </c>
      <c r="V176" s="495">
        <f>'LOCAL DATASET INPUTS'!K48</f>
        <v>0</v>
      </c>
      <c r="W176" s="495">
        <f>'LOCAL DATASET INPUTS'!L48</f>
        <v>0</v>
      </c>
      <c r="X176" s="495">
        <f>'LOCAL DATASET INPUTS'!M48</f>
        <v>0</v>
      </c>
      <c r="Y176" s="495">
        <f>'LOCAL DATASET INPUTS'!N48</f>
        <v>0</v>
      </c>
      <c r="Z176" s="495">
        <f>'LOCAL DATASET INPUTS'!O48</f>
        <v>0</v>
      </c>
      <c r="AA176" s="495">
        <f>'LOCAL DATASET INPUTS'!P48</f>
        <v>0</v>
      </c>
      <c r="AB176" s="495">
        <f>'LOCAL DATASET INPUTS'!Q48</f>
        <v>0</v>
      </c>
      <c r="AC176" s="495">
        <f>'LOCAL DATASET INPUTS'!R48</f>
        <v>0</v>
      </c>
      <c r="AD176" s="495">
        <f>'LOCAL DATASET INPUTS'!S48</f>
        <v>0</v>
      </c>
      <c r="AE176" s="495">
        <f>'LOCAL DATASET INPUTS'!T48</f>
        <v>0</v>
      </c>
      <c r="AF176" s="495">
        <f>'LOCAL DATASET INPUTS'!U48</f>
        <v>0</v>
      </c>
      <c r="AG176" s="495">
        <f>'LOCAL DATASET INPUTS'!V48</f>
        <v>0</v>
      </c>
      <c r="AH176" s="495">
        <f>'LOCAL DATASET INPUTS'!W48</f>
        <v>0</v>
      </c>
      <c r="AI176" s="495">
        <f>'LOCAL DATASET INPUTS'!X48</f>
        <v>0</v>
      </c>
      <c r="AJ176" s="495">
        <f>'LOCAL DATASET INPUTS'!Y48</f>
        <v>0</v>
      </c>
      <c r="AK176" s="495">
        <f>'LOCAL DATASET INPUTS'!Z48</f>
        <v>0</v>
      </c>
      <c r="AL176" s="495">
        <f>'LOCAL DATASET INPUTS'!AA48</f>
        <v>0</v>
      </c>
      <c r="AM176" s="495">
        <f>'LOCAL DATASET INPUTS'!AB48</f>
        <v>0</v>
      </c>
      <c r="AN176" s="495">
        <f>'LOCAL DATASET INPUTS'!AC48</f>
        <v>0</v>
      </c>
      <c r="AO176" s="495">
        <f>'LOCAL DATASET INPUTS'!AD48</f>
        <v>0</v>
      </c>
      <c r="AP176" s="495">
        <f>'LOCAL DATASET INPUTS'!AE48</f>
        <v>0</v>
      </c>
      <c r="AQ176" s="495">
        <f>'LOCAL DATASET INPUTS'!AF48</f>
        <v>0</v>
      </c>
      <c r="AR176" s="495">
        <f>'LOCAL DATASET INPUTS'!AG48</f>
        <v>0</v>
      </c>
      <c r="AS176" s="495">
        <f>'LOCAL DATASET INPUTS'!AH48</f>
        <v>0</v>
      </c>
      <c r="AT176" s="469"/>
    </row>
    <row r="177" spans="1:46">
      <c r="O177" s="518" t="s">
        <v>600</v>
      </c>
      <c r="P177" s="578">
        <f>IF((P172-2020)=$B$129,(($C$123-$P$176)/($C$129-$B$129+1)),0)</f>
        <v>0</v>
      </c>
      <c r="Q177" s="578">
        <f t="shared" ref="Q177:AS177" si="61">IF((Q172-2020)=$B$129,(($C$123-P176)/($C$129-$B$129+1)),P177)</f>
        <v>0</v>
      </c>
      <c r="R177" s="578">
        <f t="shared" si="61"/>
        <v>0</v>
      </c>
      <c r="S177" s="578">
        <f t="shared" si="61"/>
        <v>0</v>
      </c>
      <c r="T177" s="578">
        <f t="shared" si="61"/>
        <v>5</v>
      </c>
      <c r="U177" s="578">
        <f t="shared" si="61"/>
        <v>5</v>
      </c>
      <c r="V177" s="578">
        <f t="shared" si="61"/>
        <v>5</v>
      </c>
      <c r="W177" s="578">
        <f t="shared" si="61"/>
        <v>5</v>
      </c>
      <c r="X177" s="578">
        <f t="shared" si="61"/>
        <v>5</v>
      </c>
      <c r="Y177" s="578">
        <f t="shared" si="61"/>
        <v>5</v>
      </c>
      <c r="Z177" s="578">
        <f t="shared" si="61"/>
        <v>5</v>
      </c>
      <c r="AA177" s="578">
        <f t="shared" si="61"/>
        <v>5</v>
      </c>
      <c r="AB177" s="578">
        <f t="shared" si="61"/>
        <v>5</v>
      </c>
      <c r="AC177" s="578">
        <f t="shared" si="61"/>
        <v>5</v>
      </c>
      <c r="AD177" s="578">
        <f t="shared" si="61"/>
        <v>5</v>
      </c>
      <c r="AE177" s="578">
        <f t="shared" si="61"/>
        <v>5</v>
      </c>
      <c r="AF177" s="578">
        <f t="shared" si="61"/>
        <v>5</v>
      </c>
      <c r="AG177" s="578">
        <f t="shared" si="61"/>
        <v>5</v>
      </c>
      <c r="AH177" s="578">
        <f t="shared" si="61"/>
        <v>5</v>
      </c>
      <c r="AI177" s="578">
        <f t="shared" si="61"/>
        <v>5</v>
      </c>
      <c r="AJ177" s="578">
        <f t="shared" si="61"/>
        <v>5</v>
      </c>
      <c r="AK177" s="578">
        <f t="shared" si="61"/>
        <v>5</v>
      </c>
      <c r="AL177" s="578">
        <f t="shared" si="61"/>
        <v>5</v>
      </c>
      <c r="AM177" s="578">
        <f t="shared" si="61"/>
        <v>5</v>
      </c>
      <c r="AN177" s="578">
        <f t="shared" si="61"/>
        <v>5</v>
      </c>
      <c r="AO177" s="578">
        <f t="shared" si="61"/>
        <v>5</v>
      </c>
      <c r="AP177" s="578">
        <f t="shared" si="61"/>
        <v>5</v>
      </c>
      <c r="AQ177" s="578">
        <f t="shared" si="61"/>
        <v>5</v>
      </c>
      <c r="AR177" s="578">
        <f t="shared" si="61"/>
        <v>5</v>
      </c>
      <c r="AS177" s="578">
        <f t="shared" si="61"/>
        <v>5</v>
      </c>
      <c r="AT177" s="469"/>
    </row>
    <row r="178" spans="1:46">
      <c r="O178" s="523" t="s">
        <v>573</v>
      </c>
      <c r="P178" s="511">
        <f>IF(AND((P172-2019)&gt;$B$129,(P172-2021)&lt;$C$129),($P$176+(($C$123-$P$176)/($C$129-$B$129+1))),P176)</f>
        <v>0</v>
      </c>
      <c r="Q178" s="511">
        <f>IF(AND((Q172-2019)&gt;$B$129,(Q172-2021)&lt;$C$129),(P178+Q177),(P178))</f>
        <v>0</v>
      </c>
      <c r="R178" s="511">
        <f t="shared" ref="R178:AS178" si="62">IF(AND((R172-2019)&gt;$B$129,(R172-2021)&lt;$C$129),(Q178+R177),(Q178))</f>
        <v>0</v>
      </c>
      <c r="S178" s="511">
        <f t="shared" si="62"/>
        <v>0</v>
      </c>
      <c r="T178" s="511">
        <f t="shared" si="62"/>
        <v>5</v>
      </c>
      <c r="U178" s="511">
        <f t="shared" si="62"/>
        <v>5</v>
      </c>
      <c r="V178" s="511">
        <f t="shared" si="62"/>
        <v>5</v>
      </c>
      <c r="W178" s="511">
        <f t="shared" si="62"/>
        <v>5</v>
      </c>
      <c r="X178" s="511">
        <f t="shared" si="62"/>
        <v>5</v>
      </c>
      <c r="Y178" s="511">
        <f t="shared" si="62"/>
        <v>5</v>
      </c>
      <c r="Z178" s="511">
        <f t="shared" si="62"/>
        <v>5</v>
      </c>
      <c r="AA178" s="511">
        <f t="shared" si="62"/>
        <v>5</v>
      </c>
      <c r="AB178" s="511">
        <f t="shared" si="62"/>
        <v>5</v>
      </c>
      <c r="AC178" s="511">
        <f t="shared" si="62"/>
        <v>5</v>
      </c>
      <c r="AD178" s="511">
        <f t="shared" si="62"/>
        <v>5</v>
      </c>
      <c r="AE178" s="511">
        <f t="shared" si="62"/>
        <v>5</v>
      </c>
      <c r="AF178" s="511">
        <f t="shared" si="62"/>
        <v>5</v>
      </c>
      <c r="AG178" s="511">
        <f t="shared" si="62"/>
        <v>5</v>
      </c>
      <c r="AH178" s="511">
        <f t="shared" si="62"/>
        <v>5</v>
      </c>
      <c r="AI178" s="511">
        <f t="shared" si="62"/>
        <v>5</v>
      </c>
      <c r="AJ178" s="511">
        <f t="shared" si="62"/>
        <v>5</v>
      </c>
      <c r="AK178" s="511">
        <f t="shared" si="62"/>
        <v>5</v>
      </c>
      <c r="AL178" s="511">
        <f t="shared" si="62"/>
        <v>5</v>
      </c>
      <c r="AM178" s="511">
        <f t="shared" si="62"/>
        <v>5</v>
      </c>
      <c r="AN178" s="511">
        <f t="shared" si="62"/>
        <v>5</v>
      </c>
      <c r="AO178" s="511">
        <f t="shared" si="62"/>
        <v>5</v>
      </c>
      <c r="AP178" s="511">
        <f t="shared" si="62"/>
        <v>5</v>
      </c>
      <c r="AQ178" s="511">
        <f t="shared" si="62"/>
        <v>5</v>
      </c>
      <c r="AR178" s="511">
        <f t="shared" si="62"/>
        <v>5</v>
      </c>
      <c r="AS178" s="511">
        <f t="shared" si="62"/>
        <v>5</v>
      </c>
      <c r="AT178" s="469"/>
    </row>
    <row r="179" spans="1:46">
      <c r="N179" s="86"/>
      <c r="O179" s="484" t="str">
        <f>'LOCAL DATASET INPUTS'!A50</f>
        <v>Natural Gas (CNG)</v>
      </c>
      <c r="P179" s="496">
        <f>'LOCAL DATASET INPUTS'!E50</f>
        <v>0</v>
      </c>
      <c r="Q179" s="496">
        <f>'LOCAL DATASET INPUTS'!F50</f>
        <v>0</v>
      </c>
      <c r="R179" s="496">
        <f>'LOCAL DATASET INPUTS'!G50</f>
        <v>0</v>
      </c>
      <c r="S179" s="496">
        <f>'LOCAL DATASET INPUTS'!H50</f>
        <v>0</v>
      </c>
      <c r="T179" s="496">
        <f>'LOCAL DATASET INPUTS'!I50</f>
        <v>0</v>
      </c>
      <c r="U179" s="496">
        <f>'LOCAL DATASET INPUTS'!J50</f>
        <v>0</v>
      </c>
      <c r="V179" s="496">
        <f>'LOCAL DATASET INPUTS'!K50</f>
        <v>0</v>
      </c>
      <c r="W179" s="496">
        <f>'LOCAL DATASET INPUTS'!L50</f>
        <v>0</v>
      </c>
      <c r="X179" s="496">
        <f>'LOCAL DATASET INPUTS'!M50</f>
        <v>0</v>
      </c>
      <c r="Y179" s="496">
        <f>'LOCAL DATASET INPUTS'!N50</f>
        <v>0</v>
      </c>
      <c r="Z179" s="496">
        <f>'LOCAL DATASET INPUTS'!O50</f>
        <v>0</v>
      </c>
      <c r="AA179" s="496">
        <f>'LOCAL DATASET INPUTS'!P50</f>
        <v>0</v>
      </c>
      <c r="AB179" s="496">
        <f>'LOCAL DATASET INPUTS'!Q50</f>
        <v>0</v>
      </c>
      <c r="AC179" s="496">
        <f>'LOCAL DATASET INPUTS'!R50</f>
        <v>0</v>
      </c>
      <c r="AD179" s="496">
        <f>'LOCAL DATASET INPUTS'!S50</f>
        <v>0</v>
      </c>
      <c r="AE179" s="496">
        <f>'LOCAL DATASET INPUTS'!T50</f>
        <v>0</v>
      </c>
      <c r="AF179" s="496">
        <f>'LOCAL DATASET INPUTS'!U50</f>
        <v>0</v>
      </c>
      <c r="AG179" s="496">
        <f>'LOCAL DATASET INPUTS'!V50</f>
        <v>0</v>
      </c>
      <c r="AH179" s="496">
        <f>'LOCAL DATASET INPUTS'!W50</f>
        <v>0</v>
      </c>
      <c r="AI179" s="496">
        <f>'LOCAL DATASET INPUTS'!X50</f>
        <v>0</v>
      </c>
      <c r="AJ179" s="496">
        <f>'LOCAL DATASET INPUTS'!Y50</f>
        <v>0</v>
      </c>
      <c r="AK179" s="496">
        <f>'LOCAL DATASET INPUTS'!Z50</f>
        <v>0</v>
      </c>
      <c r="AL179" s="496">
        <f>'LOCAL DATASET INPUTS'!AA50</f>
        <v>0</v>
      </c>
      <c r="AM179" s="496">
        <f>'LOCAL DATASET INPUTS'!AB50</f>
        <v>0</v>
      </c>
      <c r="AN179" s="496">
        <f>'LOCAL DATASET INPUTS'!AC50</f>
        <v>0</v>
      </c>
      <c r="AO179" s="496">
        <f>'LOCAL DATASET INPUTS'!AD50</f>
        <v>0</v>
      </c>
      <c r="AP179" s="496">
        <f>'LOCAL DATASET INPUTS'!AE50</f>
        <v>0</v>
      </c>
      <c r="AQ179" s="496">
        <f>'LOCAL DATASET INPUTS'!AF50</f>
        <v>0</v>
      </c>
      <c r="AR179" s="496">
        <f>'LOCAL DATASET INPUTS'!AG50</f>
        <v>0</v>
      </c>
      <c r="AS179" s="496">
        <f>'LOCAL DATASET INPUTS'!AH50</f>
        <v>0</v>
      </c>
      <c r="AT179" s="469"/>
    </row>
    <row r="180" spans="1:46">
      <c r="N180" s="86"/>
      <c r="O180" s="518" t="s">
        <v>600</v>
      </c>
      <c r="P180" s="578">
        <f>IF((P172-2020)=$B$129,(($C$124-$P$179)/($C$129-$B$129+1)),0)</f>
        <v>0</v>
      </c>
      <c r="Q180" s="578">
        <f t="shared" ref="Q180:AS180" si="63">IF((Q172-2020)=$B$129,(($C$124-P179)/($C$129-$B$129+1)),P180)</f>
        <v>0</v>
      </c>
      <c r="R180" s="578">
        <f t="shared" si="63"/>
        <v>0</v>
      </c>
      <c r="S180" s="578">
        <f t="shared" si="63"/>
        <v>0</v>
      </c>
      <c r="T180" s="578">
        <f t="shared" si="63"/>
        <v>5</v>
      </c>
      <c r="U180" s="578">
        <f t="shared" si="63"/>
        <v>5</v>
      </c>
      <c r="V180" s="578">
        <f t="shared" si="63"/>
        <v>5</v>
      </c>
      <c r="W180" s="578">
        <f t="shared" si="63"/>
        <v>5</v>
      </c>
      <c r="X180" s="578">
        <f t="shared" si="63"/>
        <v>5</v>
      </c>
      <c r="Y180" s="578">
        <f t="shared" si="63"/>
        <v>5</v>
      </c>
      <c r="Z180" s="578">
        <f t="shared" si="63"/>
        <v>5</v>
      </c>
      <c r="AA180" s="578">
        <f t="shared" si="63"/>
        <v>5</v>
      </c>
      <c r="AB180" s="578">
        <f t="shared" si="63"/>
        <v>5</v>
      </c>
      <c r="AC180" s="578">
        <f t="shared" si="63"/>
        <v>5</v>
      </c>
      <c r="AD180" s="578">
        <f t="shared" si="63"/>
        <v>5</v>
      </c>
      <c r="AE180" s="578">
        <f t="shared" si="63"/>
        <v>5</v>
      </c>
      <c r="AF180" s="578">
        <f t="shared" si="63"/>
        <v>5</v>
      </c>
      <c r="AG180" s="578">
        <f t="shared" si="63"/>
        <v>5</v>
      </c>
      <c r="AH180" s="578">
        <f t="shared" si="63"/>
        <v>5</v>
      </c>
      <c r="AI180" s="578">
        <f t="shared" si="63"/>
        <v>5</v>
      </c>
      <c r="AJ180" s="578">
        <f t="shared" si="63"/>
        <v>5</v>
      </c>
      <c r="AK180" s="578">
        <f t="shared" si="63"/>
        <v>5</v>
      </c>
      <c r="AL180" s="578">
        <f t="shared" si="63"/>
        <v>5</v>
      </c>
      <c r="AM180" s="578">
        <f t="shared" si="63"/>
        <v>5</v>
      </c>
      <c r="AN180" s="578">
        <f t="shared" si="63"/>
        <v>5</v>
      </c>
      <c r="AO180" s="578">
        <f t="shared" si="63"/>
        <v>5</v>
      </c>
      <c r="AP180" s="578">
        <f t="shared" si="63"/>
        <v>5</v>
      </c>
      <c r="AQ180" s="578">
        <f t="shared" si="63"/>
        <v>5</v>
      </c>
      <c r="AR180" s="578">
        <f t="shared" si="63"/>
        <v>5</v>
      </c>
      <c r="AS180" s="578">
        <f t="shared" si="63"/>
        <v>5</v>
      </c>
      <c r="AT180" s="469"/>
    </row>
    <row r="181" spans="1:46">
      <c r="N181" s="86"/>
      <c r="O181" s="523" t="s">
        <v>573</v>
      </c>
      <c r="P181" s="510">
        <f>IF(AND((P172-2019)&gt;$B$129,(P172-2021)&lt;$C$129),($P$179+(($C$124-$P$179)/($C$129-$B$129+1))),P179)</f>
        <v>0</v>
      </c>
      <c r="Q181" s="511" t="e">
        <f>IF(AND((Q172-2019)&gt;$B$129,(Q172-2021)&lt;$C$129),(P181+Q180),(P181*(Q179/P179)))</f>
        <v>#DIV/0!</v>
      </c>
      <c r="R181" s="511" t="e">
        <f t="shared" ref="R181:AS181" si="64">IF(AND((R172-2019)&gt;$B$129,(R172-2021)&lt;$C$129),(Q181+R180),(Q181*(R179/Q179)))</f>
        <v>#DIV/0!</v>
      </c>
      <c r="S181" s="511" t="e">
        <f t="shared" si="64"/>
        <v>#DIV/0!</v>
      </c>
      <c r="T181" s="511" t="e">
        <f t="shared" si="64"/>
        <v>#DIV/0!</v>
      </c>
      <c r="U181" s="511" t="e">
        <f t="shared" si="64"/>
        <v>#DIV/0!</v>
      </c>
      <c r="V181" s="511" t="e">
        <f t="shared" si="64"/>
        <v>#DIV/0!</v>
      </c>
      <c r="W181" s="511" t="e">
        <f t="shared" si="64"/>
        <v>#DIV/0!</v>
      </c>
      <c r="X181" s="511" t="e">
        <f t="shared" si="64"/>
        <v>#DIV/0!</v>
      </c>
      <c r="Y181" s="511" t="e">
        <f t="shared" si="64"/>
        <v>#DIV/0!</v>
      </c>
      <c r="Z181" s="511" t="e">
        <f t="shared" si="64"/>
        <v>#DIV/0!</v>
      </c>
      <c r="AA181" s="511" t="e">
        <f t="shared" si="64"/>
        <v>#DIV/0!</v>
      </c>
      <c r="AB181" s="511" t="e">
        <f t="shared" si="64"/>
        <v>#DIV/0!</v>
      </c>
      <c r="AC181" s="511" t="e">
        <f t="shared" si="64"/>
        <v>#DIV/0!</v>
      </c>
      <c r="AD181" s="511" t="e">
        <f t="shared" si="64"/>
        <v>#DIV/0!</v>
      </c>
      <c r="AE181" s="511" t="e">
        <f t="shared" si="64"/>
        <v>#DIV/0!</v>
      </c>
      <c r="AF181" s="511" t="e">
        <f t="shared" si="64"/>
        <v>#DIV/0!</v>
      </c>
      <c r="AG181" s="511" t="e">
        <f t="shared" si="64"/>
        <v>#DIV/0!</v>
      </c>
      <c r="AH181" s="511" t="e">
        <f t="shared" si="64"/>
        <v>#DIV/0!</v>
      </c>
      <c r="AI181" s="511" t="e">
        <f t="shared" si="64"/>
        <v>#DIV/0!</v>
      </c>
      <c r="AJ181" s="511" t="e">
        <f t="shared" si="64"/>
        <v>#DIV/0!</v>
      </c>
      <c r="AK181" s="511" t="e">
        <f t="shared" si="64"/>
        <v>#DIV/0!</v>
      </c>
      <c r="AL181" s="511" t="e">
        <f t="shared" si="64"/>
        <v>#DIV/0!</v>
      </c>
      <c r="AM181" s="511" t="e">
        <f t="shared" si="64"/>
        <v>#DIV/0!</v>
      </c>
      <c r="AN181" s="511" t="e">
        <f t="shared" si="64"/>
        <v>#DIV/0!</v>
      </c>
      <c r="AO181" s="511" t="e">
        <f t="shared" si="64"/>
        <v>#DIV/0!</v>
      </c>
      <c r="AP181" s="511" t="e">
        <f t="shared" si="64"/>
        <v>#DIV/0!</v>
      </c>
      <c r="AQ181" s="511" t="e">
        <f t="shared" si="64"/>
        <v>#DIV/0!</v>
      </c>
      <c r="AR181" s="511" t="e">
        <f t="shared" si="64"/>
        <v>#DIV/0!</v>
      </c>
      <c r="AS181" s="511" t="e">
        <f t="shared" si="64"/>
        <v>#DIV/0!</v>
      </c>
      <c r="AT181" s="469"/>
    </row>
    <row r="182" spans="1:46">
      <c r="N182" s="86"/>
      <c r="O182" s="484" t="str">
        <f>'LOCAL DATASET INPUTS'!A52</f>
        <v>Electricity</v>
      </c>
      <c r="P182" s="495">
        <f>'LOCAL DATASET INPUTS'!E52</f>
        <v>0.22</v>
      </c>
      <c r="Q182" s="495">
        <f>'LOCAL DATASET INPUTS'!F52</f>
        <v>0.24</v>
      </c>
      <c r="R182" s="495">
        <f>'LOCAL DATASET INPUTS'!G52</f>
        <v>0.26</v>
      </c>
      <c r="S182" s="495">
        <f>'LOCAL DATASET INPUTS'!H52</f>
        <v>0.28000000000000003</v>
      </c>
      <c r="T182" s="495">
        <f>'LOCAL DATASET INPUTS'!I52</f>
        <v>0.30000000000000004</v>
      </c>
      <c r="U182" s="495">
        <f>'LOCAL DATASET INPUTS'!J52</f>
        <v>0.38</v>
      </c>
      <c r="V182" s="495">
        <f>'LOCAL DATASET INPUTS'!K52</f>
        <v>0.45999999999999996</v>
      </c>
      <c r="W182" s="495">
        <f>'LOCAL DATASET INPUTS'!L52</f>
        <v>0.53999999999999992</v>
      </c>
      <c r="X182" s="495">
        <f>'LOCAL DATASET INPUTS'!M52</f>
        <v>0.61999999999999988</v>
      </c>
      <c r="Y182" s="495">
        <f>'LOCAL DATASET INPUTS'!N52</f>
        <v>0.69999999999999984</v>
      </c>
      <c r="Z182" s="495">
        <f>'LOCAL DATASET INPUTS'!O52</f>
        <v>0.7599999999999999</v>
      </c>
      <c r="AA182" s="495">
        <f>'LOCAL DATASET INPUTS'!P52</f>
        <v>0.82</v>
      </c>
      <c r="AB182" s="495">
        <f>'LOCAL DATASET INPUTS'!Q52</f>
        <v>0.88</v>
      </c>
      <c r="AC182" s="495">
        <f>'LOCAL DATASET INPUTS'!R52</f>
        <v>0.94000000000000006</v>
      </c>
      <c r="AD182" s="495">
        <f>'LOCAL DATASET INPUTS'!S52</f>
        <v>1</v>
      </c>
      <c r="AE182" s="495">
        <f>'LOCAL DATASET INPUTS'!T52</f>
        <v>1.06</v>
      </c>
      <c r="AF182" s="495">
        <f>'LOCAL DATASET INPUTS'!U52</f>
        <v>1.1200000000000001</v>
      </c>
      <c r="AG182" s="495">
        <f>'LOCAL DATASET INPUTS'!V52</f>
        <v>1.1800000000000002</v>
      </c>
      <c r="AH182" s="495">
        <f>'LOCAL DATASET INPUTS'!W52</f>
        <v>1.2400000000000002</v>
      </c>
      <c r="AI182" s="495">
        <f>'LOCAL DATASET INPUTS'!X52</f>
        <v>1.3000000000000003</v>
      </c>
      <c r="AJ182" s="495">
        <f>'LOCAL DATASET INPUTS'!Y52</f>
        <v>1.3600000000000003</v>
      </c>
      <c r="AK182" s="495">
        <f>'LOCAL DATASET INPUTS'!Z52</f>
        <v>1.4200000000000004</v>
      </c>
      <c r="AL182" s="495">
        <f>'LOCAL DATASET INPUTS'!AA52</f>
        <v>1.4800000000000004</v>
      </c>
      <c r="AM182" s="495">
        <f>'LOCAL DATASET INPUTS'!AB52</f>
        <v>1.5400000000000005</v>
      </c>
      <c r="AN182" s="495">
        <f>'LOCAL DATASET INPUTS'!AC52</f>
        <v>1.6000000000000005</v>
      </c>
      <c r="AO182" s="495">
        <f>'LOCAL DATASET INPUTS'!AD52</f>
        <v>1.6600000000000006</v>
      </c>
      <c r="AP182" s="495">
        <f>'LOCAL DATASET INPUTS'!AE52</f>
        <v>1.7200000000000006</v>
      </c>
      <c r="AQ182" s="495">
        <f>'LOCAL DATASET INPUTS'!AF52</f>
        <v>1.7800000000000007</v>
      </c>
      <c r="AR182" s="495">
        <f>'LOCAL DATASET INPUTS'!AG52</f>
        <v>1.8400000000000007</v>
      </c>
      <c r="AS182" s="495">
        <f>'LOCAL DATASET INPUTS'!AH52</f>
        <v>1.9000000000000008</v>
      </c>
      <c r="AT182" s="469"/>
    </row>
    <row r="183" spans="1:46">
      <c r="N183" s="86"/>
      <c r="O183" s="518" t="s">
        <v>600</v>
      </c>
      <c r="P183" s="578">
        <f>IF((P172-2020)=$B$129,(($C$125-$P$182)/($C$129-$B$129+1)),0)</f>
        <v>0</v>
      </c>
      <c r="Q183" s="578">
        <f t="shared" ref="Q183:AS183" si="65">IF((Q172-2020)=$B$129,(($C$125-P182)/($C$129-$B$129+1)),P183)</f>
        <v>0</v>
      </c>
      <c r="R183" s="578">
        <f t="shared" si="65"/>
        <v>0</v>
      </c>
      <c r="S183" s="578">
        <f t="shared" si="65"/>
        <v>0</v>
      </c>
      <c r="T183" s="578">
        <f t="shared" si="65"/>
        <v>44.72</v>
      </c>
      <c r="U183" s="578">
        <f t="shared" si="65"/>
        <v>44.72</v>
      </c>
      <c r="V183" s="578">
        <f t="shared" si="65"/>
        <v>44.72</v>
      </c>
      <c r="W183" s="578">
        <f t="shared" si="65"/>
        <v>44.72</v>
      </c>
      <c r="X183" s="578">
        <f t="shared" si="65"/>
        <v>44.72</v>
      </c>
      <c r="Y183" s="578">
        <f t="shared" si="65"/>
        <v>44.72</v>
      </c>
      <c r="Z183" s="578">
        <f t="shared" si="65"/>
        <v>44.72</v>
      </c>
      <c r="AA183" s="578">
        <f t="shared" si="65"/>
        <v>44.72</v>
      </c>
      <c r="AB183" s="578">
        <f t="shared" si="65"/>
        <v>44.72</v>
      </c>
      <c r="AC183" s="578">
        <f t="shared" si="65"/>
        <v>44.72</v>
      </c>
      <c r="AD183" s="578">
        <f t="shared" si="65"/>
        <v>44.72</v>
      </c>
      <c r="AE183" s="578">
        <f t="shared" si="65"/>
        <v>44.72</v>
      </c>
      <c r="AF183" s="578">
        <f t="shared" si="65"/>
        <v>44.72</v>
      </c>
      <c r="AG183" s="578">
        <f t="shared" si="65"/>
        <v>44.72</v>
      </c>
      <c r="AH183" s="578">
        <f t="shared" si="65"/>
        <v>44.72</v>
      </c>
      <c r="AI183" s="578">
        <f t="shared" si="65"/>
        <v>44.72</v>
      </c>
      <c r="AJ183" s="578">
        <f t="shared" si="65"/>
        <v>44.72</v>
      </c>
      <c r="AK183" s="578">
        <f t="shared" si="65"/>
        <v>44.72</v>
      </c>
      <c r="AL183" s="578">
        <f t="shared" si="65"/>
        <v>44.72</v>
      </c>
      <c r="AM183" s="578">
        <f t="shared" si="65"/>
        <v>44.72</v>
      </c>
      <c r="AN183" s="578">
        <f t="shared" si="65"/>
        <v>44.72</v>
      </c>
      <c r="AO183" s="578">
        <f t="shared" si="65"/>
        <v>44.72</v>
      </c>
      <c r="AP183" s="578">
        <f t="shared" si="65"/>
        <v>44.72</v>
      </c>
      <c r="AQ183" s="578">
        <f t="shared" si="65"/>
        <v>44.72</v>
      </c>
      <c r="AR183" s="578">
        <f t="shared" si="65"/>
        <v>44.72</v>
      </c>
      <c r="AS183" s="578">
        <f t="shared" si="65"/>
        <v>44.72</v>
      </c>
      <c r="AT183" s="7"/>
    </row>
    <row r="184" spans="1:46">
      <c r="N184" s="86"/>
      <c r="O184" s="523" t="s">
        <v>573</v>
      </c>
      <c r="P184" s="511">
        <f>IF(AND((P172-2019)&gt;$B$129,(P172-2021)&lt;$C$129),($P$182+(($C$125-$P$182)/($C$129-$B$129+1))),P182)</f>
        <v>0.22</v>
      </c>
      <c r="Q184" s="511">
        <f>IF(AND((Q172-2019)&gt;$B$129,(Q172-2021)&lt;$C$129),(P184+Q183),P184)</f>
        <v>0.22</v>
      </c>
      <c r="R184" s="511">
        <f t="shared" ref="R184:AS184" si="66">IF(AND((R172-2019)&gt;$B$129,(R172-2021)&lt;$C$129),(Q184+R183),Q184)</f>
        <v>0.22</v>
      </c>
      <c r="S184" s="511">
        <f t="shared" si="66"/>
        <v>0.22</v>
      </c>
      <c r="T184" s="511">
        <f t="shared" si="66"/>
        <v>44.94</v>
      </c>
      <c r="U184" s="511">
        <f t="shared" si="66"/>
        <v>44.94</v>
      </c>
      <c r="V184" s="511">
        <f t="shared" si="66"/>
        <v>44.94</v>
      </c>
      <c r="W184" s="511">
        <f t="shared" si="66"/>
        <v>44.94</v>
      </c>
      <c r="X184" s="511">
        <f t="shared" si="66"/>
        <v>44.94</v>
      </c>
      <c r="Y184" s="511">
        <f t="shared" si="66"/>
        <v>44.94</v>
      </c>
      <c r="Z184" s="511">
        <f t="shared" si="66"/>
        <v>44.94</v>
      </c>
      <c r="AA184" s="511">
        <f t="shared" si="66"/>
        <v>44.94</v>
      </c>
      <c r="AB184" s="511">
        <f t="shared" si="66"/>
        <v>44.94</v>
      </c>
      <c r="AC184" s="511">
        <f t="shared" si="66"/>
        <v>44.94</v>
      </c>
      <c r="AD184" s="511">
        <f t="shared" si="66"/>
        <v>44.94</v>
      </c>
      <c r="AE184" s="511">
        <f t="shared" si="66"/>
        <v>44.94</v>
      </c>
      <c r="AF184" s="511">
        <f t="shared" si="66"/>
        <v>44.94</v>
      </c>
      <c r="AG184" s="511">
        <f t="shared" si="66"/>
        <v>44.94</v>
      </c>
      <c r="AH184" s="511">
        <f t="shared" si="66"/>
        <v>44.94</v>
      </c>
      <c r="AI184" s="511">
        <f t="shared" si="66"/>
        <v>44.94</v>
      </c>
      <c r="AJ184" s="511">
        <f t="shared" si="66"/>
        <v>44.94</v>
      </c>
      <c r="AK184" s="511">
        <f t="shared" si="66"/>
        <v>44.94</v>
      </c>
      <c r="AL184" s="511">
        <f t="shared" si="66"/>
        <v>44.94</v>
      </c>
      <c r="AM184" s="511">
        <f t="shared" si="66"/>
        <v>44.94</v>
      </c>
      <c r="AN184" s="511">
        <f t="shared" si="66"/>
        <v>44.94</v>
      </c>
      <c r="AO184" s="511">
        <f t="shared" si="66"/>
        <v>44.94</v>
      </c>
      <c r="AP184" s="511">
        <f t="shared" si="66"/>
        <v>44.94</v>
      </c>
      <c r="AQ184" s="511">
        <f t="shared" si="66"/>
        <v>44.94</v>
      </c>
      <c r="AR184" s="511">
        <f t="shared" si="66"/>
        <v>44.94</v>
      </c>
      <c r="AS184" s="511">
        <f t="shared" si="66"/>
        <v>44.94</v>
      </c>
      <c r="AT184" s="469"/>
    </row>
    <row r="185" spans="1:46">
      <c r="N185" s="86"/>
      <c r="O185" s="484" t="str">
        <f>'LOCAL DATASET INPUTS'!A49</f>
        <v>Diesel</v>
      </c>
      <c r="P185" s="495">
        <f>'LOCAL DATASET INPUTS'!E49</f>
        <v>99.68</v>
      </c>
      <c r="Q185" s="496">
        <f>'LOCAL DATASET INPUTS'!F49</f>
        <v>99.66</v>
      </c>
      <c r="R185" s="496">
        <f>'LOCAL DATASET INPUTS'!G49</f>
        <v>99.64</v>
      </c>
      <c r="S185" s="496">
        <f>'LOCAL DATASET INPUTS'!H49</f>
        <v>99.62</v>
      </c>
      <c r="T185" s="496">
        <f>'LOCAL DATASET INPUTS'!I49</f>
        <v>99.6</v>
      </c>
      <c r="U185" s="496">
        <f>'LOCAL DATASET INPUTS'!J49</f>
        <v>99.52</v>
      </c>
      <c r="V185" s="496">
        <f>'LOCAL DATASET INPUTS'!K49</f>
        <v>99.44</v>
      </c>
      <c r="W185" s="496">
        <f>'LOCAL DATASET INPUTS'!L49</f>
        <v>99.36</v>
      </c>
      <c r="X185" s="496">
        <f>'LOCAL DATASET INPUTS'!M49</f>
        <v>99.28</v>
      </c>
      <c r="Y185" s="496">
        <f>'LOCAL DATASET INPUTS'!N49</f>
        <v>99.2</v>
      </c>
      <c r="Z185" s="496">
        <f>'LOCAL DATASET INPUTS'!O49</f>
        <v>99.14</v>
      </c>
      <c r="AA185" s="496">
        <f>'LOCAL DATASET INPUTS'!P49</f>
        <v>99.08</v>
      </c>
      <c r="AB185" s="496">
        <f>'LOCAL DATASET INPUTS'!Q49</f>
        <v>99.02</v>
      </c>
      <c r="AC185" s="496">
        <f>'LOCAL DATASET INPUTS'!R49</f>
        <v>98.96</v>
      </c>
      <c r="AD185" s="496">
        <f>'LOCAL DATASET INPUTS'!S49</f>
        <v>98.9</v>
      </c>
      <c r="AE185" s="496">
        <f>'LOCAL DATASET INPUTS'!T49</f>
        <v>98.84</v>
      </c>
      <c r="AF185" s="496">
        <f>'LOCAL DATASET INPUTS'!U49</f>
        <v>98.78</v>
      </c>
      <c r="AG185" s="496">
        <f>'LOCAL DATASET INPUTS'!V49</f>
        <v>98.72</v>
      </c>
      <c r="AH185" s="496">
        <f>'LOCAL DATASET INPUTS'!W49</f>
        <v>98.66</v>
      </c>
      <c r="AI185" s="496">
        <f>'LOCAL DATASET INPUTS'!X49</f>
        <v>98.6</v>
      </c>
      <c r="AJ185" s="496">
        <f>'LOCAL DATASET INPUTS'!Y49</f>
        <v>98.54</v>
      </c>
      <c r="AK185" s="496">
        <f>'LOCAL DATASET INPUTS'!Z49</f>
        <v>98.48</v>
      </c>
      <c r="AL185" s="496">
        <f>'LOCAL DATASET INPUTS'!AA49</f>
        <v>98.42</v>
      </c>
      <c r="AM185" s="496">
        <f>'LOCAL DATASET INPUTS'!AB49</f>
        <v>98.36</v>
      </c>
      <c r="AN185" s="496">
        <f>'LOCAL DATASET INPUTS'!AC49</f>
        <v>98.3</v>
      </c>
      <c r="AO185" s="496">
        <f>'LOCAL DATASET INPUTS'!AD49</f>
        <v>98.24</v>
      </c>
      <c r="AP185" s="496">
        <f>'LOCAL DATASET INPUTS'!AE49</f>
        <v>98.179999999999993</v>
      </c>
      <c r="AQ185" s="496">
        <f>'LOCAL DATASET INPUTS'!AF49</f>
        <v>98.12</v>
      </c>
      <c r="AR185" s="496">
        <f>'LOCAL DATASET INPUTS'!AG49</f>
        <v>98.06</v>
      </c>
      <c r="AS185" s="496">
        <f>'LOCAL DATASET INPUTS'!AH49</f>
        <v>98</v>
      </c>
      <c r="AT185" s="469"/>
    </row>
    <row r="186" spans="1:46" ht="15.75" thickBot="1">
      <c r="N186" s="86"/>
      <c r="O186" s="485" t="s">
        <v>573</v>
      </c>
      <c r="P186" s="491">
        <f t="shared" ref="P186:AS186" si="67">100-(P175+P178+P181+P184)</f>
        <v>99.68</v>
      </c>
      <c r="Q186" s="491" t="e">
        <f t="shared" si="67"/>
        <v>#DIV/0!</v>
      </c>
      <c r="R186" s="491" t="e">
        <f t="shared" si="67"/>
        <v>#DIV/0!</v>
      </c>
      <c r="S186" s="491" t="e">
        <f t="shared" si="67"/>
        <v>#DIV/0!</v>
      </c>
      <c r="T186" s="491" t="e">
        <f t="shared" si="67"/>
        <v>#DIV/0!</v>
      </c>
      <c r="U186" s="491" t="e">
        <f t="shared" si="67"/>
        <v>#DIV/0!</v>
      </c>
      <c r="V186" s="491" t="e">
        <f t="shared" si="67"/>
        <v>#DIV/0!</v>
      </c>
      <c r="W186" s="491" t="e">
        <f t="shared" si="67"/>
        <v>#DIV/0!</v>
      </c>
      <c r="X186" s="491" t="e">
        <f t="shared" si="67"/>
        <v>#DIV/0!</v>
      </c>
      <c r="Y186" s="491" t="e">
        <f t="shared" si="67"/>
        <v>#DIV/0!</v>
      </c>
      <c r="Z186" s="491" t="e">
        <f t="shared" si="67"/>
        <v>#DIV/0!</v>
      </c>
      <c r="AA186" s="491" t="e">
        <f t="shared" si="67"/>
        <v>#DIV/0!</v>
      </c>
      <c r="AB186" s="491" t="e">
        <f t="shared" si="67"/>
        <v>#DIV/0!</v>
      </c>
      <c r="AC186" s="491" t="e">
        <f t="shared" si="67"/>
        <v>#DIV/0!</v>
      </c>
      <c r="AD186" s="491" t="e">
        <f t="shared" si="67"/>
        <v>#DIV/0!</v>
      </c>
      <c r="AE186" s="491" t="e">
        <f t="shared" si="67"/>
        <v>#DIV/0!</v>
      </c>
      <c r="AF186" s="491" t="e">
        <f t="shared" si="67"/>
        <v>#DIV/0!</v>
      </c>
      <c r="AG186" s="491" t="e">
        <f t="shared" si="67"/>
        <v>#DIV/0!</v>
      </c>
      <c r="AH186" s="491" t="e">
        <f t="shared" si="67"/>
        <v>#DIV/0!</v>
      </c>
      <c r="AI186" s="491" t="e">
        <f t="shared" si="67"/>
        <v>#DIV/0!</v>
      </c>
      <c r="AJ186" s="491" t="e">
        <f t="shared" si="67"/>
        <v>#DIV/0!</v>
      </c>
      <c r="AK186" s="491" t="e">
        <f t="shared" si="67"/>
        <v>#DIV/0!</v>
      </c>
      <c r="AL186" s="491" t="e">
        <f t="shared" si="67"/>
        <v>#DIV/0!</v>
      </c>
      <c r="AM186" s="491" t="e">
        <f t="shared" si="67"/>
        <v>#DIV/0!</v>
      </c>
      <c r="AN186" s="491" t="e">
        <f t="shared" si="67"/>
        <v>#DIV/0!</v>
      </c>
      <c r="AO186" s="491" t="e">
        <f t="shared" si="67"/>
        <v>#DIV/0!</v>
      </c>
      <c r="AP186" s="491" t="e">
        <f t="shared" si="67"/>
        <v>#DIV/0!</v>
      </c>
      <c r="AQ186" s="491" t="e">
        <f t="shared" si="67"/>
        <v>#DIV/0!</v>
      </c>
      <c r="AR186" s="491" t="e">
        <f t="shared" si="67"/>
        <v>#DIV/0!</v>
      </c>
      <c r="AS186" s="491" t="e">
        <f t="shared" si="67"/>
        <v>#DIV/0!</v>
      </c>
    </row>
    <row r="187" spans="1:46" ht="19.5" thickBot="1">
      <c r="A187" s="760" t="s">
        <v>122</v>
      </c>
      <c r="B187" s="761"/>
      <c r="C187" s="761"/>
      <c r="D187" s="762"/>
      <c r="O187" s="475"/>
      <c r="P187" s="475"/>
      <c r="Q187" s="475"/>
      <c r="R187" s="475"/>
      <c r="S187" s="475"/>
      <c r="T187" s="475"/>
      <c r="U187" s="475"/>
      <c r="V187" s="475"/>
      <c r="W187" s="475"/>
      <c r="X187" s="475"/>
      <c r="Y187" s="475"/>
      <c r="Z187" s="475"/>
      <c r="AA187" s="475"/>
      <c r="AB187" s="475"/>
      <c r="AC187" s="475"/>
      <c r="AD187" s="475"/>
      <c r="AE187" s="475"/>
      <c r="AF187" s="475"/>
      <c r="AG187" s="475"/>
      <c r="AH187" s="475"/>
      <c r="AI187" s="475"/>
      <c r="AJ187" s="475"/>
      <c r="AK187" s="475"/>
      <c r="AL187" s="475"/>
      <c r="AM187" s="475"/>
      <c r="AN187" s="475"/>
      <c r="AO187" s="475"/>
      <c r="AP187" s="475"/>
      <c r="AQ187" s="475"/>
      <c r="AR187" s="475"/>
      <c r="AS187" s="475"/>
    </row>
    <row r="188" spans="1:46">
      <c r="A188" s="204" t="s">
        <v>155</v>
      </c>
      <c r="B188" s="10" t="s">
        <v>156</v>
      </c>
      <c r="C188" s="58"/>
      <c r="D188" s="59"/>
      <c r="O188" s="494" t="s">
        <v>526</v>
      </c>
      <c r="P188" s="483">
        <f>2021</f>
        <v>2021</v>
      </c>
      <c r="Q188" s="483">
        <f>P188+1</f>
        <v>2022</v>
      </c>
      <c r="R188" s="483">
        <f t="shared" ref="R188:AS188" si="68">Q188+1</f>
        <v>2023</v>
      </c>
      <c r="S188" s="483">
        <f t="shared" si="68"/>
        <v>2024</v>
      </c>
      <c r="T188" s="483">
        <f t="shared" si="68"/>
        <v>2025</v>
      </c>
      <c r="U188" s="483">
        <f t="shared" si="68"/>
        <v>2026</v>
      </c>
      <c r="V188" s="483">
        <f t="shared" si="68"/>
        <v>2027</v>
      </c>
      <c r="W188" s="483">
        <f t="shared" si="68"/>
        <v>2028</v>
      </c>
      <c r="X188" s="483">
        <f t="shared" si="68"/>
        <v>2029</v>
      </c>
      <c r="Y188" s="483">
        <f t="shared" si="68"/>
        <v>2030</v>
      </c>
      <c r="Z188" s="483">
        <f t="shared" si="68"/>
        <v>2031</v>
      </c>
      <c r="AA188" s="483">
        <f t="shared" si="68"/>
        <v>2032</v>
      </c>
      <c r="AB188" s="483">
        <f t="shared" si="68"/>
        <v>2033</v>
      </c>
      <c r="AC188" s="483">
        <f t="shared" si="68"/>
        <v>2034</v>
      </c>
      <c r="AD188" s="483">
        <f t="shared" si="68"/>
        <v>2035</v>
      </c>
      <c r="AE188" s="483">
        <f t="shared" si="68"/>
        <v>2036</v>
      </c>
      <c r="AF188" s="483">
        <f t="shared" si="68"/>
        <v>2037</v>
      </c>
      <c r="AG188" s="483">
        <f t="shared" si="68"/>
        <v>2038</v>
      </c>
      <c r="AH188" s="483">
        <f t="shared" si="68"/>
        <v>2039</v>
      </c>
      <c r="AI188" s="483">
        <f t="shared" si="68"/>
        <v>2040</v>
      </c>
      <c r="AJ188" s="483">
        <f t="shared" si="68"/>
        <v>2041</v>
      </c>
      <c r="AK188" s="483">
        <f t="shared" si="68"/>
        <v>2042</v>
      </c>
      <c r="AL188" s="483">
        <f t="shared" si="68"/>
        <v>2043</v>
      </c>
      <c r="AM188" s="483">
        <f t="shared" si="68"/>
        <v>2044</v>
      </c>
      <c r="AN188" s="483">
        <f t="shared" si="68"/>
        <v>2045</v>
      </c>
      <c r="AO188" s="483">
        <f t="shared" si="68"/>
        <v>2046</v>
      </c>
      <c r="AP188" s="483">
        <f t="shared" si="68"/>
        <v>2047</v>
      </c>
      <c r="AQ188" s="483">
        <f t="shared" si="68"/>
        <v>2048</v>
      </c>
      <c r="AR188" s="483">
        <f t="shared" si="68"/>
        <v>2049</v>
      </c>
      <c r="AS188" s="483">
        <f t="shared" si="68"/>
        <v>2050</v>
      </c>
    </row>
    <row r="189" spans="1:46">
      <c r="A189" s="184" t="s">
        <v>4</v>
      </c>
      <c r="B189" s="5">
        <v>2021</v>
      </c>
      <c r="C189" s="174"/>
      <c r="D189" s="42"/>
      <c r="O189" s="475" t="str">
        <f>'LOCAL DATASET INPUTS'!A53</f>
        <v>average kgCO2e/vehicle-km</v>
      </c>
      <c r="P189" s="497">
        <f>(P175/100*'LOCAL DATASET INPUTS'!$B$47)+(P178/100*'LOCAL DATASET INPUTS'!$B$48)+(P181/100*'LOCAL DATASET INPUTS'!$B$50)+(P184/100*'LOCAL DATASET INPUTS'!$B$52*P268/1000)+(P186/100*'LOCAL DATASET INPUTS'!$B$49)</f>
        <v>367.49015730373287</v>
      </c>
      <c r="Q189" s="497" t="e">
        <f>(Q175/100*'LOCAL DATASET INPUTS'!$B$47)+(Q178/100*'LOCAL DATASET INPUTS'!$B$48)+(Q181/100*'LOCAL DATASET INPUTS'!$B$50)+(Q184/100*'LOCAL DATASET INPUTS'!$B$52*Q268/1000)+(Q186/100*'LOCAL DATASET INPUTS'!$B$49)</f>
        <v>#DIV/0!</v>
      </c>
      <c r="R189" s="497" t="e">
        <f>(R175/100*'LOCAL DATASET INPUTS'!$B$47)+(R178/100*'LOCAL DATASET INPUTS'!$B$48)+(R181/100*'LOCAL DATASET INPUTS'!$B$50)+(R184/100*'LOCAL DATASET INPUTS'!$B$52*R268/1000)+(R186/100*'LOCAL DATASET INPUTS'!$B$49)</f>
        <v>#DIV/0!</v>
      </c>
      <c r="S189" s="497" t="e">
        <f>(S175/100*'LOCAL DATASET INPUTS'!$B$47)+(S178/100*'LOCAL DATASET INPUTS'!$B$48)+(S181/100*'LOCAL DATASET INPUTS'!$B$50)+(S184/100*'LOCAL DATASET INPUTS'!$B$52*S268/1000)+(S186/100*'LOCAL DATASET INPUTS'!$B$49)</f>
        <v>#DIV/0!</v>
      </c>
      <c r="T189" s="497" t="e">
        <f>(T175/100*'LOCAL DATASET INPUTS'!$B$47)+(T178/100*'LOCAL DATASET INPUTS'!$B$48)+(T181/100*'LOCAL DATASET INPUTS'!$B$50)+(T184/100*'LOCAL DATASET INPUTS'!$B$52*T268/1000)+(T186/100*'LOCAL DATASET INPUTS'!$B$49)</f>
        <v>#DIV/0!</v>
      </c>
      <c r="U189" s="497" t="e">
        <f>(U175/100*'LOCAL DATASET INPUTS'!$B$47)+(U178/100*'LOCAL DATASET INPUTS'!$B$48)+(U181/100*'LOCAL DATASET INPUTS'!$B$50)+(U184/100*'LOCAL DATASET INPUTS'!$B$52*U268/1000)+(U186/100*'LOCAL DATASET INPUTS'!$B$49)</f>
        <v>#DIV/0!</v>
      </c>
      <c r="V189" s="497" t="e">
        <f>(V175/100*'LOCAL DATASET INPUTS'!$B$47)+(V178/100*'LOCAL DATASET INPUTS'!$B$48)+(V181/100*'LOCAL DATASET INPUTS'!$B$50)+(V184/100*'LOCAL DATASET INPUTS'!$B$52*V268/1000)+(V186/100*'LOCAL DATASET INPUTS'!$B$49)</f>
        <v>#DIV/0!</v>
      </c>
      <c r="W189" s="497" t="e">
        <f>(W175/100*'LOCAL DATASET INPUTS'!$B$47)+(W178/100*'LOCAL DATASET INPUTS'!$B$48)+(W181/100*'LOCAL DATASET INPUTS'!$B$50)+(W184/100*'LOCAL DATASET INPUTS'!$B$52*W268/1000)+(W186/100*'LOCAL DATASET INPUTS'!$B$49)</f>
        <v>#DIV/0!</v>
      </c>
      <c r="X189" s="497" t="e">
        <f>(X175/100*'LOCAL DATASET INPUTS'!$B$47)+(X178/100*'LOCAL DATASET INPUTS'!$B$48)+(X181/100*'LOCAL DATASET INPUTS'!$B$50)+(X184/100*'LOCAL DATASET INPUTS'!$B$52*X268/1000)+(X186/100*'LOCAL DATASET INPUTS'!$B$49)</f>
        <v>#DIV/0!</v>
      </c>
      <c r="Y189" s="497" t="e">
        <f>(Y175/100*'LOCAL DATASET INPUTS'!$B$47)+(Y178/100*'LOCAL DATASET INPUTS'!$B$48)+(Y181/100*'LOCAL DATASET INPUTS'!$B$50)+(Y184/100*'LOCAL DATASET INPUTS'!$B$52*Y268/1000)+(Y186/100*'LOCAL DATASET INPUTS'!$B$49)</f>
        <v>#DIV/0!</v>
      </c>
      <c r="Z189" s="497" t="e">
        <f>(Z175/100*'LOCAL DATASET INPUTS'!$B$47)+(Z178/100*'LOCAL DATASET INPUTS'!$B$48)+(Z181/100*'LOCAL DATASET INPUTS'!$B$50)+(Z184/100*'LOCAL DATASET INPUTS'!$B$52*Z268/1000)+(Z186/100*'LOCAL DATASET INPUTS'!$B$49)</f>
        <v>#DIV/0!</v>
      </c>
      <c r="AA189" s="497" t="e">
        <f>(AA175/100*'LOCAL DATASET INPUTS'!$B$47)+(AA178/100*'LOCAL DATASET INPUTS'!$B$48)+(AA181/100*'LOCAL DATASET INPUTS'!$B$50)+(AA184/100*'LOCAL DATASET INPUTS'!$B$52*AA268/1000)+(AA186/100*'LOCAL DATASET INPUTS'!$B$49)</f>
        <v>#DIV/0!</v>
      </c>
      <c r="AB189" s="497" t="e">
        <f>(AB175/100*'LOCAL DATASET INPUTS'!$B$47)+(AB178/100*'LOCAL DATASET INPUTS'!$B$48)+(AB181/100*'LOCAL DATASET INPUTS'!$B$50)+(AB184/100*'LOCAL DATASET INPUTS'!$B$52*AB268/1000)+(AB186/100*'LOCAL DATASET INPUTS'!$B$49)</f>
        <v>#DIV/0!</v>
      </c>
      <c r="AC189" s="497" t="e">
        <f>(AC175/100*'LOCAL DATASET INPUTS'!$B$47)+(AC178/100*'LOCAL DATASET INPUTS'!$B$48)+(AC181/100*'LOCAL DATASET INPUTS'!$B$50)+(AC184/100*'LOCAL DATASET INPUTS'!$B$52*AC268/1000)+(AC186/100*'LOCAL DATASET INPUTS'!$B$49)</f>
        <v>#DIV/0!</v>
      </c>
      <c r="AD189" s="497" t="e">
        <f>(AD175/100*'LOCAL DATASET INPUTS'!$B$47)+(AD178/100*'LOCAL DATASET INPUTS'!$B$48)+(AD181/100*'LOCAL DATASET INPUTS'!$B$50)+(AD184/100*'LOCAL DATASET INPUTS'!$B$52*AD268/1000)+(AD186/100*'LOCAL DATASET INPUTS'!$B$49)</f>
        <v>#DIV/0!</v>
      </c>
      <c r="AE189" s="497" t="e">
        <f>(AE175/100*'LOCAL DATASET INPUTS'!$B$47)+(AE178/100*'LOCAL DATASET INPUTS'!$B$48)+(AE181/100*'LOCAL DATASET INPUTS'!$B$50)+(AE184/100*'LOCAL DATASET INPUTS'!$B$52*AE268/1000)+(AE186/100*'LOCAL DATASET INPUTS'!$B$49)</f>
        <v>#DIV/0!</v>
      </c>
      <c r="AF189" s="497" t="e">
        <f>(AF175/100*'LOCAL DATASET INPUTS'!$B$47)+(AF178/100*'LOCAL DATASET INPUTS'!$B$48)+(AF181/100*'LOCAL DATASET INPUTS'!$B$50)+(AF184/100*'LOCAL DATASET INPUTS'!$B$52*AF268/1000)+(AF186/100*'LOCAL DATASET INPUTS'!$B$49)</f>
        <v>#DIV/0!</v>
      </c>
      <c r="AG189" s="497" t="e">
        <f>(AG175/100*'LOCAL DATASET INPUTS'!$B$47)+(AG178/100*'LOCAL DATASET INPUTS'!$B$48)+(AG181/100*'LOCAL DATASET INPUTS'!$B$50)+(AG184/100*'LOCAL DATASET INPUTS'!$B$52*AG268/1000)+(AG186/100*'LOCAL DATASET INPUTS'!$B$49)</f>
        <v>#DIV/0!</v>
      </c>
      <c r="AH189" s="497" t="e">
        <f>(AH175/100*'LOCAL DATASET INPUTS'!$B$47)+(AH178/100*'LOCAL DATASET INPUTS'!$B$48)+(AH181/100*'LOCAL DATASET INPUTS'!$B$50)+(AH184/100*'LOCAL DATASET INPUTS'!$B$52*AH268/1000)+(AH186/100*'LOCAL DATASET INPUTS'!$B$49)</f>
        <v>#DIV/0!</v>
      </c>
      <c r="AI189" s="497" t="e">
        <f>(AI175/100*'LOCAL DATASET INPUTS'!$B$47)+(AI178/100*'LOCAL DATASET INPUTS'!$B$48)+(AI181/100*'LOCAL DATASET INPUTS'!$B$50)+(AI184/100*'LOCAL DATASET INPUTS'!$B$52*AI268/1000)+(AI186/100*'LOCAL DATASET INPUTS'!$B$49)</f>
        <v>#DIV/0!</v>
      </c>
      <c r="AJ189" s="497" t="e">
        <f>(AJ175/100*'LOCAL DATASET INPUTS'!$B$47)+(AJ178/100*'LOCAL DATASET INPUTS'!$B$48)+(AJ181/100*'LOCAL DATASET INPUTS'!$B$50)+(AJ184/100*'LOCAL DATASET INPUTS'!$B$52*AJ268/1000)+(AJ186/100*'LOCAL DATASET INPUTS'!$B$49)</f>
        <v>#DIV/0!</v>
      </c>
      <c r="AK189" s="497" t="e">
        <f>(AK175/100*'LOCAL DATASET INPUTS'!$B$47)+(AK178/100*'LOCAL DATASET INPUTS'!$B$48)+(AK181/100*'LOCAL DATASET INPUTS'!$B$50)+(AK184/100*'LOCAL DATASET INPUTS'!$B$52*AK268/1000)+(AK186/100*'LOCAL DATASET INPUTS'!$B$49)</f>
        <v>#DIV/0!</v>
      </c>
      <c r="AL189" s="497" t="e">
        <f>(AL175/100*'LOCAL DATASET INPUTS'!$B$47)+(AL178/100*'LOCAL DATASET INPUTS'!$B$48)+(AL181/100*'LOCAL DATASET INPUTS'!$B$50)+(AL184/100*'LOCAL DATASET INPUTS'!$B$52*AL268/1000)+(AL186/100*'LOCAL DATASET INPUTS'!$B$49)</f>
        <v>#DIV/0!</v>
      </c>
      <c r="AM189" s="497" t="e">
        <f>(AM175/100*'LOCAL DATASET INPUTS'!$B$47)+(AM178/100*'LOCAL DATASET INPUTS'!$B$48)+(AM181/100*'LOCAL DATASET INPUTS'!$B$50)+(AM184/100*'LOCAL DATASET INPUTS'!$B$52*AM268/1000)+(AM186/100*'LOCAL DATASET INPUTS'!$B$49)</f>
        <v>#DIV/0!</v>
      </c>
      <c r="AN189" s="497" t="e">
        <f>(AN175/100*'LOCAL DATASET INPUTS'!$B$47)+(AN178/100*'LOCAL DATASET INPUTS'!$B$48)+(AN181/100*'LOCAL DATASET INPUTS'!$B$50)+(AN184/100*'LOCAL DATASET INPUTS'!$B$52*AN268/1000)+(AN186/100*'LOCAL DATASET INPUTS'!$B$49)</f>
        <v>#DIV/0!</v>
      </c>
      <c r="AO189" s="497" t="e">
        <f>(AO175/100*'LOCAL DATASET INPUTS'!$B$47)+(AO178/100*'LOCAL DATASET INPUTS'!$B$48)+(AO181/100*'LOCAL DATASET INPUTS'!$B$50)+(AO184/100*'LOCAL DATASET INPUTS'!$B$52*AO268/1000)+(AO186/100*'LOCAL DATASET INPUTS'!$B$49)</f>
        <v>#DIV/0!</v>
      </c>
      <c r="AP189" s="497" t="e">
        <f>(AP175/100*'LOCAL DATASET INPUTS'!$B$47)+(AP178/100*'LOCAL DATASET INPUTS'!$B$48)+(AP181/100*'LOCAL DATASET INPUTS'!$B$50)+(AP184/100*'LOCAL DATASET INPUTS'!$B$52*AP268/1000)+(AP186/100*'LOCAL DATASET INPUTS'!$B$49)</f>
        <v>#DIV/0!</v>
      </c>
      <c r="AQ189" s="497" t="e">
        <f>(AQ175/100*'LOCAL DATASET INPUTS'!$B$47)+(AQ178/100*'LOCAL DATASET INPUTS'!$B$48)+(AQ181/100*'LOCAL DATASET INPUTS'!$B$50)+(AQ184/100*'LOCAL DATASET INPUTS'!$B$52*AQ268/1000)+(AQ186/100*'LOCAL DATASET INPUTS'!$B$49)</f>
        <v>#DIV/0!</v>
      </c>
      <c r="AR189" s="497" t="e">
        <f>(AR175/100*'LOCAL DATASET INPUTS'!$B$47)+(AR178/100*'LOCAL DATASET INPUTS'!$B$48)+(AR181/100*'LOCAL DATASET INPUTS'!$B$50)+(AR184/100*'LOCAL DATASET INPUTS'!$B$52*AR268/1000)+(AR186/100*'LOCAL DATASET INPUTS'!$B$49)</f>
        <v>#DIV/0!</v>
      </c>
      <c r="AS189" s="497" t="e">
        <f>(AS175/100*'LOCAL DATASET INPUTS'!$B$47)+(AS178/100*'LOCAL DATASET INPUTS'!$B$48)+(AS181/100*'LOCAL DATASET INPUTS'!$B$50)+(AS184/100*'LOCAL DATASET INPUTS'!$B$52*AS268/1000)+(AS186/100*'LOCAL DATASET INPUTS'!$B$49)</f>
        <v>#DIV/0!</v>
      </c>
    </row>
    <row r="190" spans="1:46">
      <c r="A190" s="184" t="s">
        <v>5</v>
      </c>
      <c r="B190" s="5">
        <v>2022</v>
      </c>
      <c r="C190" s="174"/>
      <c r="D190" s="185"/>
      <c r="O190" s="475" t="str">
        <f>'LOCAL DATASET INPUTS'!A54</f>
        <v>road, kgCO2e/vehicle-km</v>
      </c>
      <c r="P190" s="497">
        <f>(P175/100*'LOCAL DATASET INPUTS'!$C$47)+(P178/100*'LOCAL DATASET INPUTS'!$C$48)+(P181/100*'LOCAL DATASET INPUTS'!$C$50)+(P184/100*'LOCAL DATASET INPUTS'!$C$52*P268/1000)+(P186/100*'LOCAL DATASET INPUTS'!$C$49)</f>
        <v>261.55337377768041</v>
      </c>
      <c r="Q190" s="497" t="e">
        <f>(Q175/100*'LOCAL DATASET INPUTS'!$C$47)+(Q178/100*'LOCAL DATASET INPUTS'!$C$48)+(Q181/100*'LOCAL DATASET INPUTS'!$C$50)+(Q184/100*'LOCAL DATASET INPUTS'!$C$52*Q268/1000)+(Q186/100*'LOCAL DATASET INPUTS'!$C$49)</f>
        <v>#DIV/0!</v>
      </c>
      <c r="R190" s="497" t="e">
        <f>(R175/100*'LOCAL DATASET INPUTS'!$C$47)+(R178/100*'LOCAL DATASET INPUTS'!$C$48)+(R181/100*'LOCAL DATASET INPUTS'!$C$50)+(R184/100*'LOCAL DATASET INPUTS'!$C$52*R268/1000)+(R186/100*'LOCAL DATASET INPUTS'!$C$49)</f>
        <v>#DIV/0!</v>
      </c>
      <c r="S190" s="497" t="e">
        <f>(S175/100*'LOCAL DATASET INPUTS'!$C$47)+(S178/100*'LOCAL DATASET INPUTS'!$C$48)+(S181/100*'LOCAL DATASET INPUTS'!$C$50)+(S184/100*'LOCAL DATASET INPUTS'!$C$52*S268/1000)+(S186/100*'LOCAL DATASET INPUTS'!$C$49)</f>
        <v>#DIV/0!</v>
      </c>
      <c r="T190" s="497" t="e">
        <f>(T175/100*'LOCAL DATASET INPUTS'!$C$47)+(T178/100*'LOCAL DATASET INPUTS'!$C$48)+(T181/100*'LOCAL DATASET INPUTS'!$C$50)+(T184/100*'LOCAL DATASET INPUTS'!$C$52*T268/1000)+(T186/100*'LOCAL DATASET INPUTS'!$C$49)</f>
        <v>#DIV/0!</v>
      </c>
      <c r="U190" s="497" t="e">
        <f>(U175/100*'LOCAL DATASET INPUTS'!$C$47)+(U178/100*'LOCAL DATASET INPUTS'!$C$48)+(U181/100*'LOCAL DATASET INPUTS'!$C$50)+(U184/100*'LOCAL DATASET INPUTS'!$C$52*U268/1000)+(U186/100*'LOCAL DATASET INPUTS'!$C$49)</f>
        <v>#DIV/0!</v>
      </c>
      <c r="V190" s="497" t="e">
        <f>(V175/100*'LOCAL DATASET INPUTS'!$C$47)+(V178/100*'LOCAL DATASET INPUTS'!$C$48)+(V181/100*'LOCAL DATASET INPUTS'!$C$50)+(V184/100*'LOCAL DATASET INPUTS'!$C$52*V268/1000)+(V186/100*'LOCAL DATASET INPUTS'!$C$49)</f>
        <v>#DIV/0!</v>
      </c>
      <c r="W190" s="497" t="e">
        <f>(W175/100*'LOCAL DATASET INPUTS'!$C$47)+(W178/100*'LOCAL DATASET INPUTS'!$C$48)+(W181/100*'LOCAL DATASET INPUTS'!$C$50)+(W184/100*'LOCAL DATASET INPUTS'!$C$52*W268/1000)+(W186/100*'LOCAL DATASET INPUTS'!$C$49)</f>
        <v>#DIV/0!</v>
      </c>
      <c r="X190" s="497" t="e">
        <f>(X175/100*'LOCAL DATASET INPUTS'!$C$47)+(X178/100*'LOCAL DATASET INPUTS'!$C$48)+(X181/100*'LOCAL DATASET INPUTS'!$C$50)+(X184/100*'LOCAL DATASET INPUTS'!$C$52*X268/1000)+(X186/100*'LOCAL DATASET INPUTS'!$C$49)</f>
        <v>#DIV/0!</v>
      </c>
      <c r="Y190" s="497" t="e">
        <f>(Y175/100*'LOCAL DATASET INPUTS'!$C$47)+(Y178/100*'LOCAL DATASET INPUTS'!$C$48)+(Y181/100*'LOCAL DATASET INPUTS'!$C$50)+(Y184/100*'LOCAL DATASET INPUTS'!$C$52*Y268/1000)+(Y186/100*'LOCAL DATASET INPUTS'!$C$49)</f>
        <v>#DIV/0!</v>
      </c>
      <c r="Z190" s="497" t="e">
        <f>(Z175/100*'LOCAL DATASET INPUTS'!$C$47)+(Z178/100*'LOCAL DATASET INPUTS'!$C$48)+(Z181/100*'LOCAL DATASET INPUTS'!$C$50)+(Z184/100*'LOCAL DATASET INPUTS'!$C$52*Z268/1000)+(Z186/100*'LOCAL DATASET INPUTS'!$C$49)</f>
        <v>#DIV/0!</v>
      </c>
      <c r="AA190" s="497" t="e">
        <f>(AA175/100*'LOCAL DATASET INPUTS'!$C$47)+(AA178/100*'LOCAL DATASET INPUTS'!$C$48)+(AA181/100*'LOCAL DATASET INPUTS'!$C$50)+(AA184/100*'LOCAL DATASET INPUTS'!$C$52*AA268/1000)+(AA186/100*'LOCAL DATASET INPUTS'!$C$49)</f>
        <v>#DIV/0!</v>
      </c>
      <c r="AB190" s="497" t="e">
        <f>(AB175/100*'LOCAL DATASET INPUTS'!$C$47)+(AB178/100*'LOCAL DATASET INPUTS'!$C$48)+(AB181/100*'LOCAL DATASET INPUTS'!$C$50)+(AB184/100*'LOCAL DATASET INPUTS'!$C$52*AB268/1000)+(AB186/100*'LOCAL DATASET INPUTS'!$C$49)</f>
        <v>#DIV/0!</v>
      </c>
      <c r="AC190" s="497" t="e">
        <f>(AC175/100*'LOCAL DATASET INPUTS'!$C$47)+(AC178/100*'LOCAL DATASET INPUTS'!$C$48)+(AC181/100*'LOCAL DATASET INPUTS'!$C$50)+(AC184/100*'LOCAL DATASET INPUTS'!$C$52*AC268/1000)+(AC186/100*'LOCAL DATASET INPUTS'!$C$49)</f>
        <v>#DIV/0!</v>
      </c>
      <c r="AD190" s="497" t="e">
        <f>(AD175/100*'LOCAL DATASET INPUTS'!$C$47)+(AD178/100*'LOCAL DATASET INPUTS'!$C$48)+(AD181/100*'LOCAL DATASET INPUTS'!$C$50)+(AD184/100*'LOCAL DATASET INPUTS'!$C$52*AD268/1000)+(AD186/100*'LOCAL DATASET INPUTS'!$C$49)</f>
        <v>#DIV/0!</v>
      </c>
      <c r="AE190" s="497" t="e">
        <f>(AE175/100*'LOCAL DATASET INPUTS'!$C$47)+(AE178/100*'LOCAL DATASET INPUTS'!$C$48)+(AE181/100*'LOCAL DATASET INPUTS'!$C$50)+(AE184/100*'LOCAL DATASET INPUTS'!$C$52*AE268/1000)+(AE186/100*'LOCAL DATASET INPUTS'!$C$49)</f>
        <v>#DIV/0!</v>
      </c>
      <c r="AF190" s="497" t="e">
        <f>(AF175/100*'LOCAL DATASET INPUTS'!$C$47)+(AF178/100*'LOCAL DATASET INPUTS'!$C$48)+(AF181/100*'LOCAL DATASET INPUTS'!$C$50)+(AF184/100*'LOCAL DATASET INPUTS'!$C$52*AF268/1000)+(AF186/100*'LOCAL DATASET INPUTS'!$C$49)</f>
        <v>#DIV/0!</v>
      </c>
      <c r="AG190" s="497" t="e">
        <f>(AG175/100*'LOCAL DATASET INPUTS'!$C$47)+(AG178/100*'LOCAL DATASET INPUTS'!$C$48)+(AG181/100*'LOCAL DATASET INPUTS'!$C$50)+(AG184/100*'LOCAL DATASET INPUTS'!$C$52*AG268/1000)+(AG186/100*'LOCAL DATASET INPUTS'!$C$49)</f>
        <v>#DIV/0!</v>
      </c>
      <c r="AH190" s="497" t="e">
        <f>(AH175/100*'LOCAL DATASET INPUTS'!$C$47)+(AH178/100*'LOCAL DATASET INPUTS'!$C$48)+(AH181/100*'LOCAL DATASET INPUTS'!$C$50)+(AH184/100*'LOCAL DATASET INPUTS'!$C$52*AH268/1000)+(AH186/100*'LOCAL DATASET INPUTS'!$C$49)</f>
        <v>#DIV/0!</v>
      </c>
      <c r="AI190" s="497" t="e">
        <f>(AI175/100*'LOCAL DATASET INPUTS'!$C$47)+(AI178/100*'LOCAL DATASET INPUTS'!$C$48)+(AI181/100*'LOCAL DATASET INPUTS'!$C$50)+(AI184/100*'LOCAL DATASET INPUTS'!$C$52*AI268/1000)+(AI186/100*'LOCAL DATASET INPUTS'!$C$49)</f>
        <v>#DIV/0!</v>
      </c>
      <c r="AJ190" s="497" t="e">
        <f>(AJ175/100*'LOCAL DATASET INPUTS'!$C$47)+(AJ178/100*'LOCAL DATASET INPUTS'!$C$48)+(AJ181/100*'LOCAL DATASET INPUTS'!$C$50)+(AJ184/100*'LOCAL DATASET INPUTS'!$C$52*AJ268/1000)+(AJ186/100*'LOCAL DATASET INPUTS'!$C$49)</f>
        <v>#DIV/0!</v>
      </c>
      <c r="AK190" s="497" t="e">
        <f>(AK175/100*'LOCAL DATASET INPUTS'!$C$47)+(AK178/100*'LOCAL DATASET INPUTS'!$C$48)+(AK181/100*'LOCAL DATASET INPUTS'!$C$50)+(AK184/100*'LOCAL DATASET INPUTS'!$C$52*AK268/1000)+(AK186/100*'LOCAL DATASET INPUTS'!$C$49)</f>
        <v>#DIV/0!</v>
      </c>
      <c r="AL190" s="497" t="e">
        <f>(AL175/100*'LOCAL DATASET INPUTS'!$C$47)+(AL178/100*'LOCAL DATASET INPUTS'!$C$48)+(AL181/100*'LOCAL DATASET INPUTS'!$C$50)+(AL184/100*'LOCAL DATASET INPUTS'!$C$52*AL268/1000)+(AL186/100*'LOCAL DATASET INPUTS'!$C$49)</f>
        <v>#DIV/0!</v>
      </c>
      <c r="AM190" s="497" t="e">
        <f>(AM175/100*'LOCAL DATASET INPUTS'!$C$47)+(AM178/100*'LOCAL DATASET INPUTS'!$C$48)+(AM181/100*'LOCAL DATASET INPUTS'!$C$50)+(AM184/100*'LOCAL DATASET INPUTS'!$C$52*AM268/1000)+(AM186/100*'LOCAL DATASET INPUTS'!$C$49)</f>
        <v>#DIV/0!</v>
      </c>
      <c r="AN190" s="497" t="e">
        <f>(AN175/100*'LOCAL DATASET INPUTS'!$C$47)+(AN178/100*'LOCAL DATASET INPUTS'!$C$48)+(AN181/100*'LOCAL DATASET INPUTS'!$C$50)+(AN184/100*'LOCAL DATASET INPUTS'!$C$52*AN268/1000)+(AN186/100*'LOCAL DATASET INPUTS'!$C$49)</f>
        <v>#DIV/0!</v>
      </c>
      <c r="AO190" s="497" t="e">
        <f>(AO175/100*'LOCAL DATASET INPUTS'!$C$47)+(AO178/100*'LOCAL DATASET INPUTS'!$C$48)+(AO181/100*'LOCAL DATASET INPUTS'!$C$50)+(AO184/100*'LOCAL DATASET INPUTS'!$C$52*AO268/1000)+(AO186/100*'LOCAL DATASET INPUTS'!$C$49)</f>
        <v>#DIV/0!</v>
      </c>
      <c r="AP190" s="497" t="e">
        <f>(AP175/100*'LOCAL DATASET INPUTS'!$C$47)+(AP178/100*'LOCAL DATASET INPUTS'!$C$48)+(AP181/100*'LOCAL DATASET INPUTS'!$C$50)+(AP184/100*'LOCAL DATASET INPUTS'!$C$52*AP268/1000)+(AP186/100*'LOCAL DATASET INPUTS'!$C$49)</f>
        <v>#DIV/0!</v>
      </c>
      <c r="AQ190" s="497" t="e">
        <f>(AQ175/100*'LOCAL DATASET INPUTS'!$C$47)+(AQ178/100*'LOCAL DATASET INPUTS'!$C$48)+(AQ181/100*'LOCAL DATASET INPUTS'!$C$50)+(AQ184/100*'LOCAL DATASET INPUTS'!$C$52*AQ268/1000)+(AQ186/100*'LOCAL DATASET INPUTS'!$C$49)</f>
        <v>#DIV/0!</v>
      </c>
      <c r="AR190" s="497" t="e">
        <f>(AR175/100*'LOCAL DATASET INPUTS'!$C$47)+(AR178/100*'LOCAL DATASET INPUTS'!$C$48)+(AR181/100*'LOCAL DATASET INPUTS'!$C$50)+(AR184/100*'LOCAL DATASET INPUTS'!$C$52*AR268/1000)+(AR186/100*'LOCAL DATASET INPUTS'!$C$49)</f>
        <v>#DIV/0!</v>
      </c>
      <c r="AS190" s="497" t="e">
        <f>(AS175/100*'LOCAL DATASET INPUTS'!$C$47)+(AS178/100*'LOCAL DATASET INPUTS'!$C$48)+(AS181/100*'LOCAL DATASET INPUTS'!$C$50)+(AS184/100*'LOCAL DATASET INPUTS'!$C$52*AS268/1000)+(AS186/100*'LOCAL DATASET INPUTS'!$C$49)</f>
        <v>#DIV/0!</v>
      </c>
    </row>
    <row r="191" spans="1:46">
      <c r="A191" s="184" t="s">
        <v>6</v>
      </c>
      <c r="B191" s="5">
        <v>2023</v>
      </c>
      <c r="C191" s="174"/>
      <c r="D191" s="185"/>
      <c r="O191" s="494" t="str">
        <f>'LOCAL DATASET INPUTS'!A55</f>
        <v>street, kgCO2e/vehicle-km</v>
      </c>
      <c r="P191" s="498">
        <f>(P175/100*'LOCAL DATASET INPUTS'!$D$47)+(P178/100*'LOCAL DATASET INPUTS'!$D$48)+(P181/100*'LOCAL DATASET INPUTS'!$D$50)+(P184/100*'LOCAL DATASET INPUTS'!$D$52*P268/1000)+(P186/100*'LOCAL DATASET INPUTS'!$D$49)</f>
        <v>432.41909035520223</v>
      </c>
      <c r="Q191" s="498" t="e">
        <f>(Q175/100*'LOCAL DATASET INPUTS'!$D$47)+(Q178/100*'LOCAL DATASET INPUTS'!$D$48)+(Q181/100*'LOCAL DATASET INPUTS'!$D$50)+(Q184/100*'LOCAL DATASET INPUTS'!$D$52*Q268/1000)+(Q186/100*'LOCAL DATASET INPUTS'!$D$49)</f>
        <v>#DIV/0!</v>
      </c>
      <c r="R191" s="498" t="e">
        <f>(R175/100*'LOCAL DATASET INPUTS'!$D$47)+(R178/100*'LOCAL DATASET INPUTS'!$D$48)+(R181/100*'LOCAL DATASET INPUTS'!$D$50)+(R184/100*'LOCAL DATASET INPUTS'!$D$52*R268/1000)+(R186/100*'LOCAL DATASET INPUTS'!$D$49)</f>
        <v>#DIV/0!</v>
      </c>
      <c r="S191" s="498" t="e">
        <f>(S175/100*'LOCAL DATASET INPUTS'!$D$47)+(S178/100*'LOCAL DATASET INPUTS'!$D$48)+(S181/100*'LOCAL DATASET INPUTS'!$D$50)+(S184/100*'LOCAL DATASET INPUTS'!$D$52*S268/1000)+(S186/100*'LOCAL DATASET INPUTS'!$D$49)</f>
        <v>#DIV/0!</v>
      </c>
      <c r="T191" s="498" t="e">
        <f>(T175/100*'LOCAL DATASET INPUTS'!$D$47)+(T178/100*'LOCAL DATASET INPUTS'!$D$48)+(T181/100*'LOCAL DATASET INPUTS'!$D$50)+(T184/100*'LOCAL DATASET INPUTS'!$D$52*T268/1000)+(T186/100*'LOCAL DATASET INPUTS'!$D$49)</f>
        <v>#DIV/0!</v>
      </c>
      <c r="U191" s="498" t="e">
        <f>(U175/100*'LOCAL DATASET INPUTS'!$D$47)+(U178/100*'LOCAL DATASET INPUTS'!$D$48)+(U181/100*'LOCAL DATASET INPUTS'!$D$50)+(U184/100*'LOCAL DATASET INPUTS'!$D$52*U268/1000)+(U186/100*'LOCAL DATASET INPUTS'!$D$49)</f>
        <v>#DIV/0!</v>
      </c>
      <c r="V191" s="498" t="e">
        <f>(V175/100*'LOCAL DATASET INPUTS'!$D$47)+(V178/100*'LOCAL DATASET INPUTS'!$D$48)+(V181/100*'LOCAL DATASET INPUTS'!$D$50)+(V184/100*'LOCAL DATASET INPUTS'!$D$52*V268/1000)+(V186/100*'LOCAL DATASET INPUTS'!$D$49)</f>
        <v>#DIV/0!</v>
      </c>
      <c r="W191" s="498" t="e">
        <f>(W175/100*'LOCAL DATASET INPUTS'!$D$47)+(W178/100*'LOCAL DATASET INPUTS'!$D$48)+(W181/100*'LOCAL DATASET INPUTS'!$D$50)+(W184/100*'LOCAL DATASET INPUTS'!$D$52*W268/1000)+(W186/100*'LOCAL DATASET INPUTS'!$D$49)</f>
        <v>#DIV/0!</v>
      </c>
      <c r="X191" s="498" t="e">
        <f>(X175/100*'LOCAL DATASET INPUTS'!$D$47)+(X178/100*'LOCAL DATASET INPUTS'!$D$48)+(X181/100*'LOCAL DATASET INPUTS'!$D$50)+(X184/100*'LOCAL DATASET INPUTS'!$D$52*X268/1000)+(X186/100*'LOCAL DATASET INPUTS'!$D$49)</f>
        <v>#DIV/0!</v>
      </c>
      <c r="Y191" s="498" t="e">
        <f>(Y175/100*'LOCAL DATASET INPUTS'!$D$47)+(Y178/100*'LOCAL DATASET INPUTS'!$D$48)+(Y181/100*'LOCAL DATASET INPUTS'!$D$50)+(Y184/100*'LOCAL DATASET INPUTS'!$D$52*Y268/1000)+(Y186/100*'LOCAL DATASET INPUTS'!$D$49)</f>
        <v>#DIV/0!</v>
      </c>
      <c r="Z191" s="498" t="e">
        <f>(Z175/100*'LOCAL DATASET INPUTS'!$D$47)+(Z178/100*'LOCAL DATASET INPUTS'!$D$48)+(Z181/100*'LOCAL DATASET INPUTS'!$D$50)+(Z184/100*'LOCAL DATASET INPUTS'!$D$52*Z268/1000)+(Z186/100*'LOCAL DATASET INPUTS'!$D$49)</f>
        <v>#DIV/0!</v>
      </c>
      <c r="AA191" s="498" t="e">
        <f>(AA175/100*'LOCAL DATASET INPUTS'!$D$47)+(AA178/100*'LOCAL DATASET INPUTS'!$D$48)+(AA181/100*'LOCAL DATASET INPUTS'!$D$50)+(AA184/100*'LOCAL DATASET INPUTS'!$D$52*AA268/1000)+(AA186/100*'LOCAL DATASET INPUTS'!$D$49)</f>
        <v>#DIV/0!</v>
      </c>
      <c r="AB191" s="498" t="e">
        <f>(AB175/100*'LOCAL DATASET INPUTS'!$D$47)+(AB178/100*'LOCAL DATASET INPUTS'!$D$48)+(AB181/100*'LOCAL DATASET INPUTS'!$D$50)+(AB184/100*'LOCAL DATASET INPUTS'!$D$52*AB268/1000)+(AB186/100*'LOCAL DATASET INPUTS'!$D$49)</f>
        <v>#DIV/0!</v>
      </c>
      <c r="AC191" s="498" t="e">
        <f>(AC175/100*'LOCAL DATASET INPUTS'!$D$47)+(AC178/100*'LOCAL DATASET INPUTS'!$D$48)+(AC181/100*'LOCAL DATASET INPUTS'!$D$50)+(AC184/100*'LOCAL DATASET INPUTS'!$D$52*AC268/1000)+(AC186/100*'LOCAL DATASET INPUTS'!$D$49)</f>
        <v>#DIV/0!</v>
      </c>
      <c r="AD191" s="498" t="e">
        <f>(AD175/100*'LOCAL DATASET INPUTS'!$D$47)+(AD178/100*'LOCAL DATASET INPUTS'!$D$48)+(AD181/100*'LOCAL DATASET INPUTS'!$D$50)+(AD184/100*'LOCAL DATASET INPUTS'!$D$52*AD268/1000)+(AD186/100*'LOCAL DATASET INPUTS'!$D$49)</f>
        <v>#DIV/0!</v>
      </c>
      <c r="AE191" s="498" t="e">
        <f>(AE175/100*'LOCAL DATASET INPUTS'!$D$47)+(AE178/100*'LOCAL DATASET INPUTS'!$D$48)+(AE181/100*'LOCAL DATASET INPUTS'!$D$50)+(AE184/100*'LOCAL DATASET INPUTS'!$D$52*AE268/1000)+(AE186/100*'LOCAL DATASET INPUTS'!$D$49)</f>
        <v>#DIV/0!</v>
      </c>
      <c r="AF191" s="498" t="e">
        <f>(AF175/100*'LOCAL DATASET INPUTS'!$D$47)+(AF178/100*'LOCAL DATASET INPUTS'!$D$48)+(AF181/100*'LOCAL DATASET INPUTS'!$D$50)+(AF184/100*'LOCAL DATASET INPUTS'!$D$52*AF268/1000)+(AF186/100*'LOCAL DATASET INPUTS'!$D$49)</f>
        <v>#DIV/0!</v>
      </c>
      <c r="AG191" s="498" t="e">
        <f>(AG175/100*'LOCAL DATASET INPUTS'!$D$47)+(AG178/100*'LOCAL DATASET INPUTS'!$D$48)+(AG181/100*'LOCAL DATASET INPUTS'!$D$50)+(AG184/100*'LOCAL DATASET INPUTS'!$D$52*AG268/1000)+(AG186/100*'LOCAL DATASET INPUTS'!$D$49)</f>
        <v>#DIV/0!</v>
      </c>
      <c r="AH191" s="498" t="e">
        <f>(AH175/100*'LOCAL DATASET INPUTS'!$D$47)+(AH178/100*'LOCAL DATASET INPUTS'!$D$48)+(AH181/100*'LOCAL DATASET INPUTS'!$D$50)+(AH184/100*'LOCAL DATASET INPUTS'!$D$52*AH268/1000)+(AH186/100*'LOCAL DATASET INPUTS'!$D$49)</f>
        <v>#DIV/0!</v>
      </c>
      <c r="AI191" s="498" t="e">
        <f>(AI175/100*'LOCAL DATASET INPUTS'!$D$47)+(AI178/100*'LOCAL DATASET INPUTS'!$D$48)+(AI181/100*'LOCAL DATASET INPUTS'!$D$50)+(AI184/100*'LOCAL DATASET INPUTS'!$D$52*AI268/1000)+(AI186/100*'LOCAL DATASET INPUTS'!$D$49)</f>
        <v>#DIV/0!</v>
      </c>
      <c r="AJ191" s="498" t="e">
        <f>(AJ175/100*'LOCAL DATASET INPUTS'!$D$47)+(AJ178/100*'LOCAL DATASET INPUTS'!$D$48)+(AJ181/100*'LOCAL DATASET INPUTS'!$D$50)+(AJ184/100*'LOCAL DATASET INPUTS'!$D$52*AJ268/1000)+(AJ186/100*'LOCAL DATASET INPUTS'!$D$49)</f>
        <v>#DIV/0!</v>
      </c>
      <c r="AK191" s="498" t="e">
        <f>(AK175/100*'LOCAL DATASET INPUTS'!$D$47)+(AK178/100*'LOCAL DATASET INPUTS'!$D$48)+(AK181/100*'LOCAL DATASET INPUTS'!$D$50)+(AK184/100*'LOCAL DATASET INPUTS'!$D$52*AK268/1000)+(AK186/100*'LOCAL DATASET INPUTS'!$D$49)</f>
        <v>#DIV/0!</v>
      </c>
      <c r="AL191" s="498" t="e">
        <f>(AL175/100*'LOCAL DATASET INPUTS'!$D$47)+(AL178/100*'LOCAL DATASET INPUTS'!$D$48)+(AL181/100*'LOCAL DATASET INPUTS'!$D$50)+(AL184/100*'LOCAL DATASET INPUTS'!$D$52*AL268/1000)+(AL186/100*'LOCAL DATASET INPUTS'!$D$49)</f>
        <v>#DIV/0!</v>
      </c>
      <c r="AM191" s="498" t="e">
        <f>(AM175/100*'LOCAL DATASET INPUTS'!$D$47)+(AM178/100*'LOCAL DATASET INPUTS'!$D$48)+(AM181/100*'LOCAL DATASET INPUTS'!$D$50)+(AM184/100*'LOCAL DATASET INPUTS'!$D$52*AM268/1000)+(AM186/100*'LOCAL DATASET INPUTS'!$D$49)</f>
        <v>#DIV/0!</v>
      </c>
      <c r="AN191" s="498" t="e">
        <f>(AN175/100*'LOCAL DATASET INPUTS'!$D$47)+(AN178/100*'LOCAL DATASET INPUTS'!$D$48)+(AN181/100*'LOCAL DATASET INPUTS'!$D$50)+(AN184/100*'LOCAL DATASET INPUTS'!$D$52*AN268/1000)+(AN186/100*'LOCAL DATASET INPUTS'!$D$49)</f>
        <v>#DIV/0!</v>
      </c>
      <c r="AO191" s="498" t="e">
        <f>(AO175/100*'LOCAL DATASET INPUTS'!$D$47)+(AO178/100*'LOCAL DATASET INPUTS'!$D$48)+(AO181/100*'LOCAL DATASET INPUTS'!$D$50)+(AO184/100*'LOCAL DATASET INPUTS'!$D$52*AO268/1000)+(AO186/100*'LOCAL DATASET INPUTS'!$D$49)</f>
        <v>#DIV/0!</v>
      </c>
      <c r="AP191" s="498" t="e">
        <f>(AP175/100*'LOCAL DATASET INPUTS'!$D$47)+(AP178/100*'LOCAL DATASET INPUTS'!$D$48)+(AP181/100*'LOCAL DATASET INPUTS'!$D$50)+(AP184/100*'LOCAL DATASET INPUTS'!$D$52*AP268/1000)+(AP186/100*'LOCAL DATASET INPUTS'!$D$49)</f>
        <v>#DIV/0!</v>
      </c>
      <c r="AQ191" s="498" t="e">
        <f>(AQ175/100*'LOCAL DATASET INPUTS'!$D$47)+(AQ178/100*'LOCAL DATASET INPUTS'!$D$48)+(AQ181/100*'LOCAL DATASET INPUTS'!$D$50)+(AQ184/100*'LOCAL DATASET INPUTS'!$D$52*AQ268/1000)+(AQ186/100*'LOCAL DATASET INPUTS'!$D$49)</f>
        <v>#DIV/0!</v>
      </c>
      <c r="AR191" s="498" t="e">
        <f>(AR175/100*'LOCAL DATASET INPUTS'!$D$47)+(AR178/100*'LOCAL DATASET INPUTS'!$D$48)+(AR181/100*'LOCAL DATASET INPUTS'!$D$50)+(AR184/100*'LOCAL DATASET INPUTS'!$D$52*AR268/1000)+(AR186/100*'LOCAL DATASET INPUTS'!$D$49)</f>
        <v>#DIV/0!</v>
      </c>
      <c r="AS191" s="498" t="e">
        <f>(AS175/100*'LOCAL DATASET INPUTS'!$D$47)+(AS178/100*'LOCAL DATASET INPUTS'!$D$48)+(AS181/100*'LOCAL DATASET INPUTS'!$D$50)+(AS184/100*'LOCAL DATASET INPUTS'!$D$52*AS268/1000)+(AS186/100*'LOCAL DATASET INPUTS'!$D$49)</f>
        <v>#DIV/0!</v>
      </c>
    </row>
    <row r="192" spans="1:46">
      <c r="A192" s="184" t="s">
        <v>15</v>
      </c>
      <c r="B192" s="5">
        <v>2024</v>
      </c>
      <c r="C192" s="174"/>
      <c r="D192" s="185"/>
      <c r="O192" s="475" t="s">
        <v>579</v>
      </c>
      <c r="P192" s="475"/>
      <c r="Q192" s="475"/>
      <c r="R192" s="475"/>
      <c r="S192" s="475"/>
      <c r="T192" s="475"/>
      <c r="U192" s="475"/>
      <c r="V192" s="475"/>
      <c r="W192" s="475"/>
      <c r="X192" s="475"/>
      <c r="Y192" s="475"/>
      <c r="Z192" s="475"/>
      <c r="AA192" s="475"/>
      <c r="AB192" s="475"/>
      <c r="AC192" s="475"/>
      <c r="AD192" s="475"/>
      <c r="AE192" s="475"/>
      <c r="AF192" s="475"/>
      <c r="AG192" s="475"/>
      <c r="AH192" s="475"/>
      <c r="AI192" s="475"/>
      <c r="AJ192" s="475"/>
      <c r="AK192" s="475"/>
      <c r="AL192" s="475"/>
      <c r="AM192" s="475"/>
      <c r="AN192" s="475"/>
      <c r="AO192" s="475"/>
      <c r="AP192" s="475"/>
      <c r="AQ192" s="475"/>
      <c r="AR192" s="475"/>
      <c r="AS192" s="475"/>
    </row>
    <row r="193" spans="1:45">
      <c r="A193" s="184" t="s">
        <v>7</v>
      </c>
      <c r="B193" s="5">
        <v>2025</v>
      </c>
      <c r="C193" s="174"/>
      <c r="D193" s="185"/>
      <c r="N193" s="7"/>
      <c r="O193" s="475" t="str">
        <f>'LOCAL DATASET INPUTS'!A59</f>
        <v>CITY</v>
      </c>
      <c r="P193" s="497">
        <f>('LOCAL DATASET INPUTS'!$C$59/100*'USER INPUTS'!P190)+('LOCAL DATASET INPUTS'!$D$59/100*'USER INPUTS'!P191)</f>
        <v>432.41909035520223</v>
      </c>
      <c r="Q193" s="497" t="e">
        <f>('LOCAL DATASET INPUTS'!$C$59/100*'USER INPUTS'!Q190)+('LOCAL DATASET INPUTS'!$D$59/100*'USER INPUTS'!Q191)</f>
        <v>#DIV/0!</v>
      </c>
      <c r="R193" s="497" t="e">
        <f>('LOCAL DATASET INPUTS'!$C$59/100*'USER INPUTS'!R190)+('LOCAL DATASET INPUTS'!$D$59/100*'USER INPUTS'!R191)</f>
        <v>#DIV/0!</v>
      </c>
      <c r="S193" s="497" t="e">
        <f>('LOCAL DATASET INPUTS'!$C$59/100*'USER INPUTS'!S190)+('LOCAL DATASET INPUTS'!$D$59/100*'USER INPUTS'!S191)</f>
        <v>#DIV/0!</v>
      </c>
      <c r="T193" s="497" t="e">
        <f>('LOCAL DATASET INPUTS'!$C$59/100*'USER INPUTS'!T190)+('LOCAL DATASET INPUTS'!$D$59/100*'USER INPUTS'!T191)</f>
        <v>#DIV/0!</v>
      </c>
      <c r="U193" s="497" t="e">
        <f>('LOCAL DATASET INPUTS'!$C$59/100*'USER INPUTS'!U190)+('LOCAL DATASET INPUTS'!$D$59/100*'USER INPUTS'!U191)</f>
        <v>#DIV/0!</v>
      </c>
      <c r="V193" s="497" t="e">
        <f>('LOCAL DATASET INPUTS'!$C$59/100*'USER INPUTS'!V190)+('LOCAL DATASET INPUTS'!$D$59/100*'USER INPUTS'!V191)</f>
        <v>#DIV/0!</v>
      </c>
      <c r="W193" s="497" t="e">
        <f>('LOCAL DATASET INPUTS'!$C$59/100*'USER INPUTS'!W190)+('LOCAL DATASET INPUTS'!$D$59/100*'USER INPUTS'!W191)</f>
        <v>#DIV/0!</v>
      </c>
      <c r="X193" s="497" t="e">
        <f>('LOCAL DATASET INPUTS'!$C$59/100*'USER INPUTS'!X190)+('LOCAL DATASET INPUTS'!$D$59/100*'USER INPUTS'!X191)</f>
        <v>#DIV/0!</v>
      </c>
      <c r="Y193" s="497" t="e">
        <f>('LOCAL DATASET INPUTS'!$C$59/100*'USER INPUTS'!Y190)+('LOCAL DATASET INPUTS'!$D$59/100*'USER INPUTS'!Y191)</f>
        <v>#DIV/0!</v>
      </c>
      <c r="Z193" s="497" t="e">
        <f>('LOCAL DATASET INPUTS'!$C$59/100*'USER INPUTS'!Z190)+('LOCAL DATASET INPUTS'!$D$59/100*'USER INPUTS'!Z191)</f>
        <v>#DIV/0!</v>
      </c>
      <c r="AA193" s="497" t="e">
        <f>('LOCAL DATASET INPUTS'!$C$59/100*'USER INPUTS'!AA190)+('LOCAL DATASET INPUTS'!$D$59/100*'USER INPUTS'!AA191)</f>
        <v>#DIV/0!</v>
      </c>
      <c r="AB193" s="497" t="e">
        <f>('LOCAL DATASET INPUTS'!$C$59/100*'USER INPUTS'!AB190)+('LOCAL DATASET INPUTS'!$D$59/100*'USER INPUTS'!AB191)</f>
        <v>#DIV/0!</v>
      </c>
      <c r="AC193" s="497" t="e">
        <f>('LOCAL DATASET INPUTS'!$C$59/100*'USER INPUTS'!AC190)+('LOCAL DATASET INPUTS'!$D$59/100*'USER INPUTS'!AC191)</f>
        <v>#DIV/0!</v>
      </c>
      <c r="AD193" s="497" t="e">
        <f>('LOCAL DATASET INPUTS'!$C$59/100*'USER INPUTS'!AD190)+('LOCAL DATASET INPUTS'!$D$59/100*'USER INPUTS'!AD191)</f>
        <v>#DIV/0!</v>
      </c>
      <c r="AE193" s="497" t="e">
        <f>('LOCAL DATASET INPUTS'!$C$59/100*'USER INPUTS'!AE190)+('LOCAL DATASET INPUTS'!$D$59/100*'USER INPUTS'!AE191)</f>
        <v>#DIV/0!</v>
      </c>
      <c r="AF193" s="497" t="e">
        <f>('LOCAL DATASET INPUTS'!$C$59/100*'USER INPUTS'!AF190)+('LOCAL DATASET INPUTS'!$D$59/100*'USER INPUTS'!AF191)</f>
        <v>#DIV/0!</v>
      </c>
      <c r="AG193" s="497" t="e">
        <f>('LOCAL DATASET INPUTS'!$C$59/100*'USER INPUTS'!AG190)+('LOCAL DATASET INPUTS'!$D$59/100*'USER INPUTS'!AG191)</f>
        <v>#DIV/0!</v>
      </c>
      <c r="AH193" s="497" t="e">
        <f>('LOCAL DATASET INPUTS'!$C$59/100*'USER INPUTS'!AH190)+('LOCAL DATASET INPUTS'!$D$59/100*'USER INPUTS'!AH191)</f>
        <v>#DIV/0!</v>
      </c>
      <c r="AI193" s="497" t="e">
        <f>('LOCAL DATASET INPUTS'!$C$59/100*'USER INPUTS'!AI190)+('LOCAL DATASET INPUTS'!$D$59/100*'USER INPUTS'!AI191)</f>
        <v>#DIV/0!</v>
      </c>
      <c r="AJ193" s="497" t="e">
        <f>('LOCAL DATASET INPUTS'!$C$59/100*'USER INPUTS'!AJ190)+('LOCAL DATASET INPUTS'!$D$59/100*'USER INPUTS'!AJ191)</f>
        <v>#DIV/0!</v>
      </c>
      <c r="AK193" s="497" t="e">
        <f>('LOCAL DATASET INPUTS'!$C$59/100*'USER INPUTS'!AK190)+('LOCAL DATASET INPUTS'!$D$59/100*'USER INPUTS'!AK191)</f>
        <v>#DIV/0!</v>
      </c>
      <c r="AL193" s="497" t="e">
        <f>('LOCAL DATASET INPUTS'!$C$59/100*'USER INPUTS'!AL190)+('LOCAL DATASET INPUTS'!$D$59/100*'USER INPUTS'!AL191)</f>
        <v>#DIV/0!</v>
      </c>
      <c r="AM193" s="497" t="e">
        <f>('LOCAL DATASET INPUTS'!$C$59/100*'USER INPUTS'!AM190)+('LOCAL DATASET INPUTS'!$D$59/100*'USER INPUTS'!AM191)</f>
        <v>#DIV/0!</v>
      </c>
      <c r="AN193" s="497" t="e">
        <f>('LOCAL DATASET INPUTS'!$C$59/100*'USER INPUTS'!AN190)+('LOCAL DATASET INPUTS'!$D$59/100*'USER INPUTS'!AN191)</f>
        <v>#DIV/0!</v>
      </c>
      <c r="AO193" s="497" t="e">
        <f>('LOCAL DATASET INPUTS'!$C$59/100*'USER INPUTS'!AO190)+('LOCAL DATASET INPUTS'!$D$59/100*'USER INPUTS'!AO191)</f>
        <v>#DIV/0!</v>
      </c>
      <c r="AP193" s="497" t="e">
        <f>('LOCAL DATASET INPUTS'!$C$59/100*'USER INPUTS'!AP190)+('LOCAL DATASET INPUTS'!$D$59/100*'USER INPUTS'!AP191)</f>
        <v>#DIV/0!</v>
      </c>
      <c r="AQ193" s="497" t="e">
        <f>('LOCAL DATASET INPUTS'!$C$59/100*'USER INPUTS'!AQ190)+('LOCAL DATASET INPUTS'!$D$59/100*'USER INPUTS'!AQ191)</f>
        <v>#DIV/0!</v>
      </c>
      <c r="AR193" s="497" t="e">
        <f>('LOCAL DATASET INPUTS'!$C$59/100*'USER INPUTS'!AR190)+('LOCAL DATASET INPUTS'!$D$59/100*'USER INPUTS'!AR191)</f>
        <v>#DIV/0!</v>
      </c>
      <c r="AS193" s="497" t="e">
        <f>('LOCAL DATASET INPUTS'!$C$59/100*'USER INPUTS'!AS190)+('LOCAL DATASET INPUTS'!$D$59/100*'USER INPUTS'!AS191)</f>
        <v>#DIV/0!</v>
      </c>
    </row>
    <row r="194" spans="1:45">
      <c r="A194" s="184" t="s">
        <v>8</v>
      </c>
      <c r="B194" s="5">
        <v>2026</v>
      </c>
      <c r="C194" s="174"/>
      <c r="D194" s="185"/>
      <c r="N194" s="7"/>
      <c r="O194" s="475" t="str">
        <f>'LOCAL DATASET INPUTS'!A60</f>
        <v>TOWN</v>
      </c>
      <c r="P194" s="497">
        <f>('LOCAL DATASET INPUTS'!$C$60/100*'USER INPUTS'!P190)+('LOCAL DATASET INPUTS'!$D$60/100*'USER INPUTS'!P191)</f>
        <v>398.24594703969785</v>
      </c>
      <c r="Q194" s="497" t="e">
        <f>('LOCAL DATASET INPUTS'!$C$60/100*'USER INPUTS'!Q190)+('LOCAL DATASET INPUTS'!$D$60/100*'USER INPUTS'!Q191)</f>
        <v>#DIV/0!</v>
      </c>
      <c r="R194" s="497" t="e">
        <f>('LOCAL DATASET INPUTS'!$C$60/100*'USER INPUTS'!R190)+('LOCAL DATASET INPUTS'!$D$60/100*'USER INPUTS'!R191)</f>
        <v>#DIV/0!</v>
      </c>
      <c r="S194" s="497" t="e">
        <f>('LOCAL DATASET INPUTS'!$C$60/100*'USER INPUTS'!S190)+('LOCAL DATASET INPUTS'!$D$60/100*'USER INPUTS'!S191)</f>
        <v>#DIV/0!</v>
      </c>
      <c r="T194" s="497" t="e">
        <f>('LOCAL DATASET INPUTS'!$C$60/100*'USER INPUTS'!T190)+('LOCAL DATASET INPUTS'!$D$60/100*'USER INPUTS'!T191)</f>
        <v>#DIV/0!</v>
      </c>
      <c r="U194" s="497" t="e">
        <f>('LOCAL DATASET INPUTS'!$C$60/100*'USER INPUTS'!U190)+('LOCAL DATASET INPUTS'!$D$60/100*'USER INPUTS'!U191)</f>
        <v>#DIV/0!</v>
      </c>
      <c r="V194" s="497" t="e">
        <f>('LOCAL DATASET INPUTS'!$C$60/100*'USER INPUTS'!V190)+('LOCAL DATASET INPUTS'!$D$60/100*'USER INPUTS'!V191)</f>
        <v>#DIV/0!</v>
      </c>
      <c r="W194" s="497" t="e">
        <f>('LOCAL DATASET INPUTS'!$C$60/100*'USER INPUTS'!W190)+('LOCAL DATASET INPUTS'!$D$60/100*'USER INPUTS'!W191)</f>
        <v>#DIV/0!</v>
      </c>
      <c r="X194" s="497" t="e">
        <f>('LOCAL DATASET INPUTS'!$C$60/100*'USER INPUTS'!X190)+('LOCAL DATASET INPUTS'!$D$60/100*'USER INPUTS'!X191)</f>
        <v>#DIV/0!</v>
      </c>
      <c r="Y194" s="497" t="e">
        <f>('LOCAL DATASET INPUTS'!$C$60/100*'USER INPUTS'!Y190)+('LOCAL DATASET INPUTS'!$D$60/100*'USER INPUTS'!Y191)</f>
        <v>#DIV/0!</v>
      </c>
      <c r="Z194" s="497" t="e">
        <f>('LOCAL DATASET INPUTS'!$C$60/100*'USER INPUTS'!Z190)+('LOCAL DATASET INPUTS'!$D$60/100*'USER INPUTS'!Z191)</f>
        <v>#DIV/0!</v>
      </c>
      <c r="AA194" s="497" t="e">
        <f>('LOCAL DATASET INPUTS'!$C$60/100*'USER INPUTS'!AA190)+('LOCAL DATASET INPUTS'!$D$60/100*'USER INPUTS'!AA191)</f>
        <v>#DIV/0!</v>
      </c>
      <c r="AB194" s="497" t="e">
        <f>('LOCAL DATASET INPUTS'!$C$60/100*'USER INPUTS'!AB190)+('LOCAL DATASET INPUTS'!$D$60/100*'USER INPUTS'!AB191)</f>
        <v>#DIV/0!</v>
      </c>
      <c r="AC194" s="497" t="e">
        <f>('LOCAL DATASET INPUTS'!$C$60/100*'USER INPUTS'!AC190)+('LOCAL DATASET INPUTS'!$D$60/100*'USER INPUTS'!AC191)</f>
        <v>#DIV/0!</v>
      </c>
      <c r="AD194" s="497" t="e">
        <f>('LOCAL DATASET INPUTS'!$C$60/100*'USER INPUTS'!AD190)+('LOCAL DATASET INPUTS'!$D$60/100*'USER INPUTS'!AD191)</f>
        <v>#DIV/0!</v>
      </c>
      <c r="AE194" s="497" t="e">
        <f>('LOCAL DATASET INPUTS'!$C$60/100*'USER INPUTS'!AE190)+('LOCAL DATASET INPUTS'!$D$60/100*'USER INPUTS'!AE191)</f>
        <v>#DIV/0!</v>
      </c>
      <c r="AF194" s="497" t="e">
        <f>('LOCAL DATASET INPUTS'!$C$60/100*'USER INPUTS'!AF190)+('LOCAL DATASET INPUTS'!$D$60/100*'USER INPUTS'!AF191)</f>
        <v>#DIV/0!</v>
      </c>
      <c r="AG194" s="497" t="e">
        <f>('LOCAL DATASET INPUTS'!$C$60/100*'USER INPUTS'!AG190)+('LOCAL DATASET INPUTS'!$D$60/100*'USER INPUTS'!AG191)</f>
        <v>#DIV/0!</v>
      </c>
      <c r="AH194" s="497" t="e">
        <f>('LOCAL DATASET INPUTS'!$C$60/100*'USER INPUTS'!AH190)+('LOCAL DATASET INPUTS'!$D$60/100*'USER INPUTS'!AH191)</f>
        <v>#DIV/0!</v>
      </c>
      <c r="AI194" s="497" t="e">
        <f>('LOCAL DATASET INPUTS'!$C$60/100*'USER INPUTS'!AI190)+('LOCAL DATASET INPUTS'!$D$60/100*'USER INPUTS'!AI191)</f>
        <v>#DIV/0!</v>
      </c>
      <c r="AJ194" s="497" t="e">
        <f>('LOCAL DATASET INPUTS'!$C$60/100*'USER INPUTS'!AJ190)+('LOCAL DATASET INPUTS'!$D$60/100*'USER INPUTS'!AJ191)</f>
        <v>#DIV/0!</v>
      </c>
      <c r="AK194" s="497" t="e">
        <f>('LOCAL DATASET INPUTS'!$C$60/100*'USER INPUTS'!AK190)+('LOCAL DATASET INPUTS'!$D$60/100*'USER INPUTS'!AK191)</f>
        <v>#DIV/0!</v>
      </c>
      <c r="AL194" s="497" t="e">
        <f>('LOCAL DATASET INPUTS'!$C$60/100*'USER INPUTS'!AL190)+('LOCAL DATASET INPUTS'!$D$60/100*'USER INPUTS'!AL191)</f>
        <v>#DIV/0!</v>
      </c>
      <c r="AM194" s="497" t="e">
        <f>('LOCAL DATASET INPUTS'!$C$60/100*'USER INPUTS'!AM190)+('LOCAL DATASET INPUTS'!$D$60/100*'USER INPUTS'!AM191)</f>
        <v>#DIV/0!</v>
      </c>
      <c r="AN194" s="497" t="e">
        <f>('LOCAL DATASET INPUTS'!$C$60/100*'USER INPUTS'!AN190)+('LOCAL DATASET INPUTS'!$D$60/100*'USER INPUTS'!AN191)</f>
        <v>#DIV/0!</v>
      </c>
      <c r="AO194" s="497" t="e">
        <f>('LOCAL DATASET INPUTS'!$C$60/100*'USER INPUTS'!AO190)+('LOCAL DATASET INPUTS'!$D$60/100*'USER INPUTS'!AO191)</f>
        <v>#DIV/0!</v>
      </c>
      <c r="AP194" s="497" t="e">
        <f>('LOCAL DATASET INPUTS'!$C$60/100*'USER INPUTS'!AP190)+('LOCAL DATASET INPUTS'!$D$60/100*'USER INPUTS'!AP191)</f>
        <v>#DIV/0!</v>
      </c>
      <c r="AQ194" s="497" t="e">
        <f>('LOCAL DATASET INPUTS'!$C$60/100*'USER INPUTS'!AQ190)+('LOCAL DATASET INPUTS'!$D$60/100*'USER INPUTS'!AQ191)</f>
        <v>#DIV/0!</v>
      </c>
      <c r="AR194" s="497" t="e">
        <f>('LOCAL DATASET INPUTS'!$C$60/100*'USER INPUTS'!AR190)+('LOCAL DATASET INPUTS'!$D$60/100*'USER INPUTS'!AR191)</f>
        <v>#DIV/0!</v>
      </c>
      <c r="AS194" s="497" t="e">
        <f>('LOCAL DATASET INPUTS'!$C$60/100*'USER INPUTS'!AS190)+('LOCAL DATASET INPUTS'!$D$60/100*'USER INPUTS'!AS191)</f>
        <v>#DIV/0!</v>
      </c>
    </row>
    <row r="195" spans="1:45">
      <c r="A195" s="184" t="s">
        <v>9</v>
      </c>
      <c r="B195" s="5">
        <v>2027</v>
      </c>
      <c r="C195" s="174"/>
      <c r="D195" s="42"/>
      <c r="O195" s="475" t="str">
        <f>'LOCAL DATASET INPUTS'!A61</f>
        <v>SUBURBAN</v>
      </c>
      <c r="P195" s="497">
        <f>('LOCAL DATASET INPUTS'!$C$61/100*'USER INPUTS'!P190)+('LOCAL DATASET INPUTS'!$D$61/100*'USER INPUTS'!P191)</f>
        <v>312.81308875093691</v>
      </c>
      <c r="Q195" s="497" t="e">
        <f>('LOCAL DATASET INPUTS'!$C$61/100*'USER INPUTS'!Q190)+('LOCAL DATASET INPUTS'!$D$61/100*'USER INPUTS'!Q191)</f>
        <v>#DIV/0!</v>
      </c>
      <c r="R195" s="497" t="e">
        <f>('LOCAL DATASET INPUTS'!$C$61/100*'USER INPUTS'!R190)+('LOCAL DATASET INPUTS'!$D$61/100*'USER INPUTS'!R191)</f>
        <v>#DIV/0!</v>
      </c>
      <c r="S195" s="497" t="e">
        <f>('LOCAL DATASET INPUTS'!$C$61/100*'USER INPUTS'!S190)+('LOCAL DATASET INPUTS'!$D$61/100*'USER INPUTS'!S191)</f>
        <v>#DIV/0!</v>
      </c>
      <c r="T195" s="497" t="e">
        <f>('LOCAL DATASET INPUTS'!$C$61/100*'USER INPUTS'!T190)+('LOCAL DATASET INPUTS'!$D$61/100*'USER INPUTS'!T191)</f>
        <v>#DIV/0!</v>
      </c>
      <c r="U195" s="497" t="e">
        <f>('LOCAL DATASET INPUTS'!$C$61/100*'USER INPUTS'!U190)+('LOCAL DATASET INPUTS'!$D$61/100*'USER INPUTS'!U191)</f>
        <v>#DIV/0!</v>
      </c>
      <c r="V195" s="497" t="e">
        <f>('LOCAL DATASET INPUTS'!$C$61/100*'USER INPUTS'!V190)+('LOCAL DATASET INPUTS'!$D$61/100*'USER INPUTS'!V191)</f>
        <v>#DIV/0!</v>
      </c>
      <c r="W195" s="497" t="e">
        <f>('LOCAL DATASET INPUTS'!$C$61/100*'USER INPUTS'!W190)+('LOCAL DATASET INPUTS'!$D$61/100*'USER INPUTS'!W191)</f>
        <v>#DIV/0!</v>
      </c>
      <c r="X195" s="497" t="e">
        <f>('LOCAL DATASET INPUTS'!$C$61/100*'USER INPUTS'!X190)+('LOCAL DATASET INPUTS'!$D$61/100*'USER INPUTS'!X191)</f>
        <v>#DIV/0!</v>
      </c>
      <c r="Y195" s="497" t="e">
        <f>('LOCAL DATASET INPUTS'!$C$61/100*'USER INPUTS'!Y190)+('LOCAL DATASET INPUTS'!$D$61/100*'USER INPUTS'!Y191)</f>
        <v>#DIV/0!</v>
      </c>
      <c r="Z195" s="497" t="e">
        <f>('LOCAL DATASET INPUTS'!$C$61/100*'USER INPUTS'!Z190)+('LOCAL DATASET INPUTS'!$D$61/100*'USER INPUTS'!Z191)</f>
        <v>#DIV/0!</v>
      </c>
      <c r="AA195" s="497" t="e">
        <f>('LOCAL DATASET INPUTS'!$C$61/100*'USER INPUTS'!AA190)+('LOCAL DATASET INPUTS'!$D$61/100*'USER INPUTS'!AA191)</f>
        <v>#DIV/0!</v>
      </c>
      <c r="AB195" s="497" t="e">
        <f>('LOCAL DATASET INPUTS'!$C$61/100*'USER INPUTS'!AB190)+('LOCAL DATASET INPUTS'!$D$61/100*'USER INPUTS'!AB191)</f>
        <v>#DIV/0!</v>
      </c>
      <c r="AC195" s="497" t="e">
        <f>('LOCAL DATASET INPUTS'!$C$61/100*'USER INPUTS'!AC190)+('LOCAL DATASET INPUTS'!$D$61/100*'USER INPUTS'!AC191)</f>
        <v>#DIV/0!</v>
      </c>
      <c r="AD195" s="497" t="e">
        <f>('LOCAL DATASET INPUTS'!$C$61/100*'USER INPUTS'!AD190)+('LOCAL DATASET INPUTS'!$D$61/100*'USER INPUTS'!AD191)</f>
        <v>#DIV/0!</v>
      </c>
      <c r="AE195" s="497" t="e">
        <f>('LOCAL DATASET INPUTS'!$C$61/100*'USER INPUTS'!AE190)+('LOCAL DATASET INPUTS'!$D$61/100*'USER INPUTS'!AE191)</f>
        <v>#DIV/0!</v>
      </c>
      <c r="AF195" s="497" t="e">
        <f>('LOCAL DATASET INPUTS'!$C$61/100*'USER INPUTS'!AF190)+('LOCAL DATASET INPUTS'!$D$61/100*'USER INPUTS'!AF191)</f>
        <v>#DIV/0!</v>
      </c>
      <c r="AG195" s="497" t="e">
        <f>('LOCAL DATASET INPUTS'!$C$61/100*'USER INPUTS'!AG190)+('LOCAL DATASET INPUTS'!$D$61/100*'USER INPUTS'!AG191)</f>
        <v>#DIV/0!</v>
      </c>
      <c r="AH195" s="497" t="e">
        <f>('LOCAL DATASET INPUTS'!$C$61/100*'USER INPUTS'!AH190)+('LOCAL DATASET INPUTS'!$D$61/100*'USER INPUTS'!AH191)</f>
        <v>#DIV/0!</v>
      </c>
      <c r="AI195" s="497" t="e">
        <f>('LOCAL DATASET INPUTS'!$C$61/100*'USER INPUTS'!AI190)+('LOCAL DATASET INPUTS'!$D$61/100*'USER INPUTS'!AI191)</f>
        <v>#DIV/0!</v>
      </c>
      <c r="AJ195" s="497" t="e">
        <f>('LOCAL DATASET INPUTS'!$C$61/100*'USER INPUTS'!AJ190)+('LOCAL DATASET INPUTS'!$D$61/100*'USER INPUTS'!AJ191)</f>
        <v>#DIV/0!</v>
      </c>
      <c r="AK195" s="497" t="e">
        <f>('LOCAL DATASET INPUTS'!$C$61/100*'USER INPUTS'!AK190)+('LOCAL DATASET INPUTS'!$D$61/100*'USER INPUTS'!AK191)</f>
        <v>#DIV/0!</v>
      </c>
      <c r="AL195" s="497" t="e">
        <f>('LOCAL DATASET INPUTS'!$C$61/100*'USER INPUTS'!AL190)+('LOCAL DATASET INPUTS'!$D$61/100*'USER INPUTS'!AL191)</f>
        <v>#DIV/0!</v>
      </c>
      <c r="AM195" s="497" t="e">
        <f>('LOCAL DATASET INPUTS'!$C$61/100*'USER INPUTS'!AM190)+('LOCAL DATASET INPUTS'!$D$61/100*'USER INPUTS'!AM191)</f>
        <v>#DIV/0!</v>
      </c>
      <c r="AN195" s="497" t="e">
        <f>('LOCAL DATASET INPUTS'!$C$61/100*'USER INPUTS'!AN190)+('LOCAL DATASET INPUTS'!$D$61/100*'USER INPUTS'!AN191)</f>
        <v>#DIV/0!</v>
      </c>
      <c r="AO195" s="497" t="e">
        <f>('LOCAL DATASET INPUTS'!$C$61/100*'USER INPUTS'!AO190)+('LOCAL DATASET INPUTS'!$D$61/100*'USER INPUTS'!AO191)</f>
        <v>#DIV/0!</v>
      </c>
      <c r="AP195" s="497" t="e">
        <f>('LOCAL DATASET INPUTS'!$C$61/100*'USER INPUTS'!AP190)+('LOCAL DATASET INPUTS'!$D$61/100*'USER INPUTS'!AP191)</f>
        <v>#DIV/0!</v>
      </c>
      <c r="AQ195" s="497" t="e">
        <f>('LOCAL DATASET INPUTS'!$C$61/100*'USER INPUTS'!AQ190)+('LOCAL DATASET INPUTS'!$D$61/100*'USER INPUTS'!AQ191)</f>
        <v>#DIV/0!</v>
      </c>
      <c r="AR195" s="497" t="e">
        <f>('LOCAL DATASET INPUTS'!$C$61/100*'USER INPUTS'!AR190)+('LOCAL DATASET INPUTS'!$D$61/100*'USER INPUTS'!AR191)</f>
        <v>#DIV/0!</v>
      </c>
      <c r="AS195" s="497" t="e">
        <f>('LOCAL DATASET INPUTS'!$C$61/100*'USER INPUTS'!AS190)+('LOCAL DATASET INPUTS'!$D$61/100*'USER INPUTS'!AS191)</f>
        <v>#DIV/0!</v>
      </c>
    </row>
    <row r="196" spans="1:45">
      <c r="A196" s="184" t="s">
        <v>10</v>
      </c>
      <c r="B196" s="5">
        <v>2028</v>
      </c>
      <c r="C196" s="174"/>
      <c r="D196" s="42"/>
      <c r="O196" s="494" t="str">
        <f>'LOCAL DATASET INPUTS'!A62</f>
        <v xml:space="preserve">RURAL </v>
      </c>
      <c r="P196" s="498">
        <f>('LOCAL DATASET INPUTS'!$C$62/100*'USER INPUTS'!P190)+('LOCAL DATASET INPUTS'!$D$62/100*'USER INPUTS'!P191)</f>
        <v>261.55337377768041</v>
      </c>
      <c r="Q196" s="498" t="e">
        <f>('LOCAL DATASET INPUTS'!$C$62/100*'USER INPUTS'!Q190)+('LOCAL DATASET INPUTS'!$D$62/100*'USER INPUTS'!Q191)</f>
        <v>#DIV/0!</v>
      </c>
      <c r="R196" s="498" t="e">
        <f>('LOCAL DATASET INPUTS'!$C$62/100*'USER INPUTS'!R190)+('LOCAL DATASET INPUTS'!$D$62/100*'USER INPUTS'!R191)</f>
        <v>#DIV/0!</v>
      </c>
      <c r="S196" s="498" t="e">
        <f>('LOCAL DATASET INPUTS'!$C$62/100*'USER INPUTS'!S190)+('LOCAL DATASET INPUTS'!$D$62/100*'USER INPUTS'!S191)</f>
        <v>#DIV/0!</v>
      </c>
      <c r="T196" s="498" t="e">
        <f>('LOCAL DATASET INPUTS'!$C$62/100*'USER INPUTS'!T190)+('LOCAL DATASET INPUTS'!$D$62/100*'USER INPUTS'!T191)</f>
        <v>#DIV/0!</v>
      </c>
      <c r="U196" s="498" t="e">
        <f>('LOCAL DATASET INPUTS'!$C$62/100*'USER INPUTS'!U190)+('LOCAL DATASET INPUTS'!$D$62/100*'USER INPUTS'!U191)</f>
        <v>#DIV/0!</v>
      </c>
      <c r="V196" s="498" t="e">
        <f>('LOCAL DATASET INPUTS'!$C$62/100*'USER INPUTS'!V190)+('LOCAL DATASET INPUTS'!$D$62/100*'USER INPUTS'!V191)</f>
        <v>#DIV/0!</v>
      </c>
      <c r="W196" s="498" t="e">
        <f>('LOCAL DATASET INPUTS'!$C$62/100*'USER INPUTS'!W190)+('LOCAL DATASET INPUTS'!$D$62/100*'USER INPUTS'!W191)</f>
        <v>#DIV/0!</v>
      </c>
      <c r="X196" s="498" t="e">
        <f>('LOCAL DATASET INPUTS'!$C$62/100*'USER INPUTS'!X190)+('LOCAL DATASET INPUTS'!$D$62/100*'USER INPUTS'!X191)</f>
        <v>#DIV/0!</v>
      </c>
      <c r="Y196" s="498" t="e">
        <f>('LOCAL DATASET INPUTS'!$C$62/100*'USER INPUTS'!Y190)+('LOCAL DATASET INPUTS'!$D$62/100*'USER INPUTS'!Y191)</f>
        <v>#DIV/0!</v>
      </c>
      <c r="Z196" s="498" t="e">
        <f>('LOCAL DATASET INPUTS'!$C$62/100*'USER INPUTS'!Z190)+('LOCAL DATASET INPUTS'!$D$62/100*'USER INPUTS'!Z191)</f>
        <v>#DIV/0!</v>
      </c>
      <c r="AA196" s="498" t="e">
        <f>('LOCAL DATASET INPUTS'!$C$62/100*'USER INPUTS'!AA190)+('LOCAL DATASET INPUTS'!$D$62/100*'USER INPUTS'!AA191)</f>
        <v>#DIV/0!</v>
      </c>
      <c r="AB196" s="498" t="e">
        <f>('LOCAL DATASET INPUTS'!$C$62/100*'USER INPUTS'!AB190)+('LOCAL DATASET INPUTS'!$D$62/100*'USER INPUTS'!AB191)</f>
        <v>#DIV/0!</v>
      </c>
      <c r="AC196" s="498" t="e">
        <f>('LOCAL DATASET INPUTS'!$C$62/100*'USER INPUTS'!AC190)+('LOCAL DATASET INPUTS'!$D$62/100*'USER INPUTS'!AC191)</f>
        <v>#DIV/0!</v>
      </c>
      <c r="AD196" s="498" t="e">
        <f>('LOCAL DATASET INPUTS'!$C$62/100*'USER INPUTS'!AD190)+('LOCAL DATASET INPUTS'!$D$62/100*'USER INPUTS'!AD191)</f>
        <v>#DIV/0!</v>
      </c>
      <c r="AE196" s="498" t="e">
        <f>('LOCAL DATASET INPUTS'!$C$62/100*'USER INPUTS'!AE190)+('LOCAL DATASET INPUTS'!$D$62/100*'USER INPUTS'!AE191)</f>
        <v>#DIV/0!</v>
      </c>
      <c r="AF196" s="498" t="e">
        <f>('LOCAL DATASET INPUTS'!$C$62/100*'USER INPUTS'!AF190)+('LOCAL DATASET INPUTS'!$D$62/100*'USER INPUTS'!AF191)</f>
        <v>#DIV/0!</v>
      </c>
      <c r="AG196" s="498" t="e">
        <f>('LOCAL DATASET INPUTS'!$C$62/100*'USER INPUTS'!AG190)+('LOCAL DATASET INPUTS'!$D$62/100*'USER INPUTS'!AG191)</f>
        <v>#DIV/0!</v>
      </c>
      <c r="AH196" s="498" t="e">
        <f>('LOCAL DATASET INPUTS'!$C$62/100*'USER INPUTS'!AH190)+('LOCAL DATASET INPUTS'!$D$62/100*'USER INPUTS'!AH191)</f>
        <v>#DIV/0!</v>
      </c>
      <c r="AI196" s="498" t="e">
        <f>('LOCAL DATASET INPUTS'!$C$62/100*'USER INPUTS'!AI190)+('LOCAL DATASET INPUTS'!$D$62/100*'USER INPUTS'!AI191)</f>
        <v>#DIV/0!</v>
      </c>
      <c r="AJ196" s="498" t="e">
        <f>('LOCAL DATASET INPUTS'!$C$62/100*'USER INPUTS'!AJ190)+('LOCAL DATASET INPUTS'!$D$62/100*'USER INPUTS'!AJ191)</f>
        <v>#DIV/0!</v>
      </c>
      <c r="AK196" s="498" t="e">
        <f>('LOCAL DATASET INPUTS'!$C$62/100*'USER INPUTS'!AK190)+('LOCAL DATASET INPUTS'!$D$62/100*'USER INPUTS'!AK191)</f>
        <v>#DIV/0!</v>
      </c>
      <c r="AL196" s="498" t="e">
        <f>('LOCAL DATASET INPUTS'!$C$62/100*'USER INPUTS'!AL190)+('LOCAL DATASET INPUTS'!$D$62/100*'USER INPUTS'!AL191)</f>
        <v>#DIV/0!</v>
      </c>
      <c r="AM196" s="498" t="e">
        <f>('LOCAL DATASET INPUTS'!$C$62/100*'USER INPUTS'!AM190)+('LOCAL DATASET INPUTS'!$D$62/100*'USER INPUTS'!AM191)</f>
        <v>#DIV/0!</v>
      </c>
      <c r="AN196" s="498" t="e">
        <f>('LOCAL DATASET INPUTS'!$C$62/100*'USER INPUTS'!AN190)+('LOCAL DATASET INPUTS'!$D$62/100*'USER INPUTS'!AN191)</f>
        <v>#DIV/0!</v>
      </c>
      <c r="AO196" s="498" t="e">
        <f>('LOCAL DATASET INPUTS'!$C$62/100*'USER INPUTS'!AO190)+('LOCAL DATASET INPUTS'!$D$62/100*'USER INPUTS'!AO191)</f>
        <v>#DIV/0!</v>
      </c>
      <c r="AP196" s="498" t="e">
        <f>('LOCAL DATASET INPUTS'!$C$62/100*'USER INPUTS'!AP190)+('LOCAL DATASET INPUTS'!$D$62/100*'USER INPUTS'!AP191)</f>
        <v>#DIV/0!</v>
      </c>
      <c r="AQ196" s="498" t="e">
        <f>('LOCAL DATASET INPUTS'!$C$62/100*'USER INPUTS'!AQ190)+('LOCAL DATASET INPUTS'!$D$62/100*'USER INPUTS'!AQ191)</f>
        <v>#DIV/0!</v>
      </c>
      <c r="AR196" s="498" t="e">
        <f>('LOCAL DATASET INPUTS'!$C$62/100*'USER INPUTS'!AR190)+('LOCAL DATASET INPUTS'!$D$62/100*'USER INPUTS'!AR191)</f>
        <v>#DIV/0!</v>
      </c>
      <c r="AS196" s="498" t="e">
        <f>('LOCAL DATASET INPUTS'!$C$62/100*'USER INPUTS'!AS190)+('LOCAL DATASET INPUTS'!$D$62/100*'USER INPUTS'!AS191)</f>
        <v>#DIV/0!</v>
      </c>
    </row>
    <row r="197" spans="1:45">
      <c r="A197" s="184" t="s">
        <v>2</v>
      </c>
      <c r="B197" s="5">
        <v>2029</v>
      </c>
      <c r="C197" s="174"/>
      <c r="D197" s="42"/>
      <c r="O197" s="475" t="s">
        <v>586</v>
      </c>
      <c r="P197" s="497">
        <f>('LOCAL DATASET INPUTS'!$B$59/'LOCAL DATASET INPUTS'!$B$66*'USER INPUTS'!P193)+('LOCAL DATASET INPUTS'!$B$60/'LOCAL DATASET INPUTS'!$B$66*'USER INPUTS'!P194)+('LOCAL DATASET INPUTS'!$B$61/'LOCAL DATASET INPUTS'!$B$66*'USER INPUTS'!P195)+('LOCAL DATASET INPUTS'!$B$62/'LOCAL DATASET INPUTS'!$B$66*'USER INPUTS'!P196)</f>
        <v>432.41909035520223</v>
      </c>
      <c r="Q197" s="497" t="e">
        <f>('LOCAL DATASET INPUTS'!$B$59/'LOCAL DATASET INPUTS'!$B$66*'USER INPUTS'!Q193)+('LOCAL DATASET INPUTS'!$B$60/'LOCAL DATASET INPUTS'!$B$66*'USER INPUTS'!Q194)+('LOCAL DATASET INPUTS'!$B$61/'LOCAL DATASET INPUTS'!$B$66*'USER INPUTS'!Q195)+('LOCAL DATASET INPUTS'!$B$62/'LOCAL DATASET INPUTS'!$B$66*'USER INPUTS'!Q196)</f>
        <v>#DIV/0!</v>
      </c>
      <c r="R197" s="497" t="e">
        <f>('LOCAL DATASET INPUTS'!$B$59/'LOCAL DATASET INPUTS'!$B$66*'USER INPUTS'!R193)+('LOCAL DATASET INPUTS'!$B$60/'LOCAL DATASET INPUTS'!$B$66*'USER INPUTS'!R194)+('LOCAL DATASET INPUTS'!$B$61/'LOCAL DATASET INPUTS'!$B$66*'USER INPUTS'!R195)+('LOCAL DATASET INPUTS'!$B$62/'LOCAL DATASET INPUTS'!$B$66*'USER INPUTS'!R196)</f>
        <v>#DIV/0!</v>
      </c>
      <c r="S197" s="497" t="e">
        <f>('LOCAL DATASET INPUTS'!$B$59/'LOCAL DATASET INPUTS'!$B$66*'USER INPUTS'!S193)+('LOCAL DATASET INPUTS'!$B$60/'LOCAL DATASET INPUTS'!$B$66*'USER INPUTS'!S194)+('LOCAL DATASET INPUTS'!$B$61/'LOCAL DATASET INPUTS'!$B$66*'USER INPUTS'!S195)+('LOCAL DATASET INPUTS'!$B$62/'LOCAL DATASET INPUTS'!$B$66*'USER INPUTS'!S196)</f>
        <v>#DIV/0!</v>
      </c>
      <c r="T197" s="497" t="e">
        <f>('LOCAL DATASET INPUTS'!$B$59/'LOCAL DATASET INPUTS'!$B$66*'USER INPUTS'!T193)+('LOCAL DATASET INPUTS'!$B$60/'LOCAL DATASET INPUTS'!$B$66*'USER INPUTS'!T194)+('LOCAL DATASET INPUTS'!$B$61/'LOCAL DATASET INPUTS'!$B$66*'USER INPUTS'!T195)+('LOCAL DATASET INPUTS'!$B$62/'LOCAL DATASET INPUTS'!$B$66*'USER INPUTS'!T196)</f>
        <v>#DIV/0!</v>
      </c>
      <c r="U197" s="497" t="e">
        <f>('LOCAL DATASET INPUTS'!$B$59/'LOCAL DATASET INPUTS'!$B$66*'USER INPUTS'!U193)+('LOCAL DATASET INPUTS'!$B$60/'LOCAL DATASET INPUTS'!$B$66*'USER INPUTS'!U194)+('LOCAL DATASET INPUTS'!$B$61/'LOCAL DATASET INPUTS'!$B$66*'USER INPUTS'!U195)+('LOCAL DATASET INPUTS'!$B$62/'LOCAL DATASET INPUTS'!$B$66*'USER INPUTS'!U196)</f>
        <v>#DIV/0!</v>
      </c>
      <c r="V197" s="497" t="e">
        <f>('LOCAL DATASET INPUTS'!$B$59/'LOCAL DATASET INPUTS'!$B$66*'USER INPUTS'!V193)+('LOCAL DATASET INPUTS'!$B$60/'LOCAL DATASET INPUTS'!$B$66*'USER INPUTS'!V194)+('LOCAL DATASET INPUTS'!$B$61/'LOCAL DATASET INPUTS'!$B$66*'USER INPUTS'!V195)+('LOCAL DATASET INPUTS'!$B$62/'LOCAL DATASET INPUTS'!$B$66*'USER INPUTS'!V196)</f>
        <v>#DIV/0!</v>
      </c>
      <c r="W197" s="497" t="e">
        <f>('LOCAL DATASET INPUTS'!$B$59/'LOCAL DATASET INPUTS'!$B$66*'USER INPUTS'!W193)+('LOCAL DATASET INPUTS'!$B$60/'LOCAL DATASET INPUTS'!$B$66*'USER INPUTS'!W194)+('LOCAL DATASET INPUTS'!$B$61/'LOCAL DATASET INPUTS'!$B$66*'USER INPUTS'!W195)+('LOCAL DATASET INPUTS'!$B$62/'LOCAL DATASET INPUTS'!$B$66*'USER INPUTS'!W196)</f>
        <v>#DIV/0!</v>
      </c>
      <c r="X197" s="497" t="e">
        <f>('LOCAL DATASET INPUTS'!$B$59/'LOCAL DATASET INPUTS'!$B$66*'USER INPUTS'!X193)+('LOCAL DATASET INPUTS'!$B$60/'LOCAL DATASET INPUTS'!$B$66*'USER INPUTS'!X194)+('LOCAL DATASET INPUTS'!$B$61/'LOCAL DATASET INPUTS'!$B$66*'USER INPUTS'!X195)+('LOCAL DATASET INPUTS'!$B$62/'LOCAL DATASET INPUTS'!$B$66*'USER INPUTS'!X196)</f>
        <v>#DIV/0!</v>
      </c>
      <c r="Y197" s="497" t="e">
        <f>('LOCAL DATASET INPUTS'!$B$59/'LOCAL DATASET INPUTS'!$B$66*'USER INPUTS'!Y193)+('LOCAL DATASET INPUTS'!$B$60/'LOCAL DATASET INPUTS'!$B$66*'USER INPUTS'!Y194)+('LOCAL DATASET INPUTS'!$B$61/'LOCAL DATASET INPUTS'!$B$66*'USER INPUTS'!Y195)+('LOCAL DATASET INPUTS'!$B$62/'LOCAL DATASET INPUTS'!$B$66*'USER INPUTS'!Y196)</f>
        <v>#DIV/0!</v>
      </c>
      <c r="Z197" s="497" t="e">
        <f>('LOCAL DATASET INPUTS'!$B$59/'LOCAL DATASET INPUTS'!$B$66*'USER INPUTS'!Z193)+('LOCAL DATASET INPUTS'!$B$60/'LOCAL DATASET INPUTS'!$B$66*'USER INPUTS'!Z194)+('LOCAL DATASET INPUTS'!$B$61/'LOCAL DATASET INPUTS'!$B$66*'USER INPUTS'!Z195)+('LOCAL DATASET INPUTS'!$B$62/'LOCAL DATASET INPUTS'!$B$66*'USER INPUTS'!Z196)</f>
        <v>#DIV/0!</v>
      </c>
      <c r="AA197" s="497" t="e">
        <f>('LOCAL DATASET INPUTS'!$B$59/'LOCAL DATASET INPUTS'!$B$66*'USER INPUTS'!AA193)+('LOCAL DATASET INPUTS'!$B$60/'LOCAL DATASET INPUTS'!$B$66*'USER INPUTS'!AA194)+('LOCAL DATASET INPUTS'!$B$61/'LOCAL DATASET INPUTS'!$B$66*'USER INPUTS'!AA195)+('LOCAL DATASET INPUTS'!$B$62/'LOCAL DATASET INPUTS'!$B$66*'USER INPUTS'!AA196)</f>
        <v>#DIV/0!</v>
      </c>
      <c r="AB197" s="497" t="e">
        <f>('LOCAL DATASET INPUTS'!$B$59/'LOCAL DATASET INPUTS'!$B$66*'USER INPUTS'!AB193)+('LOCAL DATASET INPUTS'!$B$60/'LOCAL DATASET INPUTS'!$B$66*'USER INPUTS'!AB194)+('LOCAL DATASET INPUTS'!$B$61/'LOCAL DATASET INPUTS'!$B$66*'USER INPUTS'!AB195)+('LOCAL DATASET INPUTS'!$B$62/'LOCAL DATASET INPUTS'!$B$66*'USER INPUTS'!AB196)</f>
        <v>#DIV/0!</v>
      </c>
      <c r="AC197" s="497" t="e">
        <f>('LOCAL DATASET INPUTS'!$B$59/'LOCAL DATASET INPUTS'!$B$66*'USER INPUTS'!AC193)+('LOCAL DATASET INPUTS'!$B$60/'LOCAL DATASET INPUTS'!$B$66*'USER INPUTS'!AC194)+('LOCAL DATASET INPUTS'!$B$61/'LOCAL DATASET INPUTS'!$B$66*'USER INPUTS'!AC195)+('LOCAL DATASET INPUTS'!$B$62/'LOCAL DATASET INPUTS'!$B$66*'USER INPUTS'!AC196)</f>
        <v>#DIV/0!</v>
      </c>
      <c r="AD197" s="497" t="e">
        <f>('LOCAL DATASET INPUTS'!$B$59/'LOCAL DATASET INPUTS'!$B$66*'USER INPUTS'!AD193)+('LOCAL DATASET INPUTS'!$B$60/'LOCAL DATASET INPUTS'!$B$66*'USER INPUTS'!AD194)+('LOCAL DATASET INPUTS'!$B$61/'LOCAL DATASET INPUTS'!$B$66*'USER INPUTS'!AD195)+('LOCAL DATASET INPUTS'!$B$62/'LOCAL DATASET INPUTS'!$B$66*'USER INPUTS'!AD196)</f>
        <v>#DIV/0!</v>
      </c>
      <c r="AE197" s="497" t="e">
        <f>('LOCAL DATASET INPUTS'!$B$59/'LOCAL DATASET INPUTS'!$B$66*'USER INPUTS'!AE193)+('LOCAL DATASET INPUTS'!$B$60/'LOCAL DATASET INPUTS'!$B$66*'USER INPUTS'!AE194)+('LOCAL DATASET INPUTS'!$B$61/'LOCAL DATASET INPUTS'!$B$66*'USER INPUTS'!AE195)+('LOCAL DATASET INPUTS'!$B$62/'LOCAL DATASET INPUTS'!$B$66*'USER INPUTS'!AE196)</f>
        <v>#DIV/0!</v>
      </c>
      <c r="AF197" s="497" t="e">
        <f>('LOCAL DATASET INPUTS'!$B$59/'LOCAL DATASET INPUTS'!$B$66*'USER INPUTS'!AF193)+('LOCAL DATASET INPUTS'!$B$60/'LOCAL DATASET INPUTS'!$B$66*'USER INPUTS'!AF194)+('LOCAL DATASET INPUTS'!$B$61/'LOCAL DATASET INPUTS'!$B$66*'USER INPUTS'!AF195)+('LOCAL DATASET INPUTS'!$B$62/'LOCAL DATASET INPUTS'!$B$66*'USER INPUTS'!AF196)</f>
        <v>#DIV/0!</v>
      </c>
      <c r="AG197" s="497" t="e">
        <f>('LOCAL DATASET INPUTS'!$B$59/'LOCAL DATASET INPUTS'!$B$66*'USER INPUTS'!AG193)+('LOCAL DATASET INPUTS'!$B$60/'LOCAL DATASET INPUTS'!$B$66*'USER INPUTS'!AG194)+('LOCAL DATASET INPUTS'!$B$61/'LOCAL DATASET INPUTS'!$B$66*'USER INPUTS'!AG195)+('LOCAL DATASET INPUTS'!$B$62/'LOCAL DATASET INPUTS'!$B$66*'USER INPUTS'!AG196)</f>
        <v>#DIV/0!</v>
      </c>
      <c r="AH197" s="497" t="e">
        <f>('LOCAL DATASET INPUTS'!$B$59/'LOCAL DATASET INPUTS'!$B$66*'USER INPUTS'!AH193)+('LOCAL DATASET INPUTS'!$B$60/'LOCAL DATASET INPUTS'!$B$66*'USER INPUTS'!AH194)+('LOCAL DATASET INPUTS'!$B$61/'LOCAL DATASET INPUTS'!$B$66*'USER INPUTS'!AH195)+('LOCAL DATASET INPUTS'!$B$62/'LOCAL DATASET INPUTS'!$B$66*'USER INPUTS'!AH196)</f>
        <v>#DIV/0!</v>
      </c>
      <c r="AI197" s="497" t="e">
        <f>('LOCAL DATASET INPUTS'!$B$59/'LOCAL DATASET INPUTS'!$B$66*'USER INPUTS'!AI193)+('LOCAL DATASET INPUTS'!$B$60/'LOCAL DATASET INPUTS'!$B$66*'USER INPUTS'!AI194)+('LOCAL DATASET INPUTS'!$B$61/'LOCAL DATASET INPUTS'!$B$66*'USER INPUTS'!AI195)+('LOCAL DATASET INPUTS'!$B$62/'LOCAL DATASET INPUTS'!$B$66*'USER INPUTS'!AI196)</f>
        <v>#DIV/0!</v>
      </c>
      <c r="AJ197" s="497" t="e">
        <f>('LOCAL DATASET INPUTS'!$B$59/'LOCAL DATASET INPUTS'!$B$66*'USER INPUTS'!AJ193)+('LOCAL DATASET INPUTS'!$B$60/'LOCAL DATASET INPUTS'!$B$66*'USER INPUTS'!AJ194)+('LOCAL DATASET INPUTS'!$B$61/'LOCAL DATASET INPUTS'!$B$66*'USER INPUTS'!AJ195)+('LOCAL DATASET INPUTS'!$B$62/'LOCAL DATASET INPUTS'!$B$66*'USER INPUTS'!AJ196)</f>
        <v>#DIV/0!</v>
      </c>
      <c r="AK197" s="497" t="e">
        <f>('LOCAL DATASET INPUTS'!$B$59/'LOCAL DATASET INPUTS'!$B$66*'USER INPUTS'!AK193)+('LOCAL DATASET INPUTS'!$B$60/'LOCAL DATASET INPUTS'!$B$66*'USER INPUTS'!AK194)+('LOCAL DATASET INPUTS'!$B$61/'LOCAL DATASET INPUTS'!$B$66*'USER INPUTS'!AK195)+('LOCAL DATASET INPUTS'!$B$62/'LOCAL DATASET INPUTS'!$B$66*'USER INPUTS'!AK196)</f>
        <v>#DIV/0!</v>
      </c>
      <c r="AL197" s="497" t="e">
        <f>('LOCAL DATASET INPUTS'!$B$59/'LOCAL DATASET INPUTS'!$B$66*'USER INPUTS'!AL193)+('LOCAL DATASET INPUTS'!$B$60/'LOCAL DATASET INPUTS'!$B$66*'USER INPUTS'!AL194)+('LOCAL DATASET INPUTS'!$B$61/'LOCAL DATASET INPUTS'!$B$66*'USER INPUTS'!AL195)+('LOCAL DATASET INPUTS'!$B$62/'LOCAL DATASET INPUTS'!$B$66*'USER INPUTS'!AL196)</f>
        <v>#DIV/0!</v>
      </c>
      <c r="AM197" s="497" t="e">
        <f>('LOCAL DATASET INPUTS'!$B$59/'LOCAL DATASET INPUTS'!$B$66*'USER INPUTS'!AM193)+('LOCAL DATASET INPUTS'!$B$60/'LOCAL DATASET INPUTS'!$B$66*'USER INPUTS'!AM194)+('LOCAL DATASET INPUTS'!$B$61/'LOCAL DATASET INPUTS'!$B$66*'USER INPUTS'!AM195)+('LOCAL DATASET INPUTS'!$B$62/'LOCAL DATASET INPUTS'!$B$66*'USER INPUTS'!AM196)</f>
        <v>#DIV/0!</v>
      </c>
      <c r="AN197" s="497" t="e">
        <f>('LOCAL DATASET INPUTS'!$B$59/'LOCAL DATASET INPUTS'!$B$66*'USER INPUTS'!AN193)+('LOCAL DATASET INPUTS'!$B$60/'LOCAL DATASET INPUTS'!$B$66*'USER INPUTS'!AN194)+('LOCAL DATASET INPUTS'!$B$61/'LOCAL DATASET INPUTS'!$B$66*'USER INPUTS'!AN195)+('LOCAL DATASET INPUTS'!$B$62/'LOCAL DATASET INPUTS'!$B$66*'USER INPUTS'!AN196)</f>
        <v>#DIV/0!</v>
      </c>
      <c r="AO197" s="497" t="e">
        <f>('LOCAL DATASET INPUTS'!$B$59/'LOCAL DATASET INPUTS'!$B$66*'USER INPUTS'!AO193)+('LOCAL DATASET INPUTS'!$B$60/'LOCAL DATASET INPUTS'!$B$66*'USER INPUTS'!AO194)+('LOCAL DATASET INPUTS'!$B$61/'LOCAL DATASET INPUTS'!$B$66*'USER INPUTS'!AO195)+('LOCAL DATASET INPUTS'!$B$62/'LOCAL DATASET INPUTS'!$B$66*'USER INPUTS'!AO196)</f>
        <v>#DIV/0!</v>
      </c>
      <c r="AP197" s="497" t="e">
        <f>('LOCAL DATASET INPUTS'!$B$59/'LOCAL DATASET INPUTS'!$B$66*'USER INPUTS'!AP193)+('LOCAL DATASET INPUTS'!$B$60/'LOCAL DATASET INPUTS'!$B$66*'USER INPUTS'!AP194)+('LOCAL DATASET INPUTS'!$B$61/'LOCAL DATASET INPUTS'!$B$66*'USER INPUTS'!AP195)+('LOCAL DATASET INPUTS'!$B$62/'LOCAL DATASET INPUTS'!$B$66*'USER INPUTS'!AP196)</f>
        <v>#DIV/0!</v>
      </c>
      <c r="AQ197" s="497" t="e">
        <f>('LOCAL DATASET INPUTS'!$B$59/'LOCAL DATASET INPUTS'!$B$66*'USER INPUTS'!AQ193)+('LOCAL DATASET INPUTS'!$B$60/'LOCAL DATASET INPUTS'!$B$66*'USER INPUTS'!AQ194)+('LOCAL DATASET INPUTS'!$B$61/'LOCAL DATASET INPUTS'!$B$66*'USER INPUTS'!AQ195)+('LOCAL DATASET INPUTS'!$B$62/'LOCAL DATASET INPUTS'!$B$66*'USER INPUTS'!AQ196)</f>
        <v>#DIV/0!</v>
      </c>
      <c r="AR197" s="497" t="e">
        <f>('LOCAL DATASET INPUTS'!$B$59/'LOCAL DATASET INPUTS'!$B$66*'USER INPUTS'!AR193)+('LOCAL DATASET INPUTS'!$B$60/'LOCAL DATASET INPUTS'!$B$66*'USER INPUTS'!AR194)+('LOCAL DATASET INPUTS'!$B$61/'LOCAL DATASET INPUTS'!$B$66*'USER INPUTS'!AR195)+('LOCAL DATASET INPUTS'!$B$62/'LOCAL DATASET INPUTS'!$B$66*'USER INPUTS'!AR196)</f>
        <v>#DIV/0!</v>
      </c>
      <c r="AS197" s="497" t="e">
        <f>('LOCAL DATASET INPUTS'!$B$59/'LOCAL DATASET INPUTS'!$B$66*'USER INPUTS'!AS193)+('LOCAL DATASET INPUTS'!$B$60/'LOCAL DATASET INPUTS'!$B$66*'USER INPUTS'!AS194)+('LOCAL DATASET INPUTS'!$B$61/'LOCAL DATASET INPUTS'!$B$66*'USER INPUTS'!AS195)+('LOCAL DATASET INPUTS'!$B$62/'LOCAL DATASET INPUTS'!$B$66*'USER INPUTS'!AS196)</f>
        <v>#DIV/0!</v>
      </c>
    </row>
    <row r="198" spans="1:45">
      <c r="A198" s="184" t="s">
        <v>12</v>
      </c>
      <c r="B198" s="5">
        <v>2030</v>
      </c>
      <c r="C198" s="174"/>
      <c r="D198" s="42"/>
      <c r="O198" s="475" t="s">
        <v>587</v>
      </c>
      <c r="P198" s="497">
        <f>'LOCAL DATASET INPUTS'!E69</f>
        <v>432.41909035520223</v>
      </c>
      <c r="Q198" s="497">
        <f>'LOCAL DATASET INPUTS'!F69</f>
        <v>432.33247367744275</v>
      </c>
      <c r="R198" s="497">
        <f>'LOCAL DATASET INPUTS'!G69</f>
        <v>432.24585699968338</v>
      </c>
      <c r="S198" s="497">
        <f>'LOCAL DATASET INPUTS'!H69</f>
        <v>432.15924032192407</v>
      </c>
      <c r="T198" s="497">
        <f>'LOCAL DATASET INPUTS'!I69</f>
        <v>432.07262364416465</v>
      </c>
      <c r="U198" s="497">
        <f>'LOCAL DATASET INPUTS'!J69</f>
        <v>431.72615693312702</v>
      </c>
      <c r="V198" s="497">
        <f>'LOCAL DATASET INPUTS'!K69</f>
        <v>431.37969022208938</v>
      </c>
      <c r="W198" s="497">
        <f>'LOCAL DATASET INPUTS'!L69</f>
        <v>431.0332235110518</v>
      </c>
      <c r="X198" s="497">
        <f>'LOCAL DATASET INPUTS'!M69</f>
        <v>430.68675680001417</v>
      </c>
      <c r="Y198" s="497">
        <f>'LOCAL DATASET INPUTS'!N69</f>
        <v>430.34029008897659</v>
      </c>
      <c r="Z198" s="497">
        <f>'LOCAL DATASET INPUTS'!O69</f>
        <v>430.08044005569843</v>
      </c>
      <c r="AA198" s="497">
        <f>'LOCAL DATASET INPUTS'!P69</f>
        <v>429.82059002242016</v>
      </c>
      <c r="AB198" s="497">
        <f>'LOCAL DATASET INPUTS'!Q69</f>
        <v>429.56073998914201</v>
      </c>
      <c r="AC198" s="497">
        <f>'LOCAL DATASET INPUTS'!R69</f>
        <v>429.30088995586374</v>
      </c>
      <c r="AD198" s="497">
        <f>'LOCAL DATASET INPUTS'!S69</f>
        <v>429.04103992258558</v>
      </c>
      <c r="AE198" s="497">
        <f>'LOCAL DATASET INPUTS'!T69</f>
        <v>428.78118988930743</v>
      </c>
      <c r="AF198" s="497">
        <f>'LOCAL DATASET INPUTS'!U69</f>
        <v>428.52133985602916</v>
      </c>
      <c r="AG198" s="497">
        <f>'LOCAL DATASET INPUTS'!V69</f>
        <v>428.26148982275095</v>
      </c>
      <c r="AH198" s="497">
        <f>'LOCAL DATASET INPUTS'!W69</f>
        <v>428.00163978947273</v>
      </c>
      <c r="AI198" s="497">
        <f>'LOCAL DATASET INPUTS'!X69</f>
        <v>427.7416470702135</v>
      </c>
      <c r="AJ198" s="497">
        <f>'LOCAL DATASET INPUTS'!Y69</f>
        <v>427.48164685225714</v>
      </c>
      <c r="AK198" s="497">
        <f>'LOCAL DATASET INPUTS'!Z69</f>
        <v>427.22163966129392</v>
      </c>
      <c r="AL198" s="497">
        <f>'LOCAL DATASET INPUTS'!AA69</f>
        <v>426.96162599388987</v>
      </c>
      <c r="AM198" s="497">
        <f>'LOCAL DATASET INPUTS'!AB69</f>
        <v>426.70160631894089</v>
      </c>
      <c r="AN198" s="497">
        <f>'LOCAL DATASET INPUTS'!AC69</f>
        <v>426.44158107905878</v>
      </c>
      <c r="AO198" s="497">
        <f>'LOCAL DATASET INPUTS'!AD69</f>
        <v>426.18155069189169</v>
      </c>
      <c r="AP198" s="497">
        <f>'LOCAL DATASET INPUTS'!AE69</f>
        <v>425.92151555138258</v>
      </c>
      <c r="AQ198" s="497">
        <f>'LOCAL DATASET INPUTS'!AF69</f>
        <v>425.66147602896712</v>
      </c>
      <c r="AR198" s="497">
        <f>'LOCAL DATASET INPUTS'!AG69</f>
        <v>425.40143247471559</v>
      </c>
      <c r="AS198" s="497">
        <f>'LOCAL DATASET INPUTS'!AH69</f>
        <v>425.14138521842079</v>
      </c>
    </row>
    <row r="199" spans="1:45">
      <c r="A199" s="184" t="s">
        <v>30</v>
      </c>
      <c r="B199" s="5">
        <v>2031</v>
      </c>
      <c r="C199" s="174"/>
      <c r="D199" s="42"/>
      <c r="O199" s="494" t="s">
        <v>585</v>
      </c>
      <c r="P199" s="494">
        <f>'LOCAL DATASET INPUTS'!E70</f>
        <v>2.6553882767968324</v>
      </c>
      <c r="Q199" s="494">
        <f>'LOCAL DATASET INPUTS'!F70</f>
        <v>2.6739759947344108</v>
      </c>
      <c r="R199" s="494">
        <f>'LOCAL DATASET INPUTS'!G70</f>
        <v>2.6846718987133484</v>
      </c>
      <c r="S199" s="494">
        <f>'LOCAL DATASET INPUTS'!H70</f>
        <v>2.7007799301056283</v>
      </c>
      <c r="T199" s="494">
        <f>'LOCAL DATASET INPUTS'!I70</f>
        <v>2.716984609686262</v>
      </c>
      <c r="U199" s="494">
        <f>'LOCAL DATASET INPUTS'!J70</f>
        <v>2.7224185789056343</v>
      </c>
      <c r="V199" s="494">
        <f>'LOCAL DATASET INPUTS'!K70</f>
        <v>2.7632548575892186</v>
      </c>
      <c r="W199" s="494">
        <f>'LOCAL DATASET INPUTS'!L70</f>
        <v>2.7715446221619859</v>
      </c>
      <c r="X199" s="494">
        <f>'LOCAL DATASET INPUTS'!M70</f>
        <v>2.7909454345171198</v>
      </c>
      <c r="Y199" s="494">
        <f>'LOCAL DATASET INPUTS'!N70</f>
        <v>2.8076911071242225</v>
      </c>
      <c r="Z199" s="494">
        <f>'LOCAL DATASET INPUTS'!O70</f>
        <v>2.8161141804455951</v>
      </c>
      <c r="AA199" s="494">
        <f>'LOCAL DATASET INPUTS'!P70</f>
        <v>2.8414592080696059</v>
      </c>
      <c r="AB199" s="494">
        <f>'LOCAL DATASET INPUTS'!Q70</f>
        <v>2.8613494225260934</v>
      </c>
      <c r="AC199" s="494">
        <f>'LOCAL DATASET INPUTS'!R70</f>
        <v>2.8813788684837767</v>
      </c>
      <c r="AD199" s="494">
        <f>'LOCAL DATASET INPUTS'!S70</f>
        <v>2.8871416262207443</v>
      </c>
      <c r="AE199" s="494">
        <f>'LOCAL DATASET INPUTS'!T70</f>
        <v>2.9102387592305106</v>
      </c>
      <c r="AF199" s="494">
        <f>'LOCAL DATASET INPUTS'!U70</f>
        <v>2.9393411468228154</v>
      </c>
      <c r="AG199" s="494">
        <f>'LOCAL DATASET INPUTS'!V70</f>
        <v>2.9540378525569291</v>
      </c>
      <c r="AH199" s="494">
        <f>'LOCAL DATASET INPUTS'!W70</f>
        <v>2.9569918904094856</v>
      </c>
      <c r="AI199" s="494">
        <f>'LOCAL DATASET INPUTS'!X70</f>
        <v>2.9569918904094856</v>
      </c>
      <c r="AJ199" s="494">
        <f>'LOCAL DATASET INPUTS'!Y70</f>
        <v>2.9569918904094856</v>
      </c>
      <c r="AK199" s="494">
        <f>'LOCAL DATASET INPUTS'!Z70</f>
        <v>2.9569918904094856</v>
      </c>
      <c r="AL199" s="494">
        <f>'LOCAL DATASET INPUTS'!AA70</f>
        <v>2.9569918904094856</v>
      </c>
      <c r="AM199" s="494">
        <f>'LOCAL DATASET INPUTS'!AB70</f>
        <v>2.9569918904094856</v>
      </c>
      <c r="AN199" s="494">
        <f>'LOCAL DATASET INPUTS'!AC70</f>
        <v>2.9569918904094856</v>
      </c>
      <c r="AO199" s="494">
        <f>'LOCAL DATASET INPUTS'!AD70</f>
        <v>2.9569918904094856</v>
      </c>
      <c r="AP199" s="494">
        <f>'LOCAL DATASET INPUTS'!AE70</f>
        <v>2.9569918904094856</v>
      </c>
      <c r="AQ199" s="494">
        <f>'LOCAL DATASET INPUTS'!AF70</f>
        <v>2.9569918904094856</v>
      </c>
      <c r="AR199" s="494">
        <f>'LOCAL DATASET INPUTS'!AG70</f>
        <v>2.9569918904094856</v>
      </c>
      <c r="AS199" s="494">
        <f>'LOCAL DATASET INPUTS'!AH70</f>
        <v>2.9569918904094856</v>
      </c>
    </row>
    <row r="200" spans="1:45">
      <c r="A200" s="184" t="s">
        <v>13</v>
      </c>
      <c r="B200" s="5">
        <f>B199+1</f>
        <v>2032</v>
      </c>
      <c r="C200" s="174"/>
      <c r="D200" s="42"/>
      <c r="O200" s="475" t="s">
        <v>596</v>
      </c>
      <c r="P200" s="499">
        <f>(($D$122/100*P197*P199)+((100-$D$122)/100*P198*P199))*1000</f>
        <v>1148240.5831923543</v>
      </c>
      <c r="Q200" s="499" t="e">
        <f t="shared" ref="Q200:AS200" si="69">(($D$122/100*Q197*Q199)+((100-$D$122)/100*Q198*Q199))*1000</f>
        <v>#DIV/0!</v>
      </c>
      <c r="R200" s="499" t="e">
        <f t="shared" si="69"/>
        <v>#DIV/0!</v>
      </c>
      <c r="S200" s="499" t="e">
        <f t="shared" si="69"/>
        <v>#DIV/0!</v>
      </c>
      <c r="T200" s="499" t="e">
        <f t="shared" si="69"/>
        <v>#DIV/0!</v>
      </c>
      <c r="U200" s="499" t="e">
        <f t="shared" si="69"/>
        <v>#DIV/0!</v>
      </c>
      <c r="V200" s="499" t="e">
        <f t="shared" si="69"/>
        <v>#DIV/0!</v>
      </c>
      <c r="W200" s="499" t="e">
        <f t="shared" si="69"/>
        <v>#DIV/0!</v>
      </c>
      <c r="X200" s="499" t="e">
        <f t="shared" si="69"/>
        <v>#DIV/0!</v>
      </c>
      <c r="Y200" s="499" t="e">
        <f t="shared" si="69"/>
        <v>#DIV/0!</v>
      </c>
      <c r="Z200" s="499" t="e">
        <f t="shared" si="69"/>
        <v>#DIV/0!</v>
      </c>
      <c r="AA200" s="499" t="e">
        <f t="shared" si="69"/>
        <v>#DIV/0!</v>
      </c>
      <c r="AB200" s="499" t="e">
        <f t="shared" si="69"/>
        <v>#DIV/0!</v>
      </c>
      <c r="AC200" s="499" t="e">
        <f t="shared" si="69"/>
        <v>#DIV/0!</v>
      </c>
      <c r="AD200" s="499" t="e">
        <f t="shared" si="69"/>
        <v>#DIV/0!</v>
      </c>
      <c r="AE200" s="499" t="e">
        <f t="shared" si="69"/>
        <v>#DIV/0!</v>
      </c>
      <c r="AF200" s="499" t="e">
        <f t="shared" si="69"/>
        <v>#DIV/0!</v>
      </c>
      <c r="AG200" s="499" t="e">
        <f t="shared" si="69"/>
        <v>#DIV/0!</v>
      </c>
      <c r="AH200" s="499" t="e">
        <f t="shared" si="69"/>
        <v>#DIV/0!</v>
      </c>
      <c r="AI200" s="499" t="e">
        <f t="shared" si="69"/>
        <v>#DIV/0!</v>
      </c>
      <c r="AJ200" s="499" t="e">
        <f t="shared" si="69"/>
        <v>#DIV/0!</v>
      </c>
      <c r="AK200" s="499" t="e">
        <f t="shared" si="69"/>
        <v>#DIV/0!</v>
      </c>
      <c r="AL200" s="499" t="e">
        <f t="shared" si="69"/>
        <v>#DIV/0!</v>
      </c>
      <c r="AM200" s="499" t="e">
        <f t="shared" si="69"/>
        <v>#DIV/0!</v>
      </c>
      <c r="AN200" s="499" t="e">
        <f t="shared" si="69"/>
        <v>#DIV/0!</v>
      </c>
      <c r="AO200" s="499" t="e">
        <f t="shared" si="69"/>
        <v>#DIV/0!</v>
      </c>
      <c r="AP200" s="499" t="e">
        <f t="shared" si="69"/>
        <v>#DIV/0!</v>
      </c>
      <c r="AQ200" s="499" t="e">
        <f t="shared" si="69"/>
        <v>#DIV/0!</v>
      </c>
      <c r="AR200" s="499" t="e">
        <f t="shared" si="69"/>
        <v>#DIV/0!</v>
      </c>
      <c r="AS200" s="499" t="e">
        <f t="shared" si="69"/>
        <v>#DIV/0!</v>
      </c>
    </row>
    <row r="201" spans="1:45">
      <c r="A201" s="184" t="s">
        <v>14</v>
      </c>
      <c r="B201" s="5">
        <f t="shared" ref="B201:B216" si="70">B200+1</f>
        <v>2033</v>
      </c>
      <c r="C201" s="174"/>
      <c r="D201" s="42"/>
      <c r="O201" s="475" t="s">
        <v>563</v>
      </c>
      <c r="P201" s="490">
        <f>(P200-'LOCAL DATASET INPUTS'!E71)/'LOCAL DATASET INPUTS'!E71*100</f>
        <v>99900</v>
      </c>
      <c r="Q201" s="490" t="e">
        <f>(Q200-'LOCAL DATASET INPUTS'!F71)/'LOCAL DATASET INPUTS'!F71*100</f>
        <v>#DIV/0!</v>
      </c>
      <c r="R201" s="490" t="e">
        <f>(R200-'LOCAL DATASET INPUTS'!G71)/'LOCAL DATASET INPUTS'!G71*100</f>
        <v>#DIV/0!</v>
      </c>
      <c r="S201" s="490" t="e">
        <f>(S200-'LOCAL DATASET INPUTS'!H71)/'LOCAL DATASET INPUTS'!H71*100</f>
        <v>#DIV/0!</v>
      </c>
      <c r="T201" s="490" t="e">
        <f>(T200-'LOCAL DATASET INPUTS'!I71)/'LOCAL DATASET INPUTS'!I71*100</f>
        <v>#DIV/0!</v>
      </c>
      <c r="U201" s="490" t="e">
        <f>(U200-'LOCAL DATASET INPUTS'!J71)/'LOCAL DATASET INPUTS'!J71*100</f>
        <v>#DIV/0!</v>
      </c>
      <c r="V201" s="490" t="e">
        <f>(V200-'LOCAL DATASET INPUTS'!K71)/'LOCAL DATASET INPUTS'!K71*100</f>
        <v>#DIV/0!</v>
      </c>
      <c r="W201" s="490" t="e">
        <f>(W200-'LOCAL DATASET INPUTS'!L71)/'LOCAL DATASET INPUTS'!L71*100</f>
        <v>#DIV/0!</v>
      </c>
      <c r="X201" s="490" t="e">
        <f>(X200-'LOCAL DATASET INPUTS'!M71)/'LOCAL DATASET INPUTS'!M71*100</f>
        <v>#DIV/0!</v>
      </c>
      <c r="Y201" s="490" t="e">
        <f>(Y200-'LOCAL DATASET INPUTS'!N71)/'LOCAL DATASET INPUTS'!N71*100</f>
        <v>#DIV/0!</v>
      </c>
      <c r="Z201" s="490" t="e">
        <f>(Z200-'LOCAL DATASET INPUTS'!O71)/'LOCAL DATASET INPUTS'!O71*100</f>
        <v>#DIV/0!</v>
      </c>
      <c r="AA201" s="490" t="e">
        <f>(AA200-'LOCAL DATASET INPUTS'!P71)/'LOCAL DATASET INPUTS'!P71*100</f>
        <v>#DIV/0!</v>
      </c>
      <c r="AB201" s="490" t="e">
        <f>(AB200-'LOCAL DATASET INPUTS'!Q71)/'LOCAL DATASET INPUTS'!Q71*100</f>
        <v>#DIV/0!</v>
      </c>
      <c r="AC201" s="490" t="e">
        <f>(AC200-'LOCAL DATASET INPUTS'!R71)/'LOCAL DATASET INPUTS'!R71*100</f>
        <v>#DIV/0!</v>
      </c>
      <c r="AD201" s="490" t="e">
        <f>(AD200-'LOCAL DATASET INPUTS'!S71)/'LOCAL DATASET INPUTS'!S71*100</f>
        <v>#DIV/0!</v>
      </c>
      <c r="AE201" s="490" t="e">
        <f>(AE200-'LOCAL DATASET INPUTS'!T71)/'LOCAL DATASET INPUTS'!T71*100</f>
        <v>#DIV/0!</v>
      </c>
      <c r="AF201" s="490" t="e">
        <f>(AF200-'LOCAL DATASET INPUTS'!U71)/'LOCAL DATASET INPUTS'!U71*100</f>
        <v>#DIV/0!</v>
      </c>
      <c r="AG201" s="490" t="e">
        <f>(AG200-'LOCAL DATASET INPUTS'!V71)/'LOCAL DATASET INPUTS'!V71*100</f>
        <v>#DIV/0!</v>
      </c>
      <c r="AH201" s="490" t="e">
        <f>(AH200-'LOCAL DATASET INPUTS'!W71)/'LOCAL DATASET INPUTS'!W71*100</f>
        <v>#DIV/0!</v>
      </c>
      <c r="AI201" s="490" t="e">
        <f>(AI200-'LOCAL DATASET INPUTS'!X71)/'LOCAL DATASET INPUTS'!X71*100</f>
        <v>#DIV/0!</v>
      </c>
      <c r="AJ201" s="490" t="e">
        <f>(AJ200-'LOCAL DATASET INPUTS'!Y71)/'LOCAL DATASET INPUTS'!Y71*100</f>
        <v>#DIV/0!</v>
      </c>
      <c r="AK201" s="490" t="e">
        <f>(AK200-'LOCAL DATASET INPUTS'!Z71)/'LOCAL DATASET INPUTS'!Z71*100</f>
        <v>#DIV/0!</v>
      </c>
      <c r="AL201" s="490" t="e">
        <f>(AL200-'LOCAL DATASET INPUTS'!AA71)/'LOCAL DATASET INPUTS'!AA71*100</f>
        <v>#DIV/0!</v>
      </c>
      <c r="AM201" s="490" t="e">
        <f>(AM200-'LOCAL DATASET INPUTS'!AB71)/'LOCAL DATASET INPUTS'!AB71*100</f>
        <v>#DIV/0!</v>
      </c>
      <c r="AN201" s="490" t="e">
        <f>(AN200-'LOCAL DATASET INPUTS'!AC71)/'LOCAL DATASET INPUTS'!AC71*100</f>
        <v>#DIV/0!</v>
      </c>
      <c r="AO201" s="490" t="e">
        <f>(AO200-'LOCAL DATASET INPUTS'!AD71)/'LOCAL DATASET INPUTS'!AD71*100</f>
        <v>#DIV/0!</v>
      </c>
      <c r="AP201" s="490" t="e">
        <f>(AP200-'LOCAL DATASET INPUTS'!AE71)/'LOCAL DATASET INPUTS'!AE71*100</f>
        <v>#DIV/0!</v>
      </c>
      <c r="AQ201" s="490" t="e">
        <f>(AQ200-'LOCAL DATASET INPUTS'!AF71)/'LOCAL DATASET INPUTS'!AF71*100</f>
        <v>#DIV/0!</v>
      </c>
      <c r="AR201" s="490" t="e">
        <f>(AR200-'LOCAL DATASET INPUTS'!AG71)/'LOCAL DATASET INPUTS'!AG71*100</f>
        <v>#DIV/0!</v>
      </c>
      <c r="AS201" s="490" t="e">
        <f>(AS200-'LOCAL DATASET INPUTS'!AH71)/'LOCAL DATASET INPUTS'!AH71*100</f>
        <v>#DIV/0!</v>
      </c>
    </row>
    <row r="202" spans="1:45">
      <c r="A202" s="184" t="s">
        <v>45</v>
      </c>
      <c r="B202" s="5">
        <f t="shared" si="70"/>
        <v>2034</v>
      </c>
      <c r="C202" s="37" t="s">
        <v>161</v>
      </c>
      <c r="D202" s="42"/>
    </row>
    <row r="203" spans="1:45">
      <c r="A203" s="184" t="s">
        <v>16</v>
      </c>
      <c r="B203" s="5">
        <f t="shared" si="70"/>
        <v>2035</v>
      </c>
      <c r="C203" s="174" t="s">
        <v>517</v>
      </c>
      <c r="D203" s="42"/>
      <c r="O203" s="472" t="s">
        <v>629</v>
      </c>
    </row>
    <row r="204" spans="1:45">
      <c r="A204" s="184" t="s">
        <v>17</v>
      </c>
      <c r="B204" s="5">
        <f t="shared" si="70"/>
        <v>2036</v>
      </c>
      <c r="C204" s="37" t="s">
        <v>518</v>
      </c>
      <c r="D204" s="185">
        <v>0.25</v>
      </c>
      <c r="O204" s="494" t="s">
        <v>590</v>
      </c>
      <c r="P204" s="483">
        <f>2021</f>
        <v>2021</v>
      </c>
      <c r="Q204" s="501">
        <f>P204+1</f>
        <v>2022</v>
      </c>
      <c r="R204" s="501">
        <f t="shared" ref="R204:AS204" si="71">Q204+1</f>
        <v>2023</v>
      </c>
      <c r="S204" s="501">
        <f t="shared" si="71"/>
        <v>2024</v>
      </c>
      <c r="T204" s="501">
        <f t="shared" si="71"/>
        <v>2025</v>
      </c>
      <c r="U204" s="501">
        <f t="shared" si="71"/>
        <v>2026</v>
      </c>
      <c r="V204" s="501">
        <f t="shared" si="71"/>
        <v>2027</v>
      </c>
      <c r="W204" s="501">
        <f t="shared" si="71"/>
        <v>2028</v>
      </c>
      <c r="X204" s="501">
        <f t="shared" si="71"/>
        <v>2029</v>
      </c>
      <c r="Y204" s="501">
        <f t="shared" si="71"/>
        <v>2030</v>
      </c>
      <c r="Z204" s="501">
        <f t="shared" si="71"/>
        <v>2031</v>
      </c>
      <c r="AA204" s="501">
        <f t="shared" si="71"/>
        <v>2032</v>
      </c>
      <c r="AB204" s="501">
        <f t="shared" si="71"/>
        <v>2033</v>
      </c>
      <c r="AC204" s="501">
        <f t="shared" si="71"/>
        <v>2034</v>
      </c>
      <c r="AD204" s="501">
        <f t="shared" si="71"/>
        <v>2035</v>
      </c>
      <c r="AE204" s="501">
        <f t="shared" si="71"/>
        <v>2036</v>
      </c>
      <c r="AF204" s="501">
        <f t="shared" si="71"/>
        <v>2037</v>
      </c>
      <c r="AG204" s="501">
        <f t="shared" si="71"/>
        <v>2038</v>
      </c>
      <c r="AH204" s="501">
        <f t="shared" si="71"/>
        <v>2039</v>
      </c>
      <c r="AI204" s="501">
        <f t="shared" si="71"/>
        <v>2040</v>
      </c>
      <c r="AJ204" s="501">
        <f t="shared" si="71"/>
        <v>2041</v>
      </c>
      <c r="AK204" s="501">
        <f t="shared" si="71"/>
        <v>2042</v>
      </c>
      <c r="AL204" s="501">
        <f t="shared" si="71"/>
        <v>2043</v>
      </c>
      <c r="AM204" s="501">
        <f t="shared" si="71"/>
        <v>2044</v>
      </c>
      <c r="AN204" s="501">
        <f t="shared" si="71"/>
        <v>2045</v>
      </c>
      <c r="AO204" s="501">
        <f t="shared" si="71"/>
        <v>2046</v>
      </c>
      <c r="AP204" s="501">
        <f t="shared" si="71"/>
        <v>2047</v>
      </c>
      <c r="AQ204" s="501">
        <f t="shared" si="71"/>
        <v>2048</v>
      </c>
      <c r="AR204" s="501">
        <f t="shared" si="71"/>
        <v>2049</v>
      </c>
      <c r="AS204" s="501">
        <f t="shared" si="71"/>
        <v>2050</v>
      </c>
    </row>
    <row r="205" spans="1:45">
      <c r="A205" s="184" t="s">
        <v>20</v>
      </c>
      <c r="B205" s="5">
        <f t="shared" si="70"/>
        <v>2037</v>
      </c>
      <c r="C205" s="37" t="s">
        <v>520</v>
      </c>
      <c r="D205" s="185">
        <v>1</v>
      </c>
      <c r="O205" s="397" t="str">
        <f>A133</f>
        <v>Liquefied Petroleum Gas LPG</v>
      </c>
      <c r="P205" s="503">
        <f>'LOCAL DATASET INPUTS'!E84</f>
        <v>0</v>
      </c>
      <c r="Q205" s="503">
        <f>'LOCAL DATASET INPUTS'!F84</f>
        <v>0</v>
      </c>
      <c r="R205" s="502">
        <f>'LOCAL DATASET INPUTS'!G84</f>
        <v>0</v>
      </c>
      <c r="S205" s="502">
        <f>'LOCAL DATASET INPUTS'!H84</f>
        <v>0</v>
      </c>
      <c r="T205" s="502">
        <f>'LOCAL DATASET INPUTS'!I84</f>
        <v>0</v>
      </c>
      <c r="U205" s="502">
        <f>'LOCAL DATASET INPUTS'!J84</f>
        <v>0</v>
      </c>
      <c r="V205" s="502">
        <f>'LOCAL DATASET INPUTS'!K84</f>
        <v>0</v>
      </c>
      <c r="W205" s="502">
        <f>'LOCAL DATASET INPUTS'!L84</f>
        <v>0</v>
      </c>
      <c r="X205" s="502">
        <f>'LOCAL DATASET INPUTS'!M84</f>
        <v>0</v>
      </c>
      <c r="Y205" s="502">
        <f>'LOCAL DATASET INPUTS'!N84</f>
        <v>0</v>
      </c>
      <c r="Z205" s="502">
        <f>'LOCAL DATASET INPUTS'!O84</f>
        <v>0</v>
      </c>
      <c r="AA205" s="502">
        <f>'LOCAL DATASET INPUTS'!P84</f>
        <v>0</v>
      </c>
      <c r="AB205" s="502">
        <f>'LOCAL DATASET INPUTS'!Q84</f>
        <v>0</v>
      </c>
      <c r="AC205" s="502">
        <f>'LOCAL DATASET INPUTS'!R84</f>
        <v>0</v>
      </c>
      <c r="AD205" s="502">
        <f>'LOCAL DATASET INPUTS'!S84</f>
        <v>0</v>
      </c>
      <c r="AE205" s="502">
        <f>'LOCAL DATASET INPUTS'!T84</f>
        <v>0</v>
      </c>
      <c r="AF205" s="502">
        <f>'LOCAL DATASET INPUTS'!U84</f>
        <v>0</v>
      </c>
      <c r="AG205" s="502">
        <f>'LOCAL DATASET INPUTS'!V84</f>
        <v>0</v>
      </c>
      <c r="AH205" s="502">
        <f>'LOCAL DATASET INPUTS'!W84</f>
        <v>0</v>
      </c>
      <c r="AI205" s="502">
        <f>'LOCAL DATASET INPUTS'!X84</f>
        <v>0</v>
      </c>
      <c r="AJ205" s="502">
        <f>'LOCAL DATASET INPUTS'!Y84</f>
        <v>0</v>
      </c>
      <c r="AK205" s="502">
        <f>'LOCAL DATASET INPUTS'!Z84</f>
        <v>0</v>
      </c>
      <c r="AL205" s="502">
        <f>'LOCAL DATASET INPUTS'!AA84</f>
        <v>0</v>
      </c>
      <c r="AM205" s="502">
        <f>'LOCAL DATASET INPUTS'!AB84</f>
        <v>0</v>
      </c>
      <c r="AN205" s="502">
        <f>'LOCAL DATASET INPUTS'!AC84</f>
        <v>0</v>
      </c>
      <c r="AO205" s="502">
        <f>'LOCAL DATASET INPUTS'!AD84</f>
        <v>0</v>
      </c>
      <c r="AP205" s="502">
        <f>'LOCAL DATASET INPUTS'!AE84</f>
        <v>0</v>
      </c>
      <c r="AQ205" s="502">
        <f>'LOCAL DATASET INPUTS'!AF84</f>
        <v>0</v>
      </c>
      <c r="AR205" s="502">
        <f>'LOCAL DATASET INPUTS'!AG84</f>
        <v>0</v>
      </c>
      <c r="AS205" s="502">
        <f>'LOCAL DATASET INPUTS'!AH84</f>
        <v>0</v>
      </c>
    </row>
    <row r="206" spans="1:45">
      <c r="A206" s="184" t="s">
        <v>154</v>
      </c>
      <c r="B206" s="5">
        <f t="shared" si="70"/>
        <v>2038</v>
      </c>
      <c r="C206" s="37" t="s">
        <v>519</v>
      </c>
      <c r="D206" s="185">
        <v>2.5</v>
      </c>
      <c r="O206" s="518" t="s">
        <v>600</v>
      </c>
      <c r="P206" s="520">
        <f>IF((P204-2020)=$B$150,(($C$133-$P$205)/($C$150-$B$150+1)),0)</f>
        <v>0</v>
      </c>
      <c r="Q206" s="520">
        <f t="shared" ref="Q206:AS206" si="72">IF((Q204-2020)=$B$150,(($C$133-P205)/($C$150-$B$150+1)),P206)</f>
        <v>0</v>
      </c>
      <c r="R206" s="578">
        <f t="shared" si="72"/>
        <v>0</v>
      </c>
      <c r="S206" s="578">
        <f t="shared" si="72"/>
        <v>0</v>
      </c>
      <c r="T206" s="578">
        <f t="shared" si="72"/>
        <v>0</v>
      </c>
      <c r="U206" s="578">
        <f t="shared" si="72"/>
        <v>0</v>
      </c>
      <c r="V206" s="578">
        <f t="shared" si="72"/>
        <v>0</v>
      </c>
      <c r="W206" s="578">
        <f t="shared" si="72"/>
        <v>0</v>
      </c>
      <c r="X206" s="578">
        <f t="shared" si="72"/>
        <v>0</v>
      </c>
      <c r="Y206" s="578">
        <f t="shared" si="72"/>
        <v>0</v>
      </c>
      <c r="Z206" s="578">
        <f t="shared" si="72"/>
        <v>0</v>
      </c>
      <c r="AA206" s="578">
        <f t="shared" si="72"/>
        <v>0</v>
      </c>
      <c r="AB206" s="578">
        <f t="shared" si="72"/>
        <v>0</v>
      </c>
      <c r="AC206" s="578">
        <f t="shared" si="72"/>
        <v>0</v>
      </c>
      <c r="AD206" s="578">
        <f t="shared" si="72"/>
        <v>0</v>
      </c>
      <c r="AE206" s="578">
        <f t="shared" si="72"/>
        <v>0</v>
      </c>
      <c r="AF206" s="578">
        <f t="shared" si="72"/>
        <v>0</v>
      </c>
      <c r="AG206" s="578">
        <f t="shared" si="72"/>
        <v>0</v>
      </c>
      <c r="AH206" s="578">
        <f t="shared" si="72"/>
        <v>0</v>
      </c>
      <c r="AI206" s="578">
        <f t="shared" si="72"/>
        <v>0</v>
      </c>
      <c r="AJ206" s="578">
        <f t="shared" si="72"/>
        <v>0</v>
      </c>
      <c r="AK206" s="578">
        <f t="shared" si="72"/>
        <v>0</v>
      </c>
      <c r="AL206" s="578">
        <f t="shared" si="72"/>
        <v>0</v>
      </c>
      <c r="AM206" s="578">
        <f t="shared" si="72"/>
        <v>0</v>
      </c>
      <c r="AN206" s="578">
        <f t="shared" si="72"/>
        <v>0</v>
      </c>
      <c r="AO206" s="578">
        <f t="shared" si="72"/>
        <v>0</v>
      </c>
      <c r="AP206" s="578">
        <f t="shared" si="72"/>
        <v>0</v>
      </c>
      <c r="AQ206" s="578">
        <f t="shared" si="72"/>
        <v>0</v>
      </c>
      <c r="AR206" s="578">
        <f t="shared" si="72"/>
        <v>0</v>
      </c>
      <c r="AS206" s="578">
        <f t="shared" si="72"/>
        <v>0</v>
      </c>
    </row>
    <row r="207" spans="1:45">
      <c r="A207" s="184" t="s">
        <v>18</v>
      </c>
      <c r="B207" s="5">
        <f t="shared" si="70"/>
        <v>2039</v>
      </c>
      <c r="C207" s="37" t="s">
        <v>41</v>
      </c>
      <c r="D207" s="38"/>
      <c r="O207" s="523" t="s">
        <v>573</v>
      </c>
      <c r="P207" s="513">
        <f>IF(AND((P204-2019)&gt;$B$150,(P204-2021)&lt;$C$150),($P$205+(($C$133-$P$205)/($C$150-$B$150+1))),P205)</f>
        <v>0</v>
      </c>
      <c r="Q207" s="513">
        <f>IF(AND((Q204-2019)&gt;$B$150,(Q204-2021)&lt;$C$150),(P207+Q206),P207)</f>
        <v>0</v>
      </c>
      <c r="R207" s="512">
        <f t="shared" ref="R207:AS207" si="73">IF(AND((R204-2019)&gt;$B$150,(R204-2021)&lt;$C$150),(Q207+R206),Q207)</f>
        <v>0</v>
      </c>
      <c r="S207" s="512">
        <f t="shared" si="73"/>
        <v>0</v>
      </c>
      <c r="T207" s="512">
        <f t="shared" si="73"/>
        <v>0</v>
      </c>
      <c r="U207" s="512">
        <f t="shared" si="73"/>
        <v>0</v>
      </c>
      <c r="V207" s="512">
        <f t="shared" si="73"/>
        <v>0</v>
      </c>
      <c r="W207" s="512">
        <f t="shared" si="73"/>
        <v>0</v>
      </c>
      <c r="X207" s="512">
        <f t="shared" si="73"/>
        <v>0</v>
      </c>
      <c r="Y207" s="512">
        <f t="shared" si="73"/>
        <v>0</v>
      </c>
      <c r="Z207" s="512">
        <f t="shared" si="73"/>
        <v>0</v>
      </c>
      <c r="AA207" s="512">
        <f t="shared" si="73"/>
        <v>0</v>
      </c>
      <c r="AB207" s="512">
        <f t="shared" si="73"/>
        <v>0</v>
      </c>
      <c r="AC207" s="512">
        <f t="shared" si="73"/>
        <v>0</v>
      </c>
      <c r="AD207" s="512">
        <f t="shared" si="73"/>
        <v>0</v>
      </c>
      <c r="AE207" s="512">
        <f t="shared" si="73"/>
        <v>0</v>
      </c>
      <c r="AF207" s="512">
        <f t="shared" si="73"/>
        <v>0</v>
      </c>
      <c r="AG207" s="512">
        <f t="shared" si="73"/>
        <v>0</v>
      </c>
      <c r="AH207" s="512">
        <f t="shared" si="73"/>
        <v>0</v>
      </c>
      <c r="AI207" s="512">
        <f t="shared" si="73"/>
        <v>0</v>
      </c>
      <c r="AJ207" s="512">
        <f t="shared" si="73"/>
        <v>0</v>
      </c>
      <c r="AK207" s="512">
        <f t="shared" si="73"/>
        <v>0</v>
      </c>
      <c r="AL207" s="512">
        <f t="shared" si="73"/>
        <v>0</v>
      </c>
      <c r="AM207" s="512">
        <f t="shared" si="73"/>
        <v>0</v>
      </c>
      <c r="AN207" s="512">
        <f t="shared" si="73"/>
        <v>0</v>
      </c>
      <c r="AO207" s="512">
        <f t="shared" si="73"/>
        <v>0</v>
      </c>
      <c r="AP207" s="512">
        <f t="shared" si="73"/>
        <v>0</v>
      </c>
      <c r="AQ207" s="512">
        <f t="shared" si="73"/>
        <v>0</v>
      </c>
      <c r="AR207" s="512">
        <f t="shared" si="73"/>
        <v>0</v>
      </c>
      <c r="AS207" s="512">
        <f t="shared" si="73"/>
        <v>0</v>
      </c>
    </row>
    <row r="208" spans="1:45">
      <c r="A208" s="184" t="s">
        <v>19</v>
      </c>
      <c r="B208" s="5">
        <f t="shared" si="70"/>
        <v>2040</v>
      </c>
      <c r="C208" s="174" t="s">
        <v>169</v>
      </c>
      <c r="D208" s="38"/>
      <c r="O208" s="397" t="str">
        <f>A134</f>
        <v>Natural Gas CNG</v>
      </c>
      <c r="P208" s="503">
        <f>'LOCAL DATASET INPUTS'!E85</f>
        <v>0</v>
      </c>
      <c r="Q208" s="503">
        <f>'LOCAL DATASET INPUTS'!F85</f>
        <v>0</v>
      </c>
      <c r="R208" s="503">
        <f>'LOCAL DATASET INPUTS'!G85</f>
        <v>0</v>
      </c>
      <c r="S208" s="503">
        <f>'LOCAL DATASET INPUTS'!H85</f>
        <v>0</v>
      </c>
      <c r="T208" s="503">
        <f>'LOCAL DATASET INPUTS'!I85</f>
        <v>0</v>
      </c>
      <c r="U208" s="503">
        <f>'LOCAL DATASET INPUTS'!J85</f>
        <v>0</v>
      </c>
      <c r="V208" s="503">
        <f>'LOCAL DATASET INPUTS'!K85</f>
        <v>0</v>
      </c>
      <c r="W208" s="503">
        <f>'LOCAL DATASET INPUTS'!L85</f>
        <v>0</v>
      </c>
      <c r="X208" s="503">
        <f>'LOCAL DATASET INPUTS'!M85</f>
        <v>0</v>
      </c>
      <c r="Y208" s="503">
        <f>'LOCAL DATASET INPUTS'!N85</f>
        <v>0</v>
      </c>
      <c r="Z208" s="503">
        <f>'LOCAL DATASET INPUTS'!O85</f>
        <v>0</v>
      </c>
      <c r="AA208" s="503">
        <f>'LOCAL DATASET INPUTS'!P85</f>
        <v>0</v>
      </c>
      <c r="AB208" s="503">
        <f>'LOCAL DATASET INPUTS'!Q85</f>
        <v>0</v>
      </c>
      <c r="AC208" s="503">
        <f>'LOCAL DATASET INPUTS'!R85</f>
        <v>0</v>
      </c>
      <c r="AD208" s="503">
        <f>'LOCAL DATASET INPUTS'!S85</f>
        <v>0</v>
      </c>
      <c r="AE208" s="503">
        <f>'LOCAL DATASET INPUTS'!T85</f>
        <v>0</v>
      </c>
      <c r="AF208" s="503">
        <f>'LOCAL DATASET INPUTS'!U85</f>
        <v>0</v>
      </c>
      <c r="AG208" s="503">
        <f>'LOCAL DATASET INPUTS'!V85</f>
        <v>0</v>
      </c>
      <c r="AH208" s="503">
        <f>'LOCAL DATASET INPUTS'!W85</f>
        <v>0</v>
      </c>
      <c r="AI208" s="503">
        <f>'LOCAL DATASET INPUTS'!X85</f>
        <v>0</v>
      </c>
      <c r="AJ208" s="503">
        <f>'LOCAL DATASET INPUTS'!Y85</f>
        <v>0</v>
      </c>
      <c r="AK208" s="503">
        <f>'LOCAL DATASET INPUTS'!Z85</f>
        <v>0</v>
      </c>
      <c r="AL208" s="503">
        <f>'LOCAL DATASET INPUTS'!AA85</f>
        <v>0</v>
      </c>
      <c r="AM208" s="503">
        <f>'LOCAL DATASET INPUTS'!AB85</f>
        <v>0</v>
      </c>
      <c r="AN208" s="503">
        <f>'LOCAL DATASET INPUTS'!AC85</f>
        <v>0</v>
      </c>
      <c r="AO208" s="503">
        <f>'LOCAL DATASET INPUTS'!AD85</f>
        <v>0</v>
      </c>
      <c r="AP208" s="503">
        <f>'LOCAL DATASET INPUTS'!AE85</f>
        <v>0</v>
      </c>
      <c r="AQ208" s="503">
        <f>'LOCAL DATASET INPUTS'!AF85</f>
        <v>0</v>
      </c>
      <c r="AR208" s="503">
        <f>'LOCAL DATASET INPUTS'!AG85</f>
        <v>0</v>
      </c>
      <c r="AS208" s="503">
        <f>'LOCAL DATASET INPUTS'!AH85</f>
        <v>0</v>
      </c>
    </row>
    <row r="209" spans="1:45">
      <c r="A209" s="184" t="s">
        <v>21</v>
      </c>
      <c r="B209" s="5">
        <f t="shared" si="70"/>
        <v>2041</v>
      </c>
      <c r="C209" s="37" t="s">
        <v>170</v>
      </c>
      <c r="D209" s="185">
        <v>0.25</v>
      </c>
      <c r="N209" s="86"/>
      <c r="O209" s="518" t="s">
        <v>600</v>
      </c>
      <c r="P209" s="520">
        <f>IF((P204-2020)=$B$150,(($C$134-$P$208)/($C$150-$B$150+1)),0)</f>
        <v>0</v>
      </c>
      <c r="Q209" s="520">
        <f t="shared" ref="Q209:AS209" si="74">IF((Q204-2020)=$B$150,(($C$134-P208)/($C$150-$B$150+1)),P209)</f>
        <v>0</v>
      </c>
      <c r="R209" s="520">
        <f t="shared" si="74"/>
        <v>0</v>
      </c>
      <c r="S209" s="520">
        <f t="shared" si="74"/>
        <v>0</v>
      </c>
      <c r="T209" s="520">
        <f t="shared" si="74"/>
        <v>0.09</v>
      </c>
      <c r="U209" s="520">
        <f t="shared" si="74"/>
        <v>0.09</v>
      </c>
      <c r="V209" s="520">
        <f t="shared" si="74"/>
        <v>0.09</v>
      </c>
      <c r="W209" s="520">
        <f t="shared" si="74"/>
        <v>0.09</v>
      </c>
      <c r="X209" s="520">
        <f t="shared" si="74"/>
        <v>0.09</v>
      </c>
      <c r="Y209" s="520">
        <f t="shared" si="74"/>
        <v>0.09</v>
      </c>
      <c r="Z209" s="520">
        <f t="shared" si="74"/>
        <v>0.09</v>
      </c>
      <c r="AA209" s="520">
        <f t="shared" si="74"/>
        <v>0.09</v>
      </c>
      <c r="AB209" s="520">
        <f t="shared" si="74"/>
        <v>0.09</v>
      </c>
      <c r="AC209" s="520">
        <f t="shared" si="74"/>
        <v>0.09</v>
      </c>
      <c r="AD209" s="520">
        <f t="shared" si="74"/>
        <v>0.09</v>
      </c>
      <c r="AE209" s="520">
        <f t="shared" si="74"/>
        <v>0.09</v>
      </c>
      <c r="AF209" s="520">
        <f t="shared" si="74"/>
        <v>0.09</v>
      </c>
      <c r="AG209" s="520">
        <f t="shared" si="74"/>
        <v>0.09</v>
      </c>
      <c r="AH209" s="520">
        <f t="shared" si="74"/>
        <v>0.09</v>
      </c>
      <c r="AI209" s="520">
        <f t="shared" si="74"/>
        <v>0.09</v>
      </c>
      <c r="AJ209" s="520">
        <f t="shared" si="74"/>
        <v>0.09</v>
      </c>
      <c r="AK209" s="520">
        <f t="shared" si="74"/>
        <v>0.09</v>
      </c>
      <c r="AL209" s="520">
        <f t="shared" si="74"/>
        <v>0.09</v>
      </c>
      <c r="AM209" s="520">
        <f t="shared" si="74"/>
        <v>0.09</v>
      </c>
      <c r="AN209" s="520">
        <f t="shared" si="74"/>
        <v>0.09</v>
      </c>
      <c r="AO209" s="520">
        <f t="shared" si="74"/>
        <v>0.09</v>
      </c>
      <c r="AP209" s="520">
        <f t="shared" si="74"/>
        <v>0.09</v>
      </c>
      <c r="AQ209" s="520">
        <f t="shared" si="74"/>
        <v>0.09</v>
      </c>
      <c r="AR209" s="520">
        <f t="shared" si="74"/>
        <v>0.09</v>
      </c>
      <c r="AS209" s="520">
        <f t="shared" si="74"/>
        <v>0.09</v>
      </c>
    </row>
    <row r="210" spans="1:45">
      <c r="A210" s="184" t="s">
        <v>22</v>
      </c>
      <c r="B210" s="5">
        <f t="shared" si="70"/>
        <v>2042</v>
      </c>
      <c r="C210" s="37" t="s">
        <v>162</v>
      </c>
      <c r="D210" s="185">
        <v>0.5</v>
      </c>
      <c r="O210" s="523" t="s">
        <v>573</v>
      </c>
      <c r="P210" s="513">
        <f>IF(AND((P204-2019)&gt;$B$150,(P204-2021)&lt;$C$150),($P$208+(($C$134-$P$208)/($C$150-$B$150+1))),P1209)</f>
        <v>0</v>
      </c>
      <c r="Q210" s="513">
        <f>IF(AND((Q204-2019)&gt;$B$150,(Q204-2021)&lt;$C$150),(P210+Q209),P210)</f>
        <v>0</v>
      </c>
      <c r="R210" s="513">
        <f t="shared" ref="R210:AS210" si="75">IF(AND((R204-2019)&gt;$B$150,(R204-2021)&lt;$C$150),(Q210+R209),Q210)</f>
        <v>0</v>
      </c>
      <c r="S210" s="513">
        <f t="shared" si="75"/>
        <v>0</v>
      </c>
      <c r="T210" s="513">
        <f t="shared" si="75"/>
        <v>0.09</v>
      </c>
      <c r="U210" s="513">
        <f t="shared" si="75"/>
        <v>0.09</v>
      </c>
      <c r="V210" s="513">
        <f t="shared" si="75"/>
        <v>0.09</v>
      </c>
      <c r="W210" s="513">
        <f t="shared" si="75"/>
        <v>0.09</v>
      </c>
      <c r="X210" s="513">
        <f t="shared" si="75"/>
        <v>0.09</v>
      </c>
      <c r="Y210" s="513">
        <f t="shared" si="75"/>
        <v>0.09</v>
      </c>
      <c r="Z210" s="513">
        <f t="shared" si="75"/>
        <v>0.09</v>
      </c>
      <c r="AA210" s="513">
        <f t="shared" si="75"/>
        <v>0.09</v>
      </c>
      <c r="AB210" s="513">
        <f t="shared" si="75"/>
        <v>0.09</v>
      </c>
      <c r="AC210" s="513">
        <f t="shared" si="75"/>
        <v>0.09</v>
      </c>
      <c r="AD210" s="513">
        <f t="shared" si="75"/>
        <v>0.09</v>
      </c>
      <c r="AE210" s="513">
        <f t="shared" si="75"/>
        <v>0.09</v>
      </c>
      <c r="AF210" s="513">
        <f t="shared" si="75"/>
        <v>0.09</v>
      </c>
      <c r="AG210" s="513">
        <f t="shared" si="75"/>
        <v>0.09</v>
      </c>
      <c r="AH210" s="513">
        <f t="shared" si="75"/>
        <v>0.09</v>
      </c>
      <c r="AI210" s="513">
        <f t="shared" si="75"/>
        <v>0.09</v>
      </c>
      <c r="AJ210" s="513">
        <f t="shared" si="75"/>
        <v>0.09</v>
      </c>
      <c r="AK210" s="513">
        <f t="shared" si="75"/>
        <v>0.09</v>
      </c>
      <c r="AL210" s="513">
        <f t="shared" si="75"/>
        <v>0.09</v>
      </c>
      <c r="AM210" s="513">
        <f t="shared" si="75"/>
        <v>0.09</v>
      </c>
      <c r="AN210" s="513">
        <f t="shared" si="75"/>
        <v>0.09</v>
      </c>
      <c r="AO210" s="513">
        <f t="shared" si="75"/>
        <v>0.09</v>
      </c>
      <c r="AP210" s="513">
        <f t="shared" si="75"/>
        <v>0.09</v>
      </c>
      <c r="AQ210" s="513">
        <f t="shared" si="75"/>
        <v>0.09</v>
      </c>
      <c r="AR210" s="513">
        <f t="shared" si="75"/>
        <v>0.09</v>
      </c>
      <c r="AS210" s="513">
        <f t="shared" si="75"/>
        <v>0.09</v>
      </c>
    </row>
    <row r="211" spans="1:45">
      <c r="A211" s="184" t="s">
        <v>29</v>
      </c>
      <c r="B211" s="5">
        <f t="shared" si="70"/>
        <v>2043</v>
      </c>
      <c r="C211" s="37" t="s">
        <v>520</v>
      </c>
      <c r="D211" s="185">
        <v>1</v>
      </c>
      <c r="O211" s="397" t="str">
        <f>A135</f>
        <v>Alternative Energy / biomethane NGV</v>
      </c>
      <c r="P211" s="503">
        <f>'LOCAL DATASET INPUTS'!E86</f>
        <v>3.1069255412930827</v>
      </c>
      <c r="Q211" s="503">
        <f>'LOCAL DATASET INPUTS'!F86</f>
        <v>3.1069255412930827</v>
      </c>
      <c r="R211" s="503">
        <f>'LOCAL DATASET INPUTS'!G86</f>
        <v>3.1069255412930827</v>
      </c>
      <c r="S211" s="503">
        <f>'LOCAL DATASET INPUTS'!H86</f>
        <v>3.1069255412930827</v>
      </c>
      <c r="T211" s="503">
        <f>'LOCAL DATASET INPUTS'!I86</f>
        <v>3.1069255412930827</v>
      </c>
      <c r="U211" s="503">
        <f>'LOCAL DATASET INPUTS'!J86</f>
        <v>3.1069255412930827</v>
      </c>
      <c r="V211" s="503">
        <f>'LOCAL DATASET INPUTS'!K86</f>
        <v>3.1069255412930827</v>
      </c>
      <c r="W211" s="503">
        <f>'LOCAL DATASET INPUTS'!L86</f>
        <v>3.1069255412930827</v>
      </c>
      <c r="X211" s="503">
        <f>'LOCAL DATASET INPUTS'!M86</f>
        <v>3.1069255412930827</v>
      </c>
      <c r="Y211" s="503">
        <f>'LOCAL DATASET INPUTS'!N86</f>
        <v>3.1069255412930827</v>
      </c>
      <c r="Z211" s="503">
        <f>'LOCAL DATASET INPUTS'!O86</f>
        <v>3.1069255412930827</v>
      </c>
      <c r="AA211" s="503">
        <f>'LOCAL DATASET INPUTS'!P86</f>
        <v>3.1069255412930827</v>
      </c>
      <c r="AB211" s="503">
        <f>'LOCAL DATASET INPUTS'!Q86</f>
        <v>3.1069255412930827</v>
      </c>
      <c r="AC211" s="503">
        <f>'LOCAL DATASET INPUTS'!R86</f>
        <v>3.1069255412930827</v>
      </c>
      <c r="AD211" s="503">
        <f>'LOCAL DATASET INPUTS'!S86</f>
        <v>3.1069255412930827</v>
      </c>
      <c r="AE211" s="503">
        <f>'LOCAL DATASET INPUTS'!T86</f>
        <v>3.1069255412930827</v>
      </c>
      <c r="AF211" s="503">
        <f>'LOCAL DATASET INPUTS'!U86</f>
        <v>3.1069255412930827</v>
      </c>
      <c r="AG211" s="503">
        <f>'LOCAL DATASET INPUTS'!V86</f>
        <v>3.1069255412930827</v>
      </c>
      <c r="AH211" s="503">
        <f>'LOCAL DATASET INPUTS'!W86</f>
        <v>3.1069255412930827</v>
      </c>
      <c r="AI211" s="503">
        <f>'LOCAL DATASET INPUTS'!X86</f>
        <v>3.1069255412930827</v>
      </c>
      <c r="AJ211" s="503">
        <f>'LOCAL DATASET INPUTS'!Y86</f>
        <v>3.1069255412930827</v>
      </c>
      <c r="AK211" s="503">
        <f>'LOCAL DATASET INPUTS'!Z86</f>
        <v>3.1069255412930827</v>
      </c>
      <c r="AL211" s="503">
        <f>'LOCAL DATASET INPUTS'!AA86</f>
        <v>3.1069255412930827</v>
      </c>
      <c r="AM211" s="503">
        <f>'LOCAL DATASET INPUTS'!AB86</f>
        <v>3.1069255412930827</v>
      </c>
      <c r="AN211" s="503">
        <f>'LOCAL DATASET INPUTS'!AC86</f>
        <v>3.1069255412930827</v>
      </c>
      <c r="AO211" s="503">
        <f>'LOCAL DATASET INPUTS'!AD86</f>
        <v>3.1069255412930827</v>
      </c>
      <c r="AP211" s="503">
        <f>'LOCAL DATASET INPUTS'!AE86</f>
        <v>3.1069255412930827</v>
      </c>
      <c r="AQ211" s="503">
        <f>'LOCAL DATASET INPUTS'!AF86</f>
        <v>3.1069255412930827</v>
      </c>
      <c r="AR211" s="503">
        <f>'LOCAL DATASET INPUTS'!AG86</f>
        <v>3.1069255412930827</v>
      </c>
      <c r="AS211" s="503">
        <f>'LOCAL DATASET INPUTS'!AH86</f>
        <v>3.1069255412930827</v>
      </c>
    </row>
    <row r="212" spans="1:45">
      <c r="A212" s="184" t="s">
        <v>23</v>
      </c>
      <c r="B212" s="5">
        <f>B211+1</f>
        <v>2044</v>
      </c>
      <c r="C212" s="37" t="s">
        <v>163</v>
      </c>
      <c r="D212" s="185">
        <v>2</v>
      </c>
      <c r="O212" s="518" t="s">
        <v>600</v>
      </c>
      <c r="P212" s="520">
        <f>IF((P204-2020)=$B$150,(($C$135-$P$211)/($C$150-$B$150+1)),0)</f>
        <v>0</v>
      </c>
      <c r="Q212" s="520">
        <f t="shared" ref="Q212:AS212" si="76">IF((Q204-2020)=$B$150,(($C$135-P211)/($C$150-$B$150+1)),P212)</f>
        <v>0</v>
      </c>
      <c r="R212" s="520">
        <f t="shared" si="76"/>
        <v>0</v>
      </c>
      <c r="S212" s="520">
        <f t="shared" si="76"/>
        <v>0</v>
      </c>
      <c r="T212" s="520">
        <f t="shared" si="76"/>
        <v>-2.5669255412930827</v>
      </c>
      <c r="U212" s="520">
        <f t="shared" si="76"/>
        <v>-2.5669255412930827</v>
      </c>
      <c r="V212" s="520">
        <f t="shared" si="76"/>
        <v>-2.5669255412930827</v>
      </c>
      <c r="W212" s="520">
        <f t="shared" si="76"/>
        <v>-2.5669255412930827</v>
      </c>
      <c r="X212" s="520">
        <f t="shared" si="76"/>
        <v>-2.5669255412930827</v>
      </c>
      <c r="Y212" s="520">
        <f t="shared" si="76"/>
        <v>-2.5669255412930827</v>
      </c>
      <c r="Z212" s="520">
        <f t="shared" si="76"/>
        <v>-2.5669255412930827</v>
      </c>
      <c r="AA212" s="520">
        <f t="shared" si="76"/>
        <v>-2.5669255412930827</v>
      </c>
      <c r="AB212" s="520">
        <f t="shared" si="76"/>
        <v>-2.5669255412930827</v>
      </c>
      <c r="AC212" s="520">
        <f t="shared" si="76"/>
        <v>-2.5669255412930827</v>
      </c>
      <c r="AD212" s="520">
        <f t="shared" si="76"/>
        <v>-2.5669255412930827</v>
      </c>
      <c r="AE212" s="520">
        <f t="shared" si="76"/>
        <v>-2.5669255412930827</v>
      </c>
      <c r="AF212" s="520">
        <f t="shared" si="76"/>
        <v>-2.5669255412930827</v>
      </c>
      <c r="AG212" s="520">
        <f t="shared" si="76"/>
        <v>-2.5669255412930827</v>
      </c>
      <c r="AH212" s="520">
        <f t="shared" si="76"/>
        <v>-2.5669255412930827</v>
      </c>
      <c r="AI212" s="520">
        <f t="shared" si="76"/>
        <v>-2.5669255412930827</v>
      </c>
      <c r="AJ212" s="520">
        <f t="shared" si="76"/>
        <v>-2.5669255412930827</v>
      </c>
      <c r="AK212" s="520">
        <f t="shared" si="76"/>
        <v>-2.5669255412930827</v>
      </c>
      <c r="AL212" s="520">
        <f t="shared" si="76"/>
        <v>-2.5669255412930827</v>
      </c>
      <c r="AM212" s="520">
        <f t="shared" si="76"/>
        <v>-2.5669255412930827</v>
      </c>
      <c r="AN212" s="520">
        <f t="shared" si="76"/>
        <v>-2.5669255412930827</v>
      </c>
      <c r="AO212" s="520">
        <f t="shared" si="76"/>
        <v>-2.5669255412930827</v>
      </c>
      <c r="AP212" s="520">
        <f t="shared" si="76"/>
        <v>-2.5669255412930827</v>
      </c>
      <c r="AQ212" s="520">
        <f t="shared" si="76"/>
        <v>-2.5669255412930827</v>
      </c>
      <c r="AR212" s="520">
        <f t="shared" si="76"/>
        <v>-2.5669255412930827</v>
      </c>
      <c r="AS212" s="520">
        <f t="shared" si="76"/>
        <v>-2.5669255412930827</v>
      </c>
    </row>
    <row r="213" spans="1:45">
      <c r="A213" s="184" t="s">
        <v>24</v>
      </c>
      <c r="B213" s="5">
        <f t="shared" si="70"/>
        <v>2045</v>
      </c>
      <c r="C213" s="37" t="s">
        <v>164</v>
      </c>
      <c r="D213" s="185" t="e">
        <f>'LOCAL DATASET INPUTS'!E6/'LOCAL DATASET INPUTS'!#REF!</f>
        <v>#REF!</v>
      </c>
      <c r="O213" s="523" t="s">
        <v>573</v>
      </c>
      <c r="P213" s="513">
        <f>IF(AND((P204-2019)&gt;$B$150,(P204-2021)&lt;$C$150),($P$211+(($C$135-$P$211)/($C$150-$B$150+1))),P211)</f>
        <v>3.1069255412930827</v>
      </c>
      <c r="Q213" s="513">
        <f>IF(AND((Q204-2019)&gt;$B$150,(Q204-2021)&lt;$C$150),(P213+Q212),P213)</f>
        <v>3.1069255412930827</v>
      </c>
      <c r="R213" s="513">
        <f t="shared" ref="R213:AS213" si="77">IF(AND((R204-2019)&gt;$B$150,(R204-2021)&lt;$C$150),(Q213+R212),Q213)</f>
        <v>3.1069255412930827</v>
      </c>
      <c r="S213" s="513">
        <f t="shared" si="77"/>
        <v>3.1069255412930827</v>
      </c>
      <c r="T213" s="513">
        <f t="shared" si="77"/>
        <v>0.54</v>
      </c>
      <c r="U213" s="513">
        <f t="shared" si="77"/>
        <v>0.54</v>
      </c>
      <c r="V213" s="513">
        <f t="shared" si="77"/>
        <v>0.54</v>
      </c>
      <c r="W213" s="513">
        <f t="shared" si="77"/>
        <v>0.54</v>
      </c>
      <c r="X213" s="513">
        <f t="shared" si="77"/>
        <v>0.54</v>
      </c>
      <c r="Y213" s="513">
        <f t="shared" si="77"/>
        <v>0.54</v>
      </c>
      <c r="Z213" s="513">
        <f t="shared" si="77"/>
        <v>0.54</v>
      </c>
      <c r="AA213" s="513">
        <f t="shared" si="77"/>
        <v>0.54</v>
      </c>
      <c r="AB213" s="513">
        <f t="shared" si="77"/>
        <v>0.54</v>
      </c>
      <c r="AC213" s="513">
        <f t="shared" si="77"/>
        <v>0.54</v>
      </c>
      <c r="AD213" s="513">
        <f t="shared" si="77"/>
        <v>0.54</v>
      </c>
      <c r="AE213" s="513">
        <f t="shared" si="77"/>
        <v>0.54</v>
      </c>
      <c r="AF213" s="513">
        <f t="shared" si="77"/>
        <v>0.54</v>
      </c>
      <c r="AG213" s="513">
        <f t="shared" si="77"/>
        <v>0.54</v>
      </c>
      <c r="AH213" s="513">
        <f t="shared" si="77"/>
        <v>0.54</v>
      </c>
      <c r="AI213" s="513">
        <f t="shared" si="77"/>
        <v>0.54</v>
      </c>
      <c r="AJ213" s="513">
        <f t="shared" si="77"/>
        <v>0.54</v>
      </c>
      <c r="AK213" s="513">
        <f t="shared" si="77"/>
        <v>0.54</v>
      </c>
      <c r="AL213" s="513">
        <f t="shared" si="77"/>
        <v>0.54</v>
      </c>
      <c r="AM213" s="513">
        <f t="shared" si="77"/>
        <v>0.54</v>
      </c>
      <c r="AN213" s="513">
        <f t="shared" si="77"/>
        <v>0.54</v>
      </c>
      <c r="AO213" s="513">
        <f t="shared" si="77"/>
        <v>0.54</v>
      </c>
      <c r="AP213" s="513">
        <f t="shared" si="77"/>
        <v>0.54</v>
      </c>
      <c r="AQ213" s="513">
        <f t="shared" si="77"/>
        <v>0.54</v>
      </c>
      <c r="AR213" s="513">
        <f t="shared" si="77"/>
        <v>0.54</v>
      </c>
      <c r="AS213" s="513">
        <f t="shared" si="77"/>
        <v>0.54</v>
      </c>
    </row>
    <row r="214" spans="1:45">
      <c r="A214" s="184" t="s">
        <v>25</v>
      </c>
      <c r="B214" s="5">
        <f t="shared" si="70"/>
        <v>2046</v>
      </c>
      <c r="C214" s="174" t="s">
        <v>157</v>
      </c>
      <c r="D214" s="38"/>
      <c r="O214" s="397" t="str">
        <f>A136</f>
        <v>Hybrid electric-petrol</v>
      </c>
      <c r="P214" s="503">
        <f>'LOCAL DATASET INPUTS'!E88</f>
        <v>0</v>
      </c>
      <c r="Q214" s="503">
        <f>'LOCAL DATASET INPUTS'!F88</f>
        <v>0</v>
      </c>
      <c r="R214" s="503">
        <f>'LOCAL DATASET INPUTS'!G88</f>
        <v>0</v>
      </c>
      <c r="S214" s="503">
        <f>'LOCAL DATASET INPUTS'!H88</f>
        <v>0</v>
      </c>
      <c r="T214" s="503">
        <f>'LOCAL DATASET INPUTS'!I88</f>
        <v>0</v>
      </c>
      <c r="U214" s="503">
        <f>'LOCAL DATASET INPUTS'!J88</f>
        <v>0</v>
      </c>
      <c r="V214" s="503">
        <f>'LOCAL DATASET INPUTS'!K88</f>
        <v>0</v>
      </c>
      <c r="W214" s="503">
        <f>'LOCAL DATASET INPUTS'!L88</f>
        <v>0</v>
      </c>
      <c r="X214" s="503">
        <f>'LOCAL DATASET INPUTS'!M88</f>
        <v>0</v>
      </c>
      <c r="Y214" s="503">
        <f>'LOCAL DATASET INPUTS'!N88</f>
        <v>0</v>
      </c>
      <c r="Z214" s="503">
        <f>'LOCAL DATASET INPUTS'!O88</f>
        <v>0</v>
      </c>
      <c r="AA214" s="503">
        <f>'LOCAL DATASET INPUTS'!P88</f>
        <v>0</v>
      </c>
      <c r="AB214" s="503">
        <f>'LOCAL DATASET INPUTS'!Q88</f>
        <v>0</v>
      </c>
      <c r="AC214" s="503">
        <f>'LOCAL DATASET INPUTS'!R88</f>
        <v>0</v>
      </c>
      <c r="AD214" s="503">
        <f>'LOCAL DATASET INPUTS'!S88</f>
        <v>0</v>
      </c>
      <c r="AE214" s="503">
        <f>'LOCAL DATASET INPUTS'!T88</f>
        <v>0</v>
      </c>
      <c r="AF214" s="503">
        <f>'LOCAL DATASET INPUTS'!U88</f>
        <v>0</v>
      </c>
      <c r="AG214" s="503">
        <f>'LOCAL DATASET INPUTS'!V88</f>
        <v>0</v>
      </c>
      <c r="AH214" s="503">
        <f>'LOCAL DATASET INPUTS'!W88</f>
        <v>0</v>
      </c>
      <c r="AI214" s="503">
        <f>'LOCAL DATASET INPUTS'!X88</f>
        <v>0</v>
      </c>
      <c r="AJ214" s="503">
        <f>'LOCAL DATASET INPUTS'!Y88</f>
        <v>0</v>
      </c>
      <c r="AK214" s="503">
        <f>'LOCAL DATASET INPUTS'!Z88</f>
        <v>0</v>
      </c>
      <c r="AL214" s="503">
        <f>'LOCAL DATASET INPUTS'!AA88</f>
        <v>0</v>
      </c>
      <c r="AM214" s="503">
        <f>'LOCAL DATASET INPUTS'!AB88</f>
        <v>0</v>
      </c>
      <c r="AN214" s="503">
        <f>'LOCAL DATASET INPUTS'!AC88</f>
        <v>0</v>
      </c>
      <c r="AO214" s="503">
        <f>'LOCAL DATASET INPUTS'!AD88</f>
        <v>0</v>
      </c>
      <c r="AP214" s="503">
        <f>'LOCAL DATASET INPUTS'!AE88</f>
        <v>0</v>
      </c>
      <c r="AQ214" s="503">
        <f>'LOCAL DATASET INPUTS'!AF88</f>
        <v>0</v>
      </c>
      <c r="AR214" s="503">
        <f>'LOCAL DATASET INPUTS'!AG88</f>
        <v>0</v>
      </c>
      <c r="AS214" s="503">
        <f>'LOCAL DATASET INPUTS'!AH88</f>
        <v>0</v>
      </c>
    </row>
    <row r="215" spans="1:45">
      <c r="A215" s="184" t="s">
        <v>28</v>
      </c>
      <c r="B215" s="5">
        <f>B214+1</f>
        <v>2047</v>
      </c>
      <c r="C215" s="37" t="s">
        <v>165</v>
      </c>
      <c r="D215" s="185">
        <v>0</v>
      </c>
      <c r="O215" s="518" t="s">
        <v>600</v>
      </c>
      <c r="P215" s="520">
        <f>IF((P204-2020)=$B$150,(($C$136-$P$214)/($C$150-$B$150+1)),0)</f>
        <v>0</v>
      </c>
      <c r="Q215" s="520">
        <f t="shared" ref="Q215:AS215" si="78">IF((Q204-2020)=$B$150,(($C$136-P214)/($C$150-$B$150+1)),P215)</f>
        <v>0</v>
      </c>
      <c r="R215" s="520">
        <f t="shared" si="78"/>
        <v>0</v>
      </c>
      <c r="S215" s="520">
        <f t="shared" si="78"/>
        <v>0</v>
      </c>
      <c r="T215" s="520">
        <f t="shared" si="78"/>
        <v>1.5</v>
      </c>
      <c r="U215" s="520">
        <f t="shared" si="78"/>
        <v>1.5</v>
      </c>
      <c r="V215" s="520">
        <f t="shared" si="78"/>
        <v>1.5</v>
      </c>
      <c r="W215" s="520">
        <f t="shared" si="78"/>
        <v>1.5</v>
      </c>
      <c r="X215" s="520">
        <f t="shared" si="78"/>
        <v>1.5</v>
      </c>
      <c r="Y215" s="520">
        <f t="shared" si="78"/>
        <v>1.5</v>
      </c>
      <c r="Z215" s="520">
        <f t="shared" si="78"/>
        <v>1.5</v>
      </c>
      <c r="AA215" s="520">
        <f t="shared" si="78"/>
        <v>1.5</v>
      </c>
      <c r="AB215" s="520">
        <f t="shared" si="78"/>
        <v>1.5</v>
      </c>
      <c r="AC215" s="520">
        <f t="shared" si="78"/>
        <v>1.5</v>
      </c>
      <c r="AD215" s="520">
        <f t="shared" si="78"/>
        <v>1.5</v>
      </c>
      <c r="AE215" s="520">
        <f t="shared" si="78"/>
        <v>1.5</v>
      </c>
      <c r="AF215" s="520">
        <f t="shared" si="78"/>
        <v>1.5</v>
      </c>
      <c r="AG215" s="520">
        <f t="shared" si="78"/>
        <v>1.5</v>
      </c>
      <c r="AH215" s="520">
        <f t="shared" si="78"/>
        <v>1.5</v>
      </c>
      <c r="AI215" s="520">
        <f t="shared" si="78"/>
        <v>1.5</v>
      </c>
      <c r="AJ215" s="520">
        <f t="shared" si="78"/>
        <v>1.5</v>
      </c>
      <c r="AK215" s="520">
        <f t="shared" si="78"/>
        <v>1.5</v>
      </c>
      <c r="AL215" s="520">
        <f t="shared" si="78"/>
        <v>1.5</v>
      </c>
      <c r="AM215" s="520">
        <f t="shared" si="78"/>
        <v>1.5</v>
      </c>
      <c r="AN215" s="520">
        <f t="shared" si="78"/>
        <v>1.5</v>
      </c>
      <c r="AO215" s="520">
        <f t="shared" si="78"/>
        <v>1.5</v>
      </c>
      <c r="AP215" s="520">
        <f t="shared" si="78"/>
        <v>1.5</v>
      </c>
      <c r="AQ215" s="520">
        <f t="shared" si="78"/>
        <v>1.5</v>
      </c>
      <c r="AR215" s="520">
        <f t="shared" si="78"/>
        <v>1.5</v>
      </c>
      <c r="AS215" s="520">
        <f t="shared" si="78"/>
        <v>1.5</v>
      </c>
    </row>
    <row r="216" spans="1:45">
      <c r="A216" s="184" t="s">
        <v>27</v>
      </c>
      <c r="B216" s="5">
        <f t="shared" si="70"/>
        <v>2048</v>
      </c>
      <c r="C216" s="37" t="s">
        <v>162</v>
      </c>
      <c r="D216" s="185">
        <v>0.25</v>
      </c>
      <c r="O216" s="523" t="s">
        <v>573</v>
      </c>
      <c r="P216" s="513">
        <f>IF(AND((P204-2019)&gt;$B$150,(P204-2021)&lt;$C$150),($P$214+(($C$136-$P$214)/($C$150-$B$150+1))),P214)</f>
        <v>0</v>
      </c>
      <c r="Q216" s="513">
        <f>IF(AND((Q204-2019)&gt;$B$150,(Q204-2021)&lt;$C$150),(P216+Q215),P216)</f>
        <v>0</v>
      </c>
      <c r="R216" s="513">
        <f t="shared" ref="R216:AS216" si="79">IF(AND((R204-2019)&gt;$B$150,(R204-2021)&lt;$C$150),(Q216+R215),Q216)</f>
        <v>0</v>
      </c>
      <c r="S216" s="513">
        <f t="shared" si="79"/>
        <v>0</v>
      </c>
      <c r="T216" s="513">
        <f t="shared" si="79"/>
        <v>1.5</v>
      </c>
      <c r="U216" s="513">
        <f t="shared" si="79"/>
        <v>1.5</v>
      </c>
      <c r="V216" s="513">
        <f t="shared" si="79"/>
        <v>1.5</v>
      </c>
      <c r="W216" s="513">
        <f t="shared" si="79"/>
        <v>1.5</v>
      </c>
      <c r="X216" s="513">
        <f t="shared" si="79"/>
        <v>1.5</v>
      </c>
      <c r="Y216" s="513">
        <f t="shared" si="79"/>
        <v>1.5</v>
      </c>
      <c r="Z216" s="513">
        <f t="shared" si="79"/>
        <v>1.5</v>
      </c>
      <c r="AA216" s="513">
        <f t="shared" si="79"/>
        <v>1.5</v>
      </c>
      <c r="AB216" s="513">
        <f t="shared" si="79"/>
        <v>1.5</v>
      </c>
      <c r="AC216" s="513">
        <f t="shared" si="79"/>
        <v>1.5</v>
      </c>
      <c r="AD216" s="513">
        <f t="shared" si="79"/>
        <v>1.5</v>
      </c>
      <c r="AE216" s="513">
        <f t="shared" si="79"/>
        <v>1.5</v>
      </c>
      <c r="AF216" s="513">
        <f t="shared" si="79"/>
        <v>1.5</v>
      </c>
      <c r="AG216" s="513">
        <f t="shared" si="79"/>
        <v>1.5</v>
      </c>
      <c r="AH216" s="513">
        <f t="shared" si="79"/>
        <v>1.5</v>
      </c>
      <c r="AI216" s="513">
        <f t="shared" si="79"/>
        <v>1.5</v>
      </c>
      <c r="AJ216" s="513">
        <f t="shared" si="79"/>
        <v>1.5</v>
      </c>
      <c r="AK216" s="513">
        <f t="shared" si="79"/>
        <v>1.5</v>
      </c>
      <c r="AL216" s="513">
        <f t="shared" si="79"/>
        <v>1.5</v>
      </c>
      <c r="AM216" s="513">
        <f t="shared" si="79"/>
        <v>1.5</v>
      </c>
      <c r="AN216" s="513">
        <f t="shared" si="79"/>
        <v>1.5</v>
      </c>
      <c r="AO216" s="513">
        <f t="shared" si="79"/>
        <v>1.5</v>
      </c>
      <c r="AP216" s="513">
        <f t="shared" si="79"/>
        <v>1.5</v>
      </c>
      <c r="AQ216" s="513">
        <f t="shared" si="79"/>
        <v>1.5</v>
      </c>
      <c r="AR216" s="513">
        <f t="shared" si="79"/>
        <v>1.5</v>
      </c>
      <c r="AS216" s="513">
        <f t="shared" si="79"/>
        <v>1.5</v>
      </c>
    </row>
    <row r="217" spans="1:45">
      <c r="A217" s="184" t="s">
        <v>11</v>
      </c>
      <c r="B217" s="5">
        <f>B216+1</f>
        <v>2049</v>
      </c>
      <c r="C217" s="37" t="s">
        <v>520</v>
      </c>
      <c r="D217" s="185">
        <v>1</v>
      </c>
      <c r="O217" s="397" t="str">
        <f>A137</f>
        <v>Plug-in hybrid petrol-electric PHEV</v>
      </c>
      <c r="P217" s="503">
        <f>'LOCAL DATASET INPUTS'!E99</f>
        <v>1.9999999999999997E-2</v>
      </c>
      <c r="Q217" s="503">
        <f>'LOCAL DATASET INPUTS'!F99</f>
        <v>3.9999999999999994E-2</v>
      </c>
      <c r="R217" s="503">
        <f>'LOCAL DATASET INPUTS'!G99</f>
        <v>5.9999999999999991E-2</v>
      </c>
      <c r="S217" s="503">
        <f>'LOCAL DATASET INPUTS'!H99</f>
        <v>7.9999999999999988E-2</v>
      </c>
      <c r="T217" s="503">
        <f>'LOCAL DATASET INPUTS'!I99</f>
        <v>9.9999999999999978E-2</v>
      </c>
      <c r="U217" s="503">
        <f>'LOCAL DATASET INPUTS'!J99</f>
        <v>9.9999999999999978E-2</v>
      </c>
      <c r="V217" s="503">
        <f>'LOCAL DATASET INPUTS'!K99</f>
        <v>9.9999999999999978E-2</v>
      </c>
      <c r="W217" s="503">
        <f>'LOCAL DATASET INPUTS'!L99</f>
        <v>9.9999999999999978E-2</v>
      </c>
      <c r="X217" s="503">
        <f>'LOCAL DATASET INPUTS'!M99</f>
        <v>9.9999999999999978E-2</v>
      </c>
      <c r="Y217" s="503">
        <f>'LOCAL DATASET INPUTS'!N99</f>
        <v>9.9999999999999978E-2</v>
      </c>
      <c r="Z217" s="503">
        <f>'LOCAL DATASET INPUTS'!O99</f>
        <v>9.9999999999999978E-2</v>
      </c>
      <c r="AA217" s="503">
        <f>'LOCAL DATASET INPUTS'!P99</f>
        <v>9.9999999999999978E-2</v>
      </c>
      <c r="AB217" s="503">
        <f>'LOCAL DATASET INPUTS'!Q99</f>
        <v>9.9999999999999978E-2</v>
      </c>
      <c r="AC217" s="503">
        <f>'LOCAL DATASET INPUTS'!R99</f>
        <v>9.9999999999999978E-2</v>
      </c>
      <c r="AD217" s="503">
        <f>'LOCAL DATASET INPUTS'!S99</f>
        <v>9.9999999999999978E-2</v>
      </c>
      <c r="AE217" s="503">
        <f>'LOCAL DATASET INPUTS'!T99</f>
        <v>9.9999999999999978E-2</v>
      </c>
      <c r="AF217" s="503">
        <f>'LOCAL DATASET INPUTS'!U99</f>
        <v>9.9999999999999978E-2</v>
      </c>
      <c r="AG217" s="503">
        <f>'LOCAL DATASET INPUTS'!V99</f>
        <v>9.9999999999999978E-2</v>
      </c>
      <c r="AH217" s="503">
        <f>'LOCAL DATASET INPUTS'!W99</f>
        <v>9.9999999999999978E-2</v>
      </c>
      <c r="AI217" s="503">
        <f>'LOCAL DATASET INPUTS'!X99</f>
        <v>9.9999999999999978E-2</v>
      </c>
      <c r="AJ217" s="503">
        <f>'LOCAL DATASET INPUTS'!Y99</f>
        <v>9.9999999999999978E-2</v>
      </c>
      <c r="AK217" s="503">
        <f>'LOCAL DATASET INPUTS'!Z99</f>
        <v>9.9999999999999978E-2</v>
      </c>
      <c r="AL217" s="503">
        <f>'LOCAL DATASET INPUTS'!AA99</f>
        <v>9.9999999999999978E-2</v>
      </c>
      <c r="AM217" s="503">
        <f>'LOCAL DATASET INPUTS'!AB99</f>
        <v>9.9999999999999978E-2</v>
      </c>
      <c r="AN217" s="503">
        <f>'LOCAL DATASET INPUTS'!AC99</f>
        <v>9.9999999999999978E-2</v>
      </c>
      <c r="AO217" s="503">
        <f>'LOCAL DATASET INPUTS'!AD99</f>
        <v>9.9999999999999978E-2</v>
      </c>
      <c r="AP217" s="503">
        <f>'LOCAL DATASET INPUTS'!AE99</f>
        <v>9.9999999999999978E-2</v>
      </c>
      <c r="AQ217" s="503">
        <f>'LOCAL DATASET INPUTS'!AF99</f>
        <v>9.9999999999999978E-2</v>
      </c>
      <c r="AR217" s="503">
        <f>'LOCAL DATASET INPUTS'!AG99</f>
        <v>9.9999999999999978E-2</v>
      </c>
      <c r="AS217" s="503">
        <f>'LOCAL DATASET INPUTS'!AH99</f>
        <v>9.9999999999999978E-2</v>
      </c>
    </row>
    <row r="218" spans="1:45">
      <c r="A218" s="184" t="s">
        <v>26</v>
      </c>
      <c r="B218" s="5">
        <f>B217+1</f>
        <v>2050</v>
      </c>
      <c r="C218" s="37" t="s">
        <v>163</v>
      </c>
      <c r="D218" s="185">
        <v>2</v>
      </c>
      <c r="O218" s="518" t="s">
        <v>600</v>
      </c>
      <c r="P218" s="520">
        <f>IF((P204-2020)=$B$150,(($C$137-$P$217)/($C$150-$B$150+1)),0)</f>
        <v>0</v>
      </c>
      <c r="Q218" s="520">
        <f t="shared" ref="Q218:AS218" si="80">IF((Q204-2020)=$B$150,(($C$137-P217)/($C$150-$B$150+1)),P218)</f>
        <v>0</v>
      </c>
      <c r="R218" s="520">
        <f t="shared" si="80"/>
        <v>0</v>
      </c>
      <c r="S218" s="520">
        <f t="shared" si="80"/>
        <v>0</v>
      </c>
      <c r="T218" s="520">
        <f t="shared" si="80"/>
        <v>0.56000000000000005</v>
      </c>
      <c r="U218" s="520">
        <f t="shared" si="80"/>
        <v>0.56000000000000005</v>
      </c>
      <c r="V218" s="520">
        <f t="shared" si="80"/>
        <v>0.56000000000000005</v>
      </c>
      <c r="W218" s="520">
        <f t="shared" si="80"/>
        <v>0.56000000000000005</v>
      </c>
      <c r="X218" s="520">
        <f t="shared" si="80"/>
        <v>0.56000000000000005</v>
      </c>
      <c r="Y218" s="520">
        <f t="shared" si="80"/>
        <v>0.56000000000000005</v>
      </c>
      <c r="Z218" s="520">
        <f t="shared" si="80"/>
        <v>0.56000000000000005</v>
      </c>
      <c r="AA218" s="520">
        <f t="shared" si="80"/>
        <v>0.56000000000000005</v>
      </c>
      <c r="AB218" s="520">
        <f t="shared" si="80"/>
        <v>0.56000000000000005</v>
      </c>
      <c r="AC218" s="520">
        <f t="shared" si="80"/>
        <v>0.56000000000000005</v>
      </c>
      <c r="AD218" s="520">
        <f t="shared" si="80"/>
        <v>0.56000000000000005</v>
      </c>
      <c r="AE218" s="520">
        <f t="shared" si="80"/>
        <v>0.56000000000000005</v>
      </c>
      <c r="AF218" s="520">
        <f t="shared" si="80"/>
        <v>0.56000000000000005</v>
      </c>
      <c r="AG218" s="520">
        <f t="shared" si="80"/>
        <v>0.56000000000000005</v>
      </c>
      <c r="AH218" s="520">
        <f t="shared" si="80"/>
        <v>0.56000000000000005</v>
      </c>
      <c r="AI218" s="520">
        <f t="shared" si="80"/>
        <v>0.56000000000000005</v>
      </c>
      <c r="AJ218" s="520">
        <f t="shared" si="80"/>
        <v>0.56000000000000005</v>
      </c>
      <c r="AK218" s="520">
        <f t="shared" si="80"/>
        <v>0.56000000000000005</v>
      </c>
      <c r="AL218" s="520">
        <f t="shared" si="80"/>
        <v>0.56000000000000005</v>
      </c>
      <c r="AM218" s="520">
        <f t="shared" si="80"/>
        <v>0.56000000000000005</v>
      </c>
      <c r="AN218" s="520">
        <f t="shared" si="80"/>
        <v>0.56000000000000005</v>
      </c>
      <c r="AO218" s="520">
        <f t="shared" si="80"/>
        <v>0.56000000000000005</v>
      </c>
      <c r="AP218" s="520">
        <f t="shared" si="80"/>
        <v>0.56000000000000005</v>
      </c>
      <c r="AQ218" s="520">
        <f t="shared" si="80"/>
        <v>0.56000000000000005</v>
      </c>
      <c r="AR218" s="520">
        <f t="shared" si="80"/>
        <v>0.56000000000000005</v>
      </c>
      <c r="AS218" s="520">
        <f t="shared" si="80"/>
        <v>0.56000000000000005</v>
      </c>
    </row>
    <row r="219" spans="1:45">
      <c r="A219" s="184" t="s">
        <v>46</v>
      </c>
      <c r="B219" s="195"/>
      <c r="C219" s="37" t="s">
        <v>166</v>
      </c>
      <c r="D219" s="185" t="e">
        <f>'LOCAL DATASET INPUTS'!E6/'LOCAL DATASET INPUTS'!#REF!</f>
        <v>#REF!</v>
      </c>
      <c r="O219" s="523" t="s">
        <v>573</v>
      </c>
      <c r="P219" s="513">
        <f>IF(AND((P204-2019)&gt;$B$150,(P204-2021)&lt;$C$150),($P$217+(($C$137-$P$217)/($C$150-$B$150+1))),P217)</f>
        <v>1.9999999999999997E-2</v>
      </c>
      <c r="Q219" s="513">
        <f>IF(AND((Q204-2019)&gt;$B$150,(Q204-2021)&lt;$C$150),(P219+Q218),P219)</f>
        <v>1.9999999999999997E-2</v>
      </c>
      <c r="R219" s="513">
        <f t="shared" ref="R219:AS219" si="81">IF(AND((R204-2019)&gt;$B$150,(R204-2021)&lt;$C$150),(Q219+R218),Q219)</f>
        <v>1.9999999999999997E-2</v>
      </c>
      <c r="S219" s="513">
        <f t="shared" si="81"/>
        <v>1.9999999999999997E-2</v>
      </c>
      <c r="T219" s="513">
        <f t="shared" si="81"/>
        <v>0.58000000000000007</v>
      </c>
      <c r="U219" s="513">
        <f t="shared" si="81"/>
        <v>0.58000000000000007</v>
      </c>
      <c r="V219" s="513">
        <f t="shared" si="81"/>
        <v>0.58000000000000007</v>
      </c>
      <c r="W219" s="513">
        <f t="shared" si="81"/>
        <v>0.58000000000000007</v>
      </c>
      <c r="X219" s="513">
        <f t="shared" si="81"/>
        <v>0.58000000000000007</v>
      </c>
      <c r="Y219" s="513">
        <f t="shared" si="81"/>
        <v>0.58000000000000007</v>
      </c>
      <c r="Z219" s="513">
        <f t="shared" si="81"/>
        <v>0.58000000000000007</v>
      </c>
      <c r="AA219" s="513">
        <f t="shared" si="81"/>
        <v>0.58000000000000007</v>
      </c>
      <c r="AB219" s="513">
        <f t="shared" si="81"/>
        <v>0.58000000000000007</v>
      </c>
      <c r="AC219" s="513">
        <f t="shared" si="81"/>
        <v>0.58000000000000007</v>
      </c>
      <c r="AD219" s="513">
        <f t="shared" si="81"/>
        <v>0.58000000000000007</v>
      </c>
      <c r="AE219" s="513">
        <f t="shared" si="81"/>
        <v>0.58000000000000007</v>
      </c>
      <c r="AF219" s="513">
        <f t="shared" si="81"/>
        <v>0.58000000000000007</v>
      </c>
      <c r="AG219" s="513">
        <f t="shared" si="81"/>
        <v>0.58000000000000007</v>
      </c>
      <c r="AH219" s="513">
        <f t="shared" si="81"/>
        <v>0.58000000000000007</v>
      </c>
      <c r="AI219" s="513">
        <f t="shared" si="81"/>
        <v>0.58000000000000007</v>
      </c>
      <c r="AJ219" s="513">
        <f t="shared" si="81"/>
        <v>0.58000000000000007</v>
      </c>
      <c r="AK219" s="513">
        <f t="shared" si="81"/>
        <v>0.58000000000000007</v>
      </c>
      <c r="AL219" s="513">
        <f t="shared" si="81"/>
        <v>0.58000000000000007</v>
      </c>
      <c r="AM219" s="513">
        <f t="shared" si="81"/>
        <v>0.58000000000000007</v>
      </c>
      <c r="AN219" s="513">
        <f t="shared" si="81"/>
        <v>0.58000000000000007</v>
      </c>
      <c r="AO219" s="513">
        <f t="shared" si="81"/>
        <v>0.58000000000000007</v>
      </c>
      <c r="AP219" s="513">
        <f t="shared" si="81"/>
        <v>0.58000000000000007</v>
      </c>
      <c r="AQ219" s="513">
        <f t="shared" si="81"/>
        <v>0.58000000000000007</v>
      </c>
      <c r="AR219" s="513">
        <f t="shared" si="81"/>
        <v>0.58000000000000007</v>
      </c>
      <c r="AS219" s="513">
        <f t="shared" si="81"/>
        <v>0.58000000000000007</v>
      </c>
    </row>
    <row r="220" spans="1:45">
      <c r="A220" s="184" t="s">
        <v>31</v>
      </c>
      <c r="B220" s="2"/>
      <c r="C220" s="174" t="s">
        <v>158</v>
      </c>
      <c r="D220" s="38"/>
      <c r="O220" s="397" t="str">
        <f>A138</f>
        <v>Hybrid diesel-electric</v>
      </c>
      <c r="P220" s="503">
        <f>'LOCAL DATASET INPUTS'!E91</f>
        <v>0</v>
      </c>
      <c r="Q220" s="503">
        <f>'LOCAL DATASET INPUTS'!F91</f>
        <v>0</v>
      </c>
      <c r="R220" s="503">
        <f>'LOCAL DATASET INPUTS'!G91</f>
        <v>0</v>
      </c>
      <c r="S220" s="503">
        <f>'LOCAL DATASET INPUTS'!H91</f>
        <v>0</v>
      </c>
      <c r="T220" s="503">
        <f>'LOCAL DATASET INPUTS'!I91</f>
        <v>0</v>
      </c>
      <c r="U220" s="503">
        <f>'LOCAL DATASET INPUTS'!J91</f>
        <v>0</v>
      </c>
      <c r="V220" s="503">
        <f>'LOCAL DATASET INPUTS'!K91</f>
        <v>0</v>
      </c>
      <c r="W220" s="503">
        <f>'LOCAL DATASET INPUTS'!L91</f>
        <v>0</v>
      </c>
      <c r="X220" s="503">
        <f>'LOCAL DATASET INPUTS'!M91</f>
        <v>0</v>
      </c>
      <c r="Y220" s="503">
        <f>'LOCAL DATASET INPUTS'!N91</f>
        <v>0</v>
      </c>
      <c r="Z220" s="503">
        <f>'LOCAL DATASET INPUTS'!O91</f>
        <v>0</v>
      </c>
      <c r="AA220" s="503">
        <f>'LOCAL DATASET INPUTS'!P91</f>
        <v>0</v>
      </c>
      <c r="AB220" s="503">
        <f>'LOCAL DATASET INPUTS'!Q91</f>
        <v>0</v>
      </c>
      <c r="AC220" s="503">
        <f>'LOCAL DATASET INPUTS'!R91</f>
        <v>0</v>
      </c>
      <c r="AD220" s="503">
        <f>'LOCAL DATASET INPUTS'!S91</f>
        <v>0</v>
      </c>
      <c r="AE220" s="503">
        <f>'LOCAL DATASET INPUTS'!T91</f>
        <v>0</v>
      </c>
      <c r="AF220" s="503">
        <f>'LOCAL DATASET INPUTS'!U91</f>
        <v>0</v>
      </c>
      <c r="AG220" s="503">
        <f>'LOCAL DATASET INPUTS'!V91</f>
        <v>0</v>
      </c>
      <c r="AH220" s="503">
        <f>'LOCAL DATASET INPUTS'!W91</f>
        <v>0</v>
      </c>
      <c r="AI220" s="503">
        <f>'LOCAL DATASET INPUTS'!X91</f>
        <v>0</v>
      </c>
      <c r="AJ220" s="503">
        <f>'LOCAL DATASET INPUTS'!Y91</f>
        <v>0</v>
      </c>
      <c r="AK220" s="503">
        <f>'LOCAL DATASET INPUTS'!Z91</f>
        <v>0</v>
      </c>
      <c r="AL220" s="503">
        <f>'LOCAL DATASET INPUTS'!AA91</f>
        <v>0</v>
      </c>
      <c r="AM220" s="503">
        <f>'LOCAL DATASET INPUTS'!AB91</f>
        <v>0</v>
      </c>
      <c r="AN220" s="503">
        <f>'LOCAL DATASET INPUTS'!AC91</f>
        <v>0</v>
      </c>
      <c r="AO220" s="503">
        <f>'LOCAL DATASET INPUTS'!AD91</f>
        <v>0</v>
      </c>
      <c r="AP220" s="503">
        <f>'LOCAL DATASET INPUTS'!AE91</f>
        <v>0</v>
      </c>
      <c r="AQ220" s="503">
        <f>'LOCAL DATASET INPUTS'!AF91</f>
        <v>0</v>
      </c>
      <c r="AR220" s="503">
        <f>'LOCAL DATASET INPUTS'!AG91</f>
        <v>0</v>
      </c>
      <c r="AS220" s="503">
        <f>'LOCAL DATASET INPUTS'!AH91</f>
        <v>0</v>
      </c>
    </row>
    <row r="221" spans="1:45">
      <c r="A221" s="13"/>
      <c r="B221" s="2"/>
      <c r="C221" s="37" t="s">
        <v>167</v>
      </c>
      <c r="D221" s="185">
        <v>0</v>
      </c>
      <c r="O221" s="518" t="s">
        <v>600</v>
      </c>
      <c r="P221" s="520">
        <f>IF((P204-2020)=$B$150,(($C$138-$P$220)/($C$150-$B$150+1)),0)</f>
        <v>0</v>
      </c>
      <c r="Q221" s="520">
        <f t="shared" ref="Q221:AS221" si="82">IF((Q204-2020)=$B$150,(($C$138-P220)/($C$150-$B$150+1)),P221)</f>
        <v>0</v>
      </c>
      <c r="R221" s="520">
        <f t="shared" si="82"/>
        <v>0</v>
      </c>
      <c r="S221" s="520">
        <f t="shared" si="82"/>
        <v>0</v>
      </c>
      <c r="T221" s="520">
        <f t="shared" si="82"/>
        <v>0.06</v>
      </c>
      <c r="U221" s="520">
        <f t="shared" si="82"/>
        <v>0.06</v>
      </c>
      <c r="V221" s="520">
        <f t="shared" si="82"/>
        <v>0.06</v>
      </c>
      <c r="W221" s="520">
        <f t="shared" si="82"/>
        <v>0.06</v>
      </c>
      <c r="X221" s="520">
        <f t="shared" si="82"/>
        <v>0.06</v>
      </c>
      <c r="Y221" s="520">
        <f t="shared" si="82"/>
        <v>0.06</v>
      </c>
      <c r="Z221" s="520">
        <f t="shared" si="82"/>
        <v>0.06</v>
      </c>
      <c r="AA221" s="520">
        <f t="shared" si="82"/>
        <v>0.06</v>
      </c>
      <c r="AB221" s="520">
        <f t="shared" si="82"/>
        <v>0.06</v>
      </c>
      <c r="AC221" s="520">
        <f t="shared" si="82"/>
        <v>0.06</v>
      </c>
      <c r="AD221" s="520">
        <f t="shared" si="82"/>
        <v>0.06</v>
      </c>
      <c r="AE221" s="520">
        <f t="shared" si="82"/>
        <v>0.06</v>
      </c>
      <c r="AF221" s="520">
        <f t="shared" si="82"/>
        <v>0.06</v>
      </c>
      <c r="AG221" s="520">
        <f t="shared" si="82"/>
        <v>0.06</v>
      </c>
      <c r="AH221" s="520">
        <f t="shared" si="82"/>
        <v>0.06</v>
      </c>
      <c r="AI221" s="520">
        <f t="shared" si="82"/>
        <v>0.06</v>
      </c>
      <c r="AJ221" s="520">
        <f t="shared" si="82"/>
        <v>0.06</v>
      </c>
      <c r="AK221" s="520">
        <f t="shared" si="82"/>
        <v>0.06</v>
      </c>
      <c r="AL221" s="520">
        <f t="shared" si="82"/>
        <v>0.06</v>
      </c>
      <c r="AM221" s="520">
        <f t="shared" si="82"/>
        <v>0.06</v>
      </c>
      <c r="AN221" s="520">
        <f t="shared" si="82"/>
        <v>0.06</v>
      </c>
      <c r="AO221" s="520">
        <f t="shared" si="82"/>
        <v>0.06</v>
      </c>
      <c r="AP221" s="520">
        <f t="shared" si="82"/>
        <v>0.06</v>
      </c>
      <c r="AQ221" s="520">
        <f t="shared" si="82"/>
        <v>0.06</v>
      </c>
      <c r="AR221" s="520">
        <f t="shared" si="82"/>
        <v>0.06</v>
      </c>
      <c r="AS221" s="520">
        <f t="shared" si="82"/>
        <v>0.06</v>
      </c>
    </row>
    <row r="222" spans="1:45">
      <c r="A222" s="13"/>
      <c r="B222" s="2"/>
      <c r="C222" s="37" t="s">
        <v>162</v>
      </c>
      <c r="D222" s="185">
        <v>0.25</v>
      </c>
      <c r="O222" s="523" t="s">
        <v>573</v>
      </c>
      <c r="P222" s="513">
        <f>IF(AND((P204-2019)&gt;$B$150,(P204-2021)&lt;$C$150),($P$220+(($C$138-$P$220)/($C$150-$B$150+1))),P220)</f>
        <v>0</v>
      </c>
      <c r="Q222" s="581">
        <f>IF(AND((Q204-2019)&gt;$B$150,(Q204-2021)&lt;$C$150),(P222+Q221),P222)</f>
        <v>0</v>
      </c>
      <c r="R222" s="581">
        <f t="shared" ref="R222:AS222" si="83">IF(AND((R204-2019)&gt;$B$150,(R204-2021)&lt;$C$150),(Q222+R221),Q222)</f>
        <v>0</v>
      </c>
      <c r="S222" s="581">
        <f t="shared" si="83"/>
        <v>0</v>
      </c>
      <c r="T222" s="581">
        <f t="shared" si="83"/>
        <v>0.06</v>
      </c>
      <c r="U222" s="581">
        <f t="shared" si="83"/>
        <v>0.06</v>
      </c>
      <c r="V222" s="581">
        <f t="shared" si="83"/>
        <v>0.06</v>
      </c>
      <c r="W222" s="581">
        <f t="shared" si="83"/>
        <v>0.06</v>
      </c>
      <c r="X222" s="581">
        <f t="shared" si="83"/>
        <v>0.06</v>
      </c>
      <c r="Y222" s="581">
        <f t="shared" si="83"/>
        <v>0.06</v>
      </c>
      <c r="Z222" s="581">
        <f t="shared" si="83"/>
        <v>0.06</v>
      </c>
      <c r="AA222" s="581">
        <f t="shared" si="83"/>
        <v>0.06</v>
      </c>
      <c r="AB222" s="581">
        <f t="shared" si="83"/>
        <v>0.06</v>
      </c>
      <c r="AC222" s="581">
        <f t="shared" si="83"/>
        <v>0.06</v>
      </c>
      <c r="AD222" s="581">
        <f t="shared" si="83"/>
        <v>0.06</v>
      </c>
      <c r="AE222" s="581">
        <f t="shared" si="83"/>
        <v>0.06</v>
      </c>
      <c r="AF222" s="581">
        <f t="shared" si="83"/>
        <v>0.06</v>
      </c>
      <c r="AG222" s="581">
        <f t="shared" si="83"/>
        <v>0.06</v>
      </c>
      <c r="AH222" s="581">
        <f t="shared" si="83"/>
        <v>0.06</v>
      </c>
      <c r="AI222" s="581">
        <f t="shared" si="83"/>
        <v>0.06</v>
      </c>
      <c r="AJ222" s="581">
        <f t="shared" si="83"/>
        <v>0.06</v>
      </c>
      <c r="AK222" s="581">
        <f t="shared" si="83"/>
        <v>0.06</v>
      </c>
      <c r="AL222" s="581">
        <f t="shared" si="83"/>
        <v>0.06</v>
      </c>
      <c r="AM222" s="581">
        <f t="shared" si="83"/>
        <v>0.06</v>
      </c>
      <c r="AN222" s="581">
        <f t="shared" si="83"/>
        <v>0.06</v>
      </c>
      <c r="AO222" s="581">
        <f t="shared" si="83"/>
        <v>0.06</v>
      </c>
      <c r="AP222" s="581">
        <f t="shared" si="83"/>
        <v>0.06</v>
      </c>
      <c r="AQ222" s="581">
        <f t="shared" si="83"/>
        <v>0.06</v>
      </c>
      <c r="AR222" s="581">
        <f t="shared" si="83"/>
        <v>0.06</v>
      </c>
      <c r="AS222" s="581">
        <f t="shared" si="83"/>
        <v>0.06</v>
      </c>
    </row>
    <row r="223" spans="1:45">
      <c r="A223" s="13"/>
      <c r="B223" s="2"/>
      <c r="C223" s="37" t="s">
        <v>520</v>
      </c>
      <c r="D223" s="185">
        <v>1</v>
      </c>
      <c r="O223" s="397" t="str">
        <f>A139</f>
        <v>Plug-in hybrid diesel-electric PHEV</v>
      </c>
      <c r="P223" s="503">
        <f>'LOCAL DATASET INPUTS'!E100</f>
        <v>0</v>
      </c>
      <c r="Q223" s="503">
        <f>'LOCAL DATASET INPUTS'!F100</f>
        <v>1.9999999999999997E-2</v>
      </c>
      <c r="R223" s="503">
        <f>'LOCAL DATASET INPUTS'!G100</f>
        <v>1.9999999999999997E-2</v>
      </c>
      <c r="S223" s="503">
        <f>'LOCAL DATASET INPUTS'!H100</f>
        <v>1.9999999999999997E-2</v>
      </c>
      <c r="T223" s="503">
        <f>'LOCAL DATASET INPUTS'!I100</f>
        <v>1.9999999999999997E-2</v>
      </c>
      <c r="U223" s="503">
        <f>'LOCAL DATASET INPUTS'!J100</f>
        <v>1.9999999999999997E-2</v>
      </c>
      <c r="V223" s="503">
        <f>'LOCAL DATASET INPUTS'!K100</f>
        <v>1.9999999999999997E-2</v>
      </c>
      <c r="W223" s="503">
        <f>'LOCAL DATASET INPUTS'!L100</f>
        <v>1.9999999999999997E-2</v>
      </c>
      <c r="X223" s="503">
        <f>'LOCAL DATASET INPUTS'!M100</f>
        <v>1.9999999999999997E-2</v>
      </c>
      <c r="Y223" s="503">
        <f>'LOCAL DATASET INPUTS'!N100</f>
        <v>1.9999999999999997E-2</v>
      </c>
      <c r="Z223" s="503">
        <f>'LOCAL DATASET INPUTS'!O100</f>
        <v>1.9999999999999997E-2</v>
      </c>
      <c r="AA223" s="503">
        <f>'LOCAL DATASET INPUTS'!P100</f>
        <v>1.9999999999999997E-2</v>
      </c>
      <c r="AB223" s="503">
        <f>'LOCAL DATASET INPUTS'!Q100</f>
        <v>1.9999999999999997E-2</v>
      </c>
      <c r="AC223" s="503">
        <f>'LOCAL DATASET INPUTS'!R100</f>
        <v>1.9999999999999997E-2</v>
      </c>
      <c r="AD223" s="503">
        <f>'LOCAL DATASET INPUTS'!S100</f>
        <v>1.9999999999999997E-2</v>
      </c>
      <c r="AE223" s="503">
        <f>'LOCAL DATASET INPUTS'!T100</f>
        <v>1.9999999999999997E-2</v>
      </c>
      <c r="AF223" s="503">
        <f>'LOCAL DATASET INPUTS'!U100</f>
        <v>1.9999999999999997E-2</v>
      </c>
      <c r="AG223" s="503">
        <f>'LOCAL DATASET INPUTS'!V100</f>
        <v>1.9999999999999997E-2</v>
      </c>
      <c r="AH223" s="503">
        <f>'LOCAL DATASET INPUTS'!W100</f>
        <v>1.9999999999999997E-2</v>
      </c>
      <c r="AI223" s="503">
        <f>'LOCAL DATASET INPUTS'!X100</f>
        <v>1.9999999999999997E-2</v>
      </c>
      <c r="AJ223" s="503">
        <f>'LOCAL DATASET INPUTS'!Y100</f>
        <v>1.9999999999999997E-2</v>
      </c>
      <c r="AK223" s="503">
        <f>'LOCAL DATASET INPUTS'!Z100</f>
        <v>1.9999999999999997E-2</v>
      </c>
      <c r="AL223" s="503">
        <f>'LOCAL DATASET INPUTS'!AA100</f>
        <v>1.9999999999999997E-2</v>
      </c>
      <c r="AM223" s="503">
        <f>'LOCAL DATASET INPUTS'!AB100</f>
        <v>1.9999999999999997E-2</v>
      </c>
      <c r="AN223" s="503">
        <f>'LOCAL DATASET INPUTS'!AC100</f>
        <v>1.9999999999999997E-2</v>
      </c>
      <c r="AO223" s="503">
        <f>'LOCAL DATASET INPUTS'!AD100</f>
        <v>1.9999999999999997E-2</v>
      </c>
      <c r="AP223" s="503">
        <f>'LOCAL DATASET INPUTS'!AE100</f>
        <v>1.9999999999999997E-2</v>
      </c>
      <c r="AQ223" s="503">
        <f>'LOCAL DATASET INPUTS'!AF100</f>
        <v>1.9999999999999997E-2</v>
      </c>
      <c r="AR223" s="503">
        <f>'LOCAL DATASET INPUTS'!AG100</f>
        <v>1.9999999999999997E-2</v>
      </c>
      <c r="AS223" s="503">
        <f>'LOCAL DATASET INPUTS'!AH100</f>
        <v>1.9999999999999997E-2</v>
      </c>
    </row>
    <row r="224" spans="1:45">
      <c r="A224" s="13"/>
      <c r="B224" s="2"/>
      <c r="C224" s="37" t="s">
        <v>163</v>
      </c>
      <c r="D224" s="185">
        <v>2</v>
      </c>
      <c r="O224" s="518" t="s">
        <v>600</v>
      </c>
      <c r="P224" s="520">
        <f>IF((P204-2020)=$B$150,(($C$139-$P$223)/($C$150-$B$150+1)),0)</f>
        <v>0</v>
      </c>
      <c r="Q224" s="520">
        <f t="shared" ref="Q224:AS224" si="84">IF((Q204-2020)=$B$150,(($C$139-P223)/($C$150-$B$150+1)),P224)</f>
        <v>0</v>
      </c>
      <c r="R224" s="520">
        <f t="shared" si="84"/>
        <v>0</v>
      </c>
      <c r="S224" s="520">
        <f t="shared" si="84"/>
        <v>0</v>
      </c>
      <c r="T224" s="520">
        <f t="shared" si="84"/>
        <v>0.04</v>
      </c>
      <c r="U224" s="520">
        <f t="shared" si="84"/>
        <v>0.04</v>
      </c>
      <c r="V224" s="520">
        <f t="shared" si="84"/>
        <v>0.04</v>
      </c>
      <c r="W224" s="520">
        <f t="shared" si="84"/>
        <v>0.04</v>
      </c>
      <c r="X224" s="520">
        <f t="shared" si="84"/>
        <v>0.04</v>
      </c>
      <c r="Y224" s="520">
        <f t="shared" si="84"/>
        <v>0.04</v>
      </c>
      <c r="Z224" s="520">
        <f t="shared" si="84"/>
        <v>0.04</v>
      </c>
      <c r="AA224" s="520">
        <f t="shared" si="84"/>
        <v>0.04</v>
      </c>
      <c r="AB224" s="520">
        <f t="shared" si="84"/>
        <v>0.04</v>
      </c>
      <c r="AC224" s="520">
        <f t="shared" si="84"/>
        <v>0.04</v>
      </c>
      <c r="AD224" s="520">
        <f t="shared" si="84"/>
        <v>0.04</v>
      </c>
      <c r="AE224" s="520">
        <f t="shared" si="84"/>
        <v>0.04</v>
      </c>
      <c r="AF224" s="520">
        <f t="shared" si="84"/>
        <v>0.04</v>
      </c>
      <c r="AG224" s="520">
        <f t="shared" si="84"/>
        <v>0.04</v>
      </c>
      <c r="AH224" s="520">
        <f t="shared" si="84"/>
        <v>0.04</v>
      </c>
      <c r="AI224" s="520">
        <f t="shared" si="84"/>
        <v>0.04</v>
      </c>
      <c r="AJ224" s="520">
        <f t="shared" si="84"/>
        <v>0.04</v>
      </c>
      <c r="AK224" s="520">
        <f t="shared" si="84"/>
        <v>0.04</v>
      </c>
      <c r="AL224" s="520">
        <f t="shared" si="84"/>
        <v>0.04</v>
      </c>
      <c r="AM224" s="520">
        <f t="shared" si="84"/>
        <v>0.04</v>
      </c>
      <c r="AN224" s="520">
        <f t="shared" si="84"/>
        <v>0.04</v>
      </c>
      <c r="AO224" s="520">
        <f t="shared" si="84"/>
        <v>0.04</v>
      </c>
      <c r="AP224" s="520">
        <f t="shared" si="84"/>
        <v>0.04</v>
      </c>
      <c r="AQ224" s="520">
        <f t="shared" si="84"/>
        <v>0.04</v>
      </c>
      <c r="AR224" s="520">
        <f t="shared" si="84"/>
        <v>0.04</v>
      </c>
      <c r="AS224" s="520">
        <f t="shared" si="84"/>
        <v>0.04</v>
      </c>
    </row>
    <row r="225" spans="1:45">
      <c r="A225" s="13"/>
      <c r="B225" s="2"/>
      <c r="C225" s="37" t="s">
        <v>168</v>
      </c>
      <c r="D225" s="185" t="e">
        <f>'LOCAL DATASET INPUTS'!E6/'LOCAL DATASET INPUTS'!#REF!</f>
        <v>#REF!</v>
      </c>
      <c r="O225" s="523" t="s">
        <v>573</v>
      </c>
      <c r="P225" s="513">
        <f>IF(AND((P204-2019)&gt;$B$150,(P204-2021)&lt;$C$150),($P$223+(($C$139-$P$223)/($C$150-$B$150+1))),P223)</f>
        <v>0</v>
      </c>
      <c r="Q225" s="513">
        <f>IF(AND((Q204-2019)&gt;$B$150,(Q204-2021)&lt;$C$150),(P225+Q224),P225)</f>
        <v>0</v>
      </c>
      <c r="R225" s="513">
        <f t="shared" ref="R225:AS225" si="85">IF(AND((R204-2019)&gt;$B$150,(R204-2021)&lt;$C$150),(Q225+R224),Q225)</f>
        <v>0</v>
      </c>
      <c r="S225" s="513">
        <f t="shared" si="85"/>
        <v>0</v>
      </c>
      <c r="T225" s="513">
        <f t="shared" si="85"/>
        <v>0.04</v>
      </c>
      <c r="U225" s="513">
        <f t="shared" si="85"/>
        <v>0.04</v>
      </c>
      <c r="V225" s="513">
        <f t="shared" si="85"/>
        <v>0.04</v>
      </c>
      <c r="W225" s="513">
        <f t="shared" si="85"/>
        <v>0.04</v>
      </c>
      <c r="X225" s="513">
        <f t="shared" si="85"/>
        <v>0.04</v>
      </c>
      <c r="Y225" s="513">
        <f t="shared" si="85"/>
        <v>0.04</v>
      </c>
      <c r="Z225" s="513">
        <f t="shared" si="85"/>
        <v>0.04</v>
      </c>
      <c r="AA225" s="513">
        <f t="shared" si="85"/>
        <v>0.04</v>
      </c>
      <c r="AB225" s="513">
        <f t="shared" si="85"/>
        <v>0.04</v>
      </c>
      <c r="AC225" s="513">
        <f t="shared" si="85"/>
        <v>0.04</v>
      </c>
      <c r="AD225" s="513">
        <f t="shared" si="85"/>
        <v>0.04</v>
      </c>
      <c r="AE225" s="513">
        <f t="shared" si="85"/>
        <v>0.04</v>
      </c>
      <c r="AF225" s="513">
        <f t="shared" si="85"/>
        <v>0.04</v>
      </c>
      <c r="AG225" s="513">
        <f t="shared" si="85"/>
        <v>0.04</v>
      </c>
      <c r="AH225" s="513">
        <f t="shared" si="85"/>
        <v>0.04</v>
      </c>
      <c r="AI225" s="513">
        <f t="shared" si="85"/>
        <v>0.04</v>
      </c>
      <c r="AJ225" s="513">
        <f t="shared" si="85"/>
        <v>0.04</v>
      </c>
      <c r="AK225" s="513">
        <f t="shared" si="85"/>
        <v>0.04</v>
      </c>
      <c r="AL225" s="513">
        <f t="shared" si="85"/>
        <v>0.04</v>
      </c>
      <c r="AM225" s="513">
        <f t="shared" si="85"/>
        <v>0.04</v>
      </c>
      <c r="AN225" s="513">
        <f t="shared" si="85"/>
        <v>0.04</v>
      </c>
      <c r="AO225" s="513">
        <f t="shared" si="85"/>
        <v>0.04</v>
      </c>
      <c r="AP225" s="513">
        <f t="shared" si="85"/>
        <v>0.04</v>
      </c>
      <c r="AQ225" s="513">
        <f t="shared" si="85"/>
        <v>0.04</v>
      </c>
      <c r="AR225" s="513">
        <f t="shared" si="85"/>
        <v>0.04</v>
      </c>
      <c r="AS225" s="513">
        <f t="shared" si="85"/>
        <v>0.04</v>
      </c>
    </row>
    <row r="226" spans="1:45" ht="15.75" thickBot="1">
      <c r="A226" s="15"/>
      <c r="B226" s="17"/>
      <c r="C226" s="17"/>
      <c r="D226" s="137"/>
      <c r="O226" s="397" t="str">
        <f>A140</f>
        <v>Hydrogen and fuel cells</v>
      </c>
      <c r="P226" s="503">
        <f>'LOCAL DATASET INPUTS'!E93</f>
        <v>0</v>
      </c>
      <c r="Q226" s="503">
        <f>'LOCAL DATASET INPUTS'!F93</f>
        <v>0</v>
      </c>
      <c r="R226" s="503">
        <f>'LOCAL DATASET INPUTS'!G93</f>
        <v>0</v>
      </c>
      <c r="S226" s="503">
        <f>'LOCAL DATASET INPUTS'!H93</f>
        <v>0</v>
      </c>
      <c r="T226" s="503">
        <f>'LOCAL DATASET INPUTS'!I93</f>
        <v>0</v>
      </c>
      <c r="U226" s="503">
        <f>'LOCAL DATASET INPUTS'!J93</f>
        <v>0</v>
      </c>
      <c r="V226" s="503">
        <f>'LOCAL DATASET INPUTS'!K93</f>
        <v>0</v>
      </c>
      <c r="W226" s="503">
        <f>'LOCAL DATASET INPUTS'!L93</f>
        <v>0</v>
      </c>
      <c r="X226" s="503">
        <f>'LOCAL DATASET INPUTS'!M93</f>
        <v>0</v>
      </c>
      <c r="Y226" s="503">
        <f>'LOCAL DATASET INPUTS'!N93</f>
        <v>0</v>
      </c>
      <c r="Z226" s="503">
        <f>'LOCAL DATASET INPUTS'!O93</f>
        <v>0</v>
      </c>
      <c r="AA226" s="503">
        <f>'LOCAL DATASET INPUTS'!P93</f>
        <v>0</v>
      </c>
      <c r="AB226" s="503">
        <f>'LOCAL DATASET INPUTS'!Q93</f>
        <v>0</v>
      </c>
      <c r="AC226" s="503">
        <f>'LOCAL DATASET INPUTS'!R93</f>
        <v>0</v>
      </c>
      <c r="AD226" s="503">
        <f>'LOCAL DATASET INPUTS'!S93</f>
        <v>0</v>
      </c>
      <c r="AE226" s="503">
        <f>'LOCAL DATASET INPUTS'!T93</f>
        <v>0</v>
      </c>
      <c r="AF226" s="503">
        <f>'LOCAL DATASET INPUTS'!U93</f>
        <v>0</v>
      </c>
      <c r="AG226" s="503">
        <f>'LOCAL DATASET INPUTS'!V93</f>
        <v>0</v>
      </c>
      <c r="AH226" s="503">
        <f>'LOCAL DATASET INPUTS'!W93</f>
        <v>0</v>
      </c>
      <c r="AI226" s="503">
        <f>'LOCAL DATASET INPUTS'!X93</f>
        <v>0</v>
      </c>
      <c r="AJ226" s="503">
        <f>'LOCAL DATASET INPUTS'!Y93</f>
        <v>0</v>
      </c>
      <c r="AK226" s="503">
        <f>'LOCAL DATASET INPUTS'!Z93</f>
        <v>0</v>
      </c>
      <c r="AL226" s="503">
        <f>'LOCAL DATASET INPUTS'!AA93</f>
        <v>0</v>
      </c>
      <c r="AM226" s="503">
        <f>'LOCAL DATASET INPUTS'!AB93</f>
        <v>0</v>
      </c>
      <c r="AN226" s="503">
        <f>'LOCAL DATASET INPUTS'!AC93</f>
        <v>0</v>
      </c>
      <c r="AO226" s="503">
        <f>'LOCAL DATASET INPUTS'!AD93</f>
        <v>0</v>
      </c>
      <c r="AP226" s="503">
        <f>'LOCAL DATASET INPUTS'!AE93</f>
        <v>0</v>
      </c>
      <c r="AQ226" s="503">
        <f>'LOCAL DATASET INPUTS'!AF93</f>
        <v>0</v>
      </c>
      <c r="AR226" s="503">
        <f>'LOCAL DATASET INPUTS'!AG93</f>
        <v>0</v>
      </c>
      <c r="AS226" s="503">
        <f>'LOCAL DATASET INPUTS'!AH93</f>
        <v>0</v>
      </c>
    </row>
    <row r="227" spans="1:45">
      <c r="O227" s="518" t="s">
        <v>600</v>
      </c>
      <c r="P227" s="520">
        <f>IF((P204-2020)=$B$150,(($C$140-$P$226)/($C$150-$B$150+1)),0)</f>
        <v>0</v>
      </c>
      <c r="Q227" s="520">
        <f t="shared" ref="Q227:AS227" si="86">IF((Q204-2020)=$B$150,(($C$140-P226)/($C$150-$B$150+1)),P227)</f>
        <v>0</v>
      </c>
      <c r="R227" s="520">
        <f t="shared" si="86"/>
        <v>0</v>
      </c>
      <c r="S227" s="520">
        <f t="shared" si="86"/>
        <v>0</v>
      </c>
      <c r="T227" s="520">
        <f t="shared" si="86"/>
        <v>0</v>
      </c>
      <c r="U227" s="520">
        <f t="shared" si="86"/>
        <v>0</v>
      </c>
      <c r="V227" s="520">
        <f t="shared" si="86"/>
        <v>0</v>
      </c>
      <c r="W227" s="520">
        <f t="shared" si="86"/>
        <v>0</v>
      </c>
      <c r="X227" s="520">
        <f t="shared" si="86"/>
        <v>0</v>
      </c>
      <c r="Y227" s="520">
        <f t="shared" si="86"/>
        <v>0</v>
      </c>
      <c r="Z227" s="520">
        <f t="shared" si="86"/>
        <v>0</v>
      </c>
      <c r="AA227" s="520">
        <f t="shared" si="86"/>
        <v>0</v>
      </c>
      <c r="AB227" s="520">
        <f t="shared" si="86"/>
        <v>0</v>
      </c>
      <c r="AC227" s="520">
        <f t="shared" si="86"/>
        <v>0</v>
      </c>
      <c r="AD227" s="520">
        <f t="shared" si="86"/>
        <v>0</v>
      </c>
      <c r="AE227" s="520">
        <f t="shared" si="86"/>
        <v>0</v>
      </c>
      <c r="AF227" s="520">
        <f t="shared" si="86"/>
        <v>0</v>
      </c>
      <c r="AG227" s="520">
        <f t="shared" si="86"/>
        <v>0</v>
      </c>
      <c r="AH227" s="520">
        <f t="shared" si="86"/>
        <v>0</v>
      </c>
      <c r="AI227" s="520">
        <f t="shared" si="86"/>
        <v>0</v>
      </c>
      <c r="AJ227" s="520">
        <f t="shared" si="86"/>
        <v>0</v>
      </c>
      <c r="AK227" s="520">
        <f t="shared" si="86"/>
        <v>0</v>
      </c>
      <c r="AL227" s="520">
        <f t="shared" si="86"/>
        <v>0</v>
      </c>
      <c r="AM227" s="520">
        <f t="shared" si="86"/>
        <v>0</v>
      </c>
      <c r="AN227" s="520">
        <f t="shared" si="86"/>
        <v>0</v>
      </c>
      <c r="AO227" s="520">
        <f t="shared" si="86"/>
        <v>0</v>
      </c>
      <c r="AP227" s="520">
        <f t="shared" si="86"/>
        <v>0</v>
      </c>
      <c r="AQ227" s="520">
        <f t="shared" si="86"/>
        <v>0</v>
      </c>
      <c r="AR227" s="520">
        <f t="shared" si="86"/>
        <v>0</v>
      </c>
      <c r="AS227" s="520">
        <f t="shared" si="86"/>
        <v>0</v>
      </c>
    </row>
    <row r="228" spans="1:45">
      <c r="O228" s="523" t="s">
        <v>573</v>
      </c>
      <c r="P228" s="513">
        <f>IF(AND((P204-2019)&gt;$B$150,(P204-2021)&lt;$C$150),($P$226+(($C$140-$P$226)/($C$150-$B$150+1))),P226)</f>
        <v>0</v>
      </c>
      <c r="Q228" s="513">
        <f>IF(AND((Q204-2019)&gt;$B$150,(Q204-2021)&lt;$C$150),(P228+Q227),P228)</f>
        <v>0</v>
      </c>
      <c r="R228" s="513">
        <f t="shared" ref="R228:AS228" si="87">IF(AND((R204-2019)&gt;$B$150,(R204-2021)&lt;$C$150),(Q228+R227),Q228)</f>
        <v>0</v>
      </c>
      <c r="S228" s="513">
        <f t="shared" si="87"/>
        <v>0</v>
      </c>
      <c r="T228" s="513">
        <f t="shared" si="87"/>
        <v>0</v>
      </c>
      <c r="U228" s="513">
        <f t="shared" si="87"/>
        <v>0</v>
      </c>
      <c r="V228" s="513">
        <f t="shared" si="87"/>
        <v>0</v>
      </c>
      <c r="W228" s="513">
        <f t="shared" si="87"/>
        <v>0</v>
      </c>
      <c r="X228" s="513">
        <f t="shared" si="87"/>
        <v>0</v>
      </c>
      <c r="Y228" s="513">
        <f t="shared" si="87"/>
        <v>0</v>
      </c>
      <c r="Z228" s="513">
        <f t="shared" si="87"/>
        <v>0</v>
      </c>
      <c r="AA228" s="513">
        <f t="shared" si="87"/>
        <v>0</v>
      </c>
      <c r="AB228" s="513">
        <f t="shared" si="87"/>
        <v>0</v>
      </c>
      <c r="AC228" s="513">
        <f t="shared" si="87"/>
        <v>0</v>
      </c>
      <c r="AD228" s="513">
        <f t="shared" si="87"/>
        <v>0</v>
      </c>
      <c r="AE228" s="513">
        <f t="shared" si="87"/>
        <v>0</v>
      </c>
      <c r="AF228" s="513">
        <f t="shared" si="87"/>
        <v>0</v>
      </c>
      <c r="AG228" s="513">
        <f t="shared" si="87"/>
        <v>0</v>
      </c>
      <c r="AH228" s="513">
        <f t="shared" si="87"/>
        <v>0</v>
      </c>
      <c r="AI228" s="513">
        <f t="shared" si="87"/>
        <v>0</v>
      </c>
      <c r="AJ228" s="513">
        <f t="shared" si="87"/>
        <v>0</v>
      </c>
      <c r="AK228" s="513">
        <f t="shared" si="87"/>
        <v>0</v>
      </c>
      <c r="AL228" s="513">
        <f t="shared" si="87"/>
        <v>0</v>
      </c>
      <c r="AM228" s="513">
        <f t="shared" si="87"/>
        <v>0</v>
      </c>
      <c r="AN228" s="513">
        <f t="shared" si="87"/>
        <v>0</v>
      </c>
      <c r="AO228" s="513">
        <f t="shared" si="87"/>
        <v>0</v>
      </c>
      <c r="AP228" s="513">
        <f t="shared" si="87"/>
        <v>0</v>
      </c>
      <c r="AQ228" s="513">
        <f t="shared" si="87"/>
        <v>0</v>
      </c>
      <c r="AR228" s="513">
        <f t="shared" si="87"/>
        <v>0</v>
      </c>
      <c r="AS228" s="513">
        <f t="shared" si="87"/>
        <v>0</v>
      </c>
    </row>
    <row r="229" spans="1:45">
      <c r="O229" s="397" t="str">
        <f>A141</f>
        <v>Bioethanol</v>
      </c>
      <c r="P229" s="503">
        <f>'LOCAL DATASET INPUTS'!E94</f>
        <v>0</v>
      </c>
      <c r="Q229" s="503">
        <f>'LOCAL DATASET INPUTS'!F94</f>
        <v>0</v>
      </c>
      <c r="R229" s="503">
        <f>'LOCAL DATASET INPUTS'!G94</f>
        <v>0</v>
      </c>
      <c r="S229" s="503">
        <f>'LOCAL DATASET INPUTS'!H94</f>
        <v>0</v>
      </c>
      <c r="T229" s="503">
        <f>'LOCAL DATASET INPUTS'!I94</f>
        <v>0</v>
      </c>
      <c r="U229" s="503">
        <f>'LOCAL DATASET INPUTS'!J94</f>
        <v>0</v>
      </c>
      <c r="V229" s="503">
        <f>'LOCAL DATASET INPUTS'!K94</f>
        <v>0</v>
      </c>
      <c r="W229" s="503">
        <f>'LOCAL DATASET INPUTS'!L94</f>
        <v>0</v>
      </c>
      <c r="X229" s="503">
        <f>'LOCAL DATASET INPUTS'!M94</f>
        <v>0</v>
      </c>
      <c r="Y229" s="503">
        <f>'LOCAL DATASET INPUTS'!N94</f>
        <v>0</v>
      </c>
      <c r="Z229" s="503">
        <f>'LOCAL DATASET INPUTS'!O94</f>
        <v>0</v>
      </c>
      <c r="AA229" s="503">
        <f>'LOCAL DATASET INPUTS'!P94</f>
        <v>0</v>
      </c>
      <c r="AB229" s="503">
        <f>'LOCAL DATASET INPUTS'!Q94</f>
        <v>0</v>
      </c>
      <c r="AC229" s="503">
        <f>'LOCAL DATASET INPUTS'!R94</f>
        <v>0</v>
      </c>
      <c r="AD229" s="503">
        <f>'LOCAL DATASET INPUTS'!S94</f>
        <v>0</v>
      </c>
      <c r="AE229" s="503">
        <f>'LOCAL DATASET INPUTS'!T94</f>
        <v>0</v>
      </c>
      <c r="AF229" s="503">
        <f>'LOCAL DATASET INPUTS'!U94</f>
        <v>0</v>
      </c>
      <c r="AG229" s="503">
        <f>'LOCAL DATASET INPUTS'!V94</f>
        <v>0</v>
      </c>
      <c r="AH229" s="503">
        <f>'LOCAL DATASET INPUTS'!W94</f>
        <v>0</v>
      </c>
      <c r="AI229" s="503">
        <f>'LOCAL DATASET INPUTS'!X94</f>
        <v>0</v>
      </c>
      <c r="AJ229" s="503">
        <f>'LOCAL DATASET INPUTS'!Y94</f>
        <v>0</v>
      </c>
      <c r="AK229" s="503">
        <f>'LOCAL DATASET INPUTS'!Z94</f>
        <v>0</v>
      </c>
      <c r="AL229" s="503">
        <f>'LOCAL DATASET INPUTS'!AA94</f>
        <v>0</v>
      </c>
      <c r="AM229" s="503">
        <f>'LOCAL DATASET INPUTS'!AB94</f>
        <v>0</v>
      </c>
      <c r="AN229" s="503">
        <f>'LOCAL DATASET INPUTS'!AC94</f>
        <v>0</v>
      </c>
      <c r="AO229" s="503">
        <f>'LOCAL DATASET INPUTS'!AD94</f>
        <v>0</v>
      </c>
      <c r="AP229" s="503">
        <f>'LOCAL DATASET INPUTS'!AE94</f>
        <v>0</v>
      </c>
      <c r="AQ229" s="503">
        <f>'LOCAL DATASET INPUTS'!AF94</f>
        <v>0</v>
      </c>
      <c r="AR229" s="503">
        <f>'LOCAL DATASET INPUTS'!AG94</f>
        <v>0</v>
      </c>
      <c r="AS229" s="503">
        <f>'LOCAL DATASET INPUTS'!AH94</f>
        <v>0</v>
      </c>
    </row>
    <row r="230" spans="1:45">
      <c r="O230" s="518" t="s">
        <v>600</v>
      </c>
      <c r="P230" s="520">
        <f>IF((P204-2020)=$B$150,(($C$141-$P$229)/($C$150-$B$150+1)),0)</f>
        <v>0</v>
      </c>
      <c r="Q230" s="520">
        <f t="shared" ref="Q230:AS230" si="88">IF((Q204-2020)=$B$150,(($C$141-P229)/($C$150-$B$150+1)),P230)</f>
        <v>0</v>
      </c>
      <c r="R230" s="520">
        <f t="shared" si="88"/>
        <v>0</v>
      </c>
      <c r="S230" s="520">
        <f t="shared" si="88"/>
        <v>0</v>
      </c>
      <c r="T230" s="520">
        <f t="shared" si="88"/>
        <v>0</v>
      </c>
      <c r="U230" s="520">
        <f t="shared" si="88"/>
        <v>0</v>
      </c>
      <c r="V230" s="520">
        <f t="shared" si="88"/>
        <v>0</v>
      </c>
      <c r="W230" s="520">
        <f t="shared" si="88"/>
        <v>0</v>
      </c>
      <c r="X230" s="520">
        <f t="shared" si="88"/>
        <v>0</v>
      </c>
      <c r="Y230" s="520">
        <f t="shared" si="88"/>
        <v>0</v>
      </c>
      <c r="Z230" s="520">
        <f t="shared" si="88"/>
        <v>0</v>
      </c>
      <c r="AA230" s="520">
        <f t="shared" si="88"/>
        <v>0</v>
      </c>
      <c r="AB230" s="520">
        <f t="shared" si="88"/>
        <v>0</v>
      </c>
      <c r="AC230" s="520">
        <f t="shared" si="88"/>
        <v>0</v>
      </c>
      <c r="AD230" s="520">
        <f t="shared" si="88"/>
        <v>0</v>
      </c>
      <c r="AE230" s="520">
        <f t="shared" si="88"/>
        <v>0</v>
      </c>
      <c r="AF230" s="520">
        <f t="shared" si="88"/>
        <v>0</v>
      </c>
      <c r="AG230" s="520">
        <f t="shared" si="88"/>
        <v>0</v>
      </c>
      <c r="AH230" s="520">
        <f t="shared" si="88"/>
        <v>0</v>
      </c>
      <c r="AI230" s="520">
        <f t="shared" si="88"/>
        <v>0</v>
      </c>
      <c r="AJ230" s="520">
        <f t="shared" si="88"/>
        <v>0</v>
      </c>
      <c r="AK230" s="520">
        <f t="shared" si="88"/>
        <v>0</v>
      </c>
      <c r="AL230" s="520">
        <f t="shared" si="88"/>
        <v>0</v>
      </c>
      <c r="AM230" s="520">
        <f t="shared" si="88"/>
        <v>0</v>
      </c>
      <c r="AN230" s="520">
        <f t="shared" si="88"/>
        <v>0</v>
      </c>
      <c r="AO230" s="520">
        <f t="shared" si="88"/>
        <v>0</v>
      </c>
      <c r="AP230" s="520">
        <f t="shared" si="88"/>
        <v>0</v>
      </c>
      <c r="AQ230" s="520">
        <f t="shared" si="88"/>
        <v>0</v>
      </c>
      <c r="AR230" s="520">
        <f t="shared" si="88"/>
        <v>0</v>
      </c>
      <c r="AS230" s="520">
        <f t="shared" si="88"/>
        <v>0</v>
      </c>
    </row>
    <row r="231" spans="1:45">
      <c r="O231" s="523" t="s">
        <v>573</v>
      </c>
      <c r="P231" s="513">
        <f>IF(AND((P204-2019)&gt;$B$150,(P204-2021)&lt;$C$150),($P$229+(($C$141-$P$229)/($C$150-$B$150+1))),P229)</f>
        <v>0</v>
      </c>
      <c r="Q231" s="513">
        <f>IF(AND((Q204-2019)&gt;$B$150,(Q204-2021)&lt;$C$150),(P231+Q230),P231)</f>
        <v>0</v>
      </c>
      <c r="R231" s="513">
        <f t="shared" ref="R231:AS231" si="89">IF(AND((R204-2019)&gt;$B$150,(R204-2021)&lt;$C$150),(Q231+R230),Q231)</f>
        <v>0</v>
      </c>
      <c r="S231" s="513">
        <f t="shared" si="89"/>
        <v>0</v>
      </c>
      <c r="T231" s="513">
        <f t="shared" si="89"/>
        <v>0</v>
      </c>
      <c r="U231" s="513">
        <f t="shared" si="89"/>
        <v>0</v>
      </c>
      <c r="V231" s="513">
        <f t="shared" si="89"/>
        <v>0</v>
      </c>
      <c r="W231" s="513">
        <f t="shared" si="89"/>
        <v>0</v>
      </c>
      <c r="X231" s="513">
        <f t="shared" si="89"/>
        <v>0</v>
      </c>
      <c r="Y231" s="513">
        <f t="shared" si="89"/>
        <v>0</v>
      </c>
      <c r="Z231" s="513">
        <f t="shared" si="89"/>
        <v>0</v>
      </c>
      <c r="AA231" s="513">
        <f t="shared" si="89"/>
        <v>0</v>
      </c>
      <c r="AB231" s="513">
        <f t="shared" si="89"/>
        <v>0</v>
      </c>
      <c r="AC231" s="513">
        <f t="shared" si="89"/>
        <v>0</v>
      </c>
      <c r="AD231" s="513">
        <f t="shared" si="89"/>
        <v>0</v>
      </c>
      <c r="AE231" s="513">
        <f t="shared" si="89"/>
        <v>0</v>
      </c>
      <c r="AF231" s="513">
        <f t="shared" si="89"/>
        <v>0</v>
      </c>
      <c r="AG231" s="513">
        <f t="shared" si="89"/>
        <v>0</v>
      </c>
      <c r="AH231" s="513">
        <f t="shared" si="89"/>
        <v>0</v>
      </c>
      <c r="AI231" s="513">
        <f t="shared" si="89"/>
        <v>0</v>
      </c>
      <c r="AJ231" s="513">
        <f t="shared" si="89"/>
        <v>0</v>
      </c>
      <c r="AK231" s="513">
        <f t="shared" si="89"/>
        <v>0</v>
      </c>
      <c r="AL231" s="513">
        <f t="shared" si="89"/>
        <v>0</v>
      </c>
      <c r="AM231" s="513">
        <f t="shared" si="89"/>
        <v>0</v>
      </c>
      <c r="AN231" s="513">
        <f t="shared" si="89"/>
        <v>0</v>
      </c>
      <c r="AO231" s="513">
        <f t="shared" si="89"/>
        <v>0</v>
      </c>
      <c r="AP231" s="513">
        <f t="shared" si="89"/>
        <v>0</v>
      </c>
      <c r="AQ231" s="513">
        <f t="shared" si="89"/>
        <v>0</v>
      </c>
      <c r="AR231" s="513">
        <f t="shared" si="89"/>
        <v>0</v>
      </c>
      <c r="AS231" s="513">
        <f t="shared" si="89"/>
        <v>0</v>
      </c>
    </row>
    <row r="232" spans="1:45">
      <c r="N232" s="7"/>
      <c r="O232" s="397" t="str">
        <f>A142</f>
        <v>Bio-diesel</v>
      </c>
      <c r="P232" s="503">
        <f>'LOCAL DATASET INPUTS'!E95</f>
        <v>0</v>
      </c>
      <c r="Q232" s="503">
        <f>'LOCAL DATASET INPUTS'!F95</f>
        <v>0</v>
      </c>
      <c r="R232" s="503">
        <f>'LOCAL DATASET INPUTS'!G95</f>
        <v>0</v>
      </c>
      <c r="S232" s="503">
        <f>'LOCAL DATASET INPUTS'!H95</f>
        <v>0</v>
      </c>
      <c r="T232" s="503">
        <f>'LOCAL DATASET INPUTS'!I95</f>
        <v>0</v>
      </c>
      <c r="U232" s="503">
        <f>'LOCAL DATASET INPUTS'!J95</f>
        <v>0</v>
      </c>
      <c r="V232" s="503">
        <f>'LOCAL DATASET INPUTS'!K95</f>
        <v>0</v>
      </c>
      <c r="W232" s="503">
        <f>'LOCAL DATASET INPUTS'!L95</f>
        <v>0</v>
      </c>
      <c r="X232" s="503">
        <f>'LOCAL DATASET INPUTS'!M95</f>
        <v>0</v>
      </c>
      <c r="Y232" s="503">
        <f>'LOCAL DATASET INPUTS'!N95</f>
        <v>0</v>
      </c>
      <c r="Z232" s="503">
        <f>'LOCAL DATASET INPUTS'!O95</f>
        <v>0</v>
      </c>
      <c r="AA232" s="503">
        <f>'LOCAL DATASET INPUTS'!P95</f>
        <v>0</v>
      </c>
      <c r="AB232" s="503">
        <f>'LOCAL DATASET INPUTS'!Q95</f>
        <v>0</v>
      </c>
      <c r="AC232" s="503">
        <f>'LOCAL DATASET INPUTS'!R95</f>
        <v>0</v>
      </c>
      <c r="AD232" s="503">
        <f>'LOCAL DATASET INPUTS'!S95</f>
        <v>0</v>
      </c>
      <c r="AE232" s="503">
        <f>'LOCAL DATASET INPUTS'!T95</f>
        <v>0</v>
      </c>
      <c r="AF232" s="503">
        <f>'LOCAL DATASET INPUTS'!U95</f>
        <v>0</v>
      </c>
      <c r="AG232" s="503">
        <f>'LOCAL DATASET INPUTS'!V95</f>
        <v>0</v>
      </c>
      <c r="AH232" s="503">
        <f>'LOCAL DATASET INPUTS'!W95</f>
        <v>0</v>
      </c>
      <c r="AI232" s="503">
        <f>'LOCAL DATASET INPUTS'!X95</f>
        <v>0</v>
      </c>
      <c r="AJ232" s="503">
        <f>'LOCAL DATASET INPUTS'!Y95</f>
        <v>0</v>
      </c>
      <c r="AK232" s="503">
        <f>'LOCAL DATASET INPUTS'!Z95</f>
        <v>0</v>
      </c>
      <c r="AL232" s="503">
        <f>'LOCAL DATASET INPUTS'!AA95</f>
        <v>0</v>
      </c>
      <c r="AM232" s="503">
        <f>'LOCAL DATASET INPUTS'!AB95</f>
        <v>0</v>
      </c>
      <c r="AN232" s="503">
        <f>'LOCAL DATASET INPUTS'!AC95</f>
        <v>0</v>
      </c>
      <c r="AO232" s="503">
        <f>'LOCAL DATASET INPUTS'!AD95</f>
        <v>0</v>
      </c>
      <c r="AP232" s="503">
        <f>'LOCAL DATASET INPUTS'!AE95</f>
        <v>0</v>
      </c>
      <c r="AQ232" s="503">
        <f>'LOCAL DATASET INPUTS'!AF95</f>
        <v>0</v>
      </c>
      <c r="AR232" s="503">
        <f>'LOCAL DATASET INPUTS'!AG95</f>
        <v>0</v>
      </c>
      <c r="AS232" s="503">
        <f>'LOCAL DATASET INPUTS'!AH95</f>
        <v>0</v>
      </c>
    </row>
    <row r="233" spans="1:45">
      <c r="N233" s="7"/>
      <c r="O233" s="518" t="s">
        <v>600</v>
      </c>
      <c r="P233" s="520">
        <f>IF((P204-2020)=$B$150,(($C$142-$P$232)/($C$150-$B$150+1)),0)</f>
        <v>0</v>
      </c>
      <c r="Q233" s="520">
        <f t="shared" ref="Q233:AS233" si="90">IF((Q204-2020)=$B$150,(($C$142-P232)/($C$150-$B$150+1)),P233)</f>
        <v>0</v>
      </c>
      <c r="R233" s="520">
        <f t="shared" si="90"/>
        <v>0</v>
      </c>
      <c r="S233" s="520">
        <f t="shared" si="90"/>
        <v>0</v>
      </c>
      <c r="T233" s="520">
        <f t="shared" si="90"/>
        <v>0</v>
      </c>
      <c r="U233" s="520">
        <f t="shared" si="90"/>
        <v>0</v>
      </c>
      <c r="V233" s="520">
        <f t="shared" si="90"/>
        <v>0</v>
      </c>
      <c r="W233" s="520">
        <f t="shared" si="90"/>
        <v>0</v>
      </c>
      <c r="X233" s="520">
        <f t="shared" si="90"/>
        <v>0</v>
      </c>
      <c r="Y233" s="520">
        <f t="shared" si="90"/>
        <v>0</v>
      </c>
      <c r="Z233" s="520">
        <f t="shared" si="90"/>
        <v>0</v>
      </c>
      <c r="AA233" s="520">
        <f t="shared" si="90"/>
        <v>0</v>
      </c>
      <c r="AB233" s="520">
        <f t="shared" si="90"/>
        <v>0</v>
      </c>
      <c r="AC233" s="520">
        <f t="shared" si="90"/>
        <v>0</v>
      </c>
      <c r="AD233" s="520">
        <f t="shared" si="90"/>
        <v>0</v>
      </c>
      <c r="AE233" s="520">
        <f t="shared" si="90"/>
        <v>0</v>
      </c>
      <c r="AF233" s="520">
        <f t="shared" si="90"/>
        <v>0</v>
      </c>
      <c r="AG233" s="520">
        <f t="shared" si="90"/>
        <v>0</v>
      </c>
      <c r="AH233" s="520">
        <f t="shared" si="90"/>
        <v>0</v>
      </c>
      <c r="AI233" s="520">
        <f t="shared" si="90"/>
        <v>0</v>
      </c>
      <c r="AJ233" s="520">
        <f t="shared" si="90"/>
        <v>0</v>
      </c>
      <c r="AK233" s="520">
        <f t="shared" si="90"/>
        <v>0</v>
      </c>
      <c r="AL233" s="520">
        <f t="shared" si="90"/>
        <v>0</v>
      </c>
      <c r="AM233" s="520">
        <f t="shared" si="90"/>
        <v>0</v>
      </c>
      <c r="AN233" s="520">
        <f t="shared" si="90"/>
        <v>0</v>
      </c>
      <c r="AO233" s="520">
        <f t="shared" si="90"/>
        <v>0</v>
      </c>
      <c r="AP233" s="520">
        <f t="shared" si="90"/>
        <v>0</v>
      </c>
      <c r="AQ233" s="520">
        <f t="shared" si="90"/>
        <v>0</v>
      </c>
      <c r="AR233" s="520">
        <f t="shared" si="90"/>
        <v>0</v>
      </c>
      <c r="AS233" s="520">
        <f t="shared" si="90"/>
        <v>0</v>
      </c>
    </row>
    <row r="234" spans="1:45">
      <c r="N234" s="7"/>
      <c r="O234" s="523" t="s">
        <v>573</v>
      </c>
      <c r="P234" s="513">
        <f>IF(AND((P204-2019)&gt;$B$150,(P204-2021)&lt;$C$150),($P$232+(($C$142-$P$232)/($C$150-$B$150+1))),P232)</f>
        <v>0</v>
      </c>
      <c r="Q234" s="513">
        <f>IF(AND((Q204-2019)&gt;$B$150,(Q204-2021)&lt;$C$150),(P234+Q233),P234)</f>
        <v>0</v>
      </c>
      <c r="R234" s="513">
        <f t="shared" ref="R234:AS234" si="91">IF(AND((R204-2019)&gt;$B$150,(R204-2021)&lt;$C$150),(Q234+R233),Q234)</f>
        <v>0</v>
      </c>
      <c r="S234" s="513">
        <f t="shared" si="91"/>
        <v>0</v>
      </c>
      <c r="T234" s="513">
        <f t="shared" si="91"/>
        <v>0</v>
      </c>
      <c r="U234" s="513">
        <f t="shared" si="91"/>
        <v>0</v>
      </c>
      <c r="V234" s="513">
        <f t="shared" si="91"/>
        <v>0</v>
      </c>
      <c r="W234" s="513">
        <f t="shared" si="91"/>
        <v>0</v>
      </c>
      <c r="X234" s="513">
        <f t="shared" si="91"/>
        <v>0</v>
      </c>
      <c r="Y234" s="513">
        <f t="shared" si="91"/>
        <v>0</v>
      </c>
      <c r="Z234" s="513">
        <f t="shared" si="91"/>
        <v>0</v>
      </c>
      <c r="AA234" s="513">
        <f t="shared" si="91"/>
        <v>0</v>
      </c>
      <c r="AB234" s="513">
        <f t="shared" si="91"/>
        <v>0</v>
      </c>
      <c r="AC234" s="513">
        <f t="shared" si="91"/>
        <v>0</v>
      </c>
      <c r="AD234" s="513">
        <f t="shared" si="91"/>
        <v>0</v>
      </c>
      <c r="AE234" s="513">
        <f t="shared" si="91"/>
        <v>0</v>
      </c>
      <c r="AF234" s="513">
        <f t="shared" si="91"/>
        <v>0</v>
      </c>
      <c r="AG234" s="513">
        <f t="shared" si="91"/>
        <v>0</v>
      </c>
      <c r="AH234" s="513">
        <f t="shared" si="91"/>
        <v>0</v>
      </c>
      <c r="AI234" s="513">
        <f t="shared" si="91"/>
        <v>0</v>
      </c>
      <c r="AJ234" s="513">
        <f t="shared" si="91"/>
        <v>0</v>
      </c>
      <c r="AK234" s="513">
        <f t="shared" si="91"/>
        <v>0</v>
      </c>
      <c r="AL234" s="513">
        <f t="shared" si="91"/>
        <v>0</v>
      </c>
      <c r="AM234" s="513">
        <f t="shared" si="91"/>
        <v>0</v>
      </c>
      <c r="AN234" s="513">
        <f t="shared" si="91"/>
        <v>0</v>
      </c>
      <c r="AO234" s="513">
        <f t="shared" si="91"/>
        <v>0</v>
      </c>
      <c r="AP234" s="513">
        <f t="shared" si="91"/>
        <v>0</v>
      </c>
      <c r="AQ234" s="513">
        <f t="shared" si="91"/>
        <v>0</v>
      </c>
      <c r="AR234" s="513">
        <f t="shared" si="91"/>
        <v>0</v>
      </c>
      <c r="AS234" s="513">
        <f t="shared" si="91"/>
        <v>0</v>
      </c>
    </row>
    <row r="235" spans="1:45">
      <c r="N235" s="7"/>
      <c r="O235" s="397" t="str">
        <f>A143</f>
        <v>Bi-fuel</v>
      </c>
      <c r="P235" s="503">
        <f>'LOCAL DATASET INPUTS'!E96</f>
        <v>0</v>
      </c>
      <c r="Q235" s="503">
        <f>'LOCAL DATASET INPUTS'!F96</f>
        <v>0</v>
      </c>
      <c r="R235" s="503">
        <f>'LOCAL DATASET INPUTS'!G96</f>
        <v>0</v>
      </c>
      <c r="S235" s="503">
        <f>'LOCAL DATASET INPUTS'!H96</f>
        <v>0</v>
      </c>
      <c r="T235" s="503">
        <f>'LOCAL DATASET INPUTS'!I96</f>
        <v>0</v>
      </c>
      <c r="U235" s="503">
        <f>'LOCAL DATASET INPUTS'!J96</f>
        <v>0</v>
      </c>
      <c r="V235" s="503">
        <f>'LOCAL DATASET INPUTS'!K96</f>
        <v>0</v>
      </c>
      <c r="W235" s="503">
        <f>'LOCAL DATASET INPUTS'!L96</f>
        <v>0</v>
      </c>
      <c r="X235" s="503">
        <f>'LOCAL DATASET INPUTS'!M96</f>
        <v>0</v>
      </c>
      <c r="Y235" s="503">
        <f>'LOCAL DATASET INPUTS'!N96</f>
        <v>0</v>
      </c>
      <c r="Z235" s="503">
        <f>'LOCAL DATASET INPUTS'!O96</f>
        <v>0</v>
      </c>
      <c r="AA235" s="503">
        <f>'LOCAL DATASET INPUTS'!P96</f>
        <v>0</v>
      </c>
      <c r="AB235" s="503">
        <f>'LOCAL DATASET INPUTS'!Q96</f>
        <v>0</v>
      </c>
      <c r="AC235" s="503">
        <f>'LOCAL DATASET INPUTS'!R96</f>
        <v>0</v>
      </c>
      <c r="AD235" s="503" t="e">
        <f>'LOCAL DATASET INPUTS'!#REF!</f>
        <v>#REF!</v>
      </c>
      <c r="AE235" s="503">
        <f>'LOCAL DATASET INPUTS'!T96</f>
        <v>0</v>
      </c>
      <c r="AF235" s="503">
        <f>'LOCAL DATASET INPUTS'!U96</f>
        <v>0</v>
      </c>
      <c r="AG235" s="503">
        <f>'LOCAL DATASET INPUTS'!V96</f>
        <v>0</v>
      </c>
      <c r="AH235" s="503">
        <f>'LOCAL DATASET INPUTS'!W96</f>
        <v>0</v>
      </c>
      <c r="AI235" s="503">
        <f>'LOCAL DATASET INPUTS'!X96</f>
        <v>0</v>
      </c>
      <c r="AJ235" s="503">
        <f>'LOCAL DATASET INPUTS'!Y96</f>
        <v>0</v>
      </c>
      <c r="AK235" s="503">
        <f>'LOCAL DATASET INPUTS'!Z96</f>
        <v>0</v>
      </c>
      <c r="AL235" s="503">
        <f>'LOCAL DATASET INPUTS'!AA96</f>
        <v>0</v>
      </c>
      <c r="AM235" s="503">
        <f>'LOCAL DATASET INPUTS'!AB96</f>
        <v>0</v>
      </c>
      <c r="AN235" s="503">
        <f>'LOCAL DATASET INPUTS'!AC96</f>
        <v>0</v>
      </c>
      <c r="AO235" s="503">
        <f>'LOCAL DATASET INPUTS'!AD96</f>
        <v>0</v>
      </c>
      <c r="AP235" s="503">
        <f>'LOCAL DATASET INPUTS'!AE96</f>
        <v>0</v>
      </c>
      <c r="AQ235" s="503">
        <f>'LOCAL DATASET INPUTS'!AF96</f>
        <v>0</v>
      </c>
      <c r="AR235" s="503">
        <f>'LOCAL DATASET INPUTS'!AG96</f>
        <v>0</v>
      </c>
      <c r="AS235" s="503">
        <f>'LOCAL DATASET INPUTS'!AH96</f>
        <v>0</v>
      </c>
    </row>
    <row r="236" spans="1:45">
      <c r="N236" s="7"/>
      <c r="O236" s="518" t="s">
        <v>600</v>
      </c>
      <c r="P236" s="520">
        <f>IF((P204-2020)=$B$150,(($C$143-$P$235)/($C$150-$B$150+1)),0)</f>
        <v>0</v>
      </c>
      <c r="Q236" s="520">
        <f t="shared" ref="Q236:AS236" si="92">IF((Q204-2020)=$B$150,(($C$143-P235)/($C$150-$B$150+1)),P236)</f>
        <v>0</v>
      </c>
      <c r="R236" s="520">
        <f t="shared" si="92"/>
        <v>0</v>
      </c>
      <c r="S236" s="520">
        <f t="shared" si="92"/>
        <v>0</v>
      </c>
      <c r="T236" s="520">
        <f t="shared" si="92"/>
        <v>0.19</v>
      </c>
      <c r="U236" s="520">
        <f t="shared" si="92"/>
        <v>0.19</v>
      </c>
      <c r="V236" s="520">
        <f t="shared" si="92"/>
        <v>0.19</v>
      </c>
      <c r="W236" s="520">
        <f t="shared" si="92"/>
        <v>0.19</v>
      </c>
      <c r="X236" s="520">
        <f t="shared" si="92"/>
        <v>0.19</v>
      </c>
      <c r="Y236" s="520">
        <f t="shared" si="92"/>
        <v>0.19</v>
      </c>
      <c r="Z236" s="520">
        <f t="shared" si="92"/>
        <v>0.19</v>
      </c>
      <c r="AA236" s="520">
        <f t="shared" si="92"/>
        <v>0.19</v>
      </c>
      <c r="AB236" s="520">
        <f t="shared" si="92"/>
        <v>0.19</v>
      </c>
      <c r="AC236" s="520">
        <f t="shared" si="92"/>
        <v>0.19</v>
      </c>
      <c r="AD236" s="520">
        <f t="shared" si="92"/>
        <v>0.19</v>
      </c>
      <c r="AE236" s="520">
        <f t="shared" si="92"/>
        <v>0.19</v>
      </c>
      <c r="AF236" s="520">
        <f t="shared" si="92"/>
        <v>0.19</v>
      </c>
      <c r="AG236" s="520">
        <f t="shared" si="92"/>
        <v>0.19</v>
      </c>
      <c r="AH236" s="520">
        <f t="shared" si="92"/>
        <v>0.19</v>
      </c>
      <c r="AI236" s="520">
        <f t="shared" si="92"/>
        <v>0.19</v>
      </c>
      <c r="AJ236" s="520">
        <f t="shared" si="92"/>
        <v>0.19</v>
      </c>
      <c r="AK236" s="520">
        <f t="shared" si="92"/>
        <v>0.19</v>
      </c>
      <c r="AL236" s="520">
        <f t="shared" si="92"/>
        <v>0.19</v>
      </c>
      <c r="AM236" s="520">
        <f t="shared" si="92"/>
        <v>0.19</v>
      </c>
      <c r="AN236" s="520">
        <f t="shared" si="92"/>
        <v>0.19</v>
      </c>
      <c r="AO236" s="520">
        <f t="shared" si="92"/>
        <v>0.19</v>
      </c>
      <c r="AP236" s="520">
        <f t="shared" si="92"/>
        <v>0.19</v>
      </c>
      <c r="AQ236" s="520">
        <f t="shared" si="92"/>
        <v>0.19</v>
      </c>
      <c r="AR236" s="520">
        <f t="shared" si="92"/>
        <v>0.19</v>
      </c>
      <c r="AS236" s="520">
        <f t="shared" si="92"/>
        <v>0.19</v>
      </c>
    </row>
    <row r="237" spans="1:45">
      <c r="N237" s="7"/>
      <c r="O237" s="523" t="s">
        <v>573</v>
      </c>
      <c r="P237" s="513">
        <f>IF(AND((P204-2019)&gt;$B$150,(P204-2021)&lt;$C$150),($P$235+(($C$143-$P$235)/($C$150-$B$150+1))),P235)</f>
        <v>0</v>
      </c>
      <c r="Q237" s="513">
        <f>IF(AND((Q204-2019)&gt;$B$150,(Q204-2021)&lt;$C$150),(P237+Q236),P237)</f>
        <v>0</v>
      </c>
      <c r="R237" s="513">
        <f t="shared" ref="R237:AS237" si="93">IF(AND((R204-2019)&gt;$B$150,(R204-2021)&lt;$C$150),(Q237+R236),Q237)</f>
        <v>0</v>
      </c>
      <c r="S237" s="513">
        <f t="shared" si="93"/>
        <v>0</v>
      </c>
      <c r="T237" s="513">
        <f t="shared" si="93"/>
        <v>0.19</v>
      </c>
      <c r="U237" s="513">
        <f t="shared" si="93"/>
        <v>0.19</v>
      </c>
      <c r="V237" s="513">
        <f t="shared" si="93"/>
        <v>0.19</v>
      </c>
      <c r="W237" s="513">
        <f t="shared" si="93"/>
        <v>0.19</v>
      </c>
      <c r="X237" s="513">
        <f t="shared" si="93"/>
        <v>0.19</v>
      </c>
      <c r="Y237" s="513">
        <f t="shared" si="93"/>
        <v>0.19</v>
      </c>
      <c r="Z237" s="513">
        <f t="shared" si="93"/>
        <v>0.19</v>
      </c>
      <c r="AA237" s="513">
        <f t="shared" si="93"/>
        <v>0.19</v>
      </c>
      <c r="AB237" s="513">
        <f t="shared" si="93"/>
        <v>0.19</v>
      </c>
      <c r="AC237" s="513">
        <f t="shared" si="93"/>
        <v>0.19</v>
      </c>
      <c r="AD237" s="513">
        <f t="shared" si="93"/>
        <v>0.19</v>
      </c>
      <c r="AE237" s="513">
        <f t="shared" si="93"/>
        <v>0.19</v>
      </c>
      <c r="AF237" s="513">
        <f t="shared" si="93"/>
        <v>0.19</v>
      </c>
      <c r="AG237" s="513">
        <f t="shared" si="93"/>
        <v>0.19</v>
      </c>
      <c r="AH237" s="513">
        <f t="shared" si="93"/>
        <v>0.19</v>
      </c>
      <c r="AI237" s="513">
        <f t="shared" si="93"/>
        <v>0.19</v>
      </c>
      <c r="AJ237" s="513">
        <f t="shared" si="93"/>
        <v>0.19</v>
      </c>
      <c r="AK237" s="513">
        <f t="shared" si="93"/>
        <v>0.19</v>
      </c>
      <c r="AL237" s="513">
        <f t="shared" si="93"/>
        <v>0.19</v>
      </c>
      <c r="AM237" s="513">
        <f t="shared" si="93"/>
        <v>0.19</v>
      </c>
      <c r="AN237" s="513">
        <f t="shared" si="93"/>
        <v>0.19</v>
      </c>
      <c r="AO237" s="513">
        <f t="shared" si="93"/>
        <v>0.19</v>
      </c>
      <c r="AP237" s="513">
        <f t="shared" si="93"/>
        <v>0.19</v>
      </c>
      <c r="AQ237" s="513">
        <f t="shared" si="93"/>
        <v>0.19</v>
      </c>
      <c r="AR237" s="513">
        <f t="shared" si="93"/>
        <v>0.19</v>
      </c>
      <c r="AS237" s="513">
        <f t="shared" si="93"/>
        <v>0.19</v>
      </c>
    </row>
    <row r="238" spans="1:45">
      <c r="N238" s="7"/>
      <c r="O238" s="397" t="str">
        <f>A144</f>
        <v>Other (unknown)</v>
      </c>
      <c r="P238" s="503">
        <f>'LOCAL DATASET INPUTS'!E97</f>
        <v>2.7375346707088952</v>
      </c>
      <c r="Q238" s="503">
        <f>'LOCAL DATASET INPUTS'!F97</f>
        <v>2.7375346707088952</v>
      </c>
      <c r="R238" s="503">
        <f>'LOCAL DATASET INPUTS'!G97</f>
        <v>2.7375346707088952</v>
      </c>
      <c r="S238" s="503">
        <f>'LOCAL DATASET INPUTS'!H97</f>
        <v>2.7375346707088952</v>
      </c>
      <c r="T238" s="503">
        <f>'LOCAL DATASET INPUTS'!I97</f>
        <v>2.7375346707088952</v>
      </c>
      <c r="U238" s="503">
        <f>'LOCAL DATASET INPUTS'!J97</f>
        <v>2.7375346707088952</v>
      </c>
      <c r="V238" s="503">
        <f>'LOCAL DATASET INPUTS'!K97</f>
        <v>2.7375346707088952</v>
      </c>
      <c r="W238" s="503">
        <f>'LOCAL DATASET INPUTS'!L97</f>
        <v>2.7375346707088952</v>
      </c>
      <c r="X238" s="503">
        <f>'LOCAL DATASET INPUTS'!M97</f>
        <v>2.7375346707088952</v>
      </c>
      <c r="Y238" s="503">
        <f>'LOCAL DATASET INPUTS'!N97</f>
        <v>2.7375346707088952</v>
      </c>
      <c r="Z238" s="503">
        <f>'LOCAL DATASET INPUTS'!O97</f>
        <v>2.7375346707088952</v>
      </c>
      <c r="AA238" s="503">
        <f>'LOCAL DATASET INPUTS'!P97</f>
        <v>2.7375346707088952</v>
      </c>
      <c r="AB238" s="503">
        <f>'LOCAL DATASET INPUTS'!Q97</f>
        <v>2.7375346707088952</v>
      </c>
      <c r="AC238" s="503">
        <f>'LOCAL DATASET INPUTS'!R97</f>
        <v>2.7375346707088952</v>
      </c>
      <c r="AD238" s="503">
        <f>'LOCAL DATASET INPUTS'!S97</f>
        <v>2.7375346707088952</v>
      </c>
      <c r="AE238" s="503">
        <f>'LOCAL DATASET INPUTS'!T97</f>
        <v>2.7375346707088952</v>
      </c>
      <c r="AF238" s="503">
        <f>'LOCAL DATASET INPUTS'!U97</f>
        <v>2.7375346707088952</v>
      </c>
      <c r="AG238" s="503">
        <f>'LOCAL DATASET INPUTS'!V97</f>
        <v>2.7375346707088952</v>
      </c>
      <c r="AH238" s="503">
        <f>'LOCAL DATASET INPUTS'!W97</f>
        <v>2.7375346707088952</v>
      </c>
      <c r="AI238" s="503">
        <f>'LOCAL DATASET INPUTS'!X97</f>
        <v>2.7375346707088952</v>
      </c>
      <c r="AJ238" s="503">
        <f>'LOCAL DATASET INPUTS'!Y97</f>
        <v>2.7375346707088952</v>
      </c>
      <c r="AK238" s="503">
        <f>'LOCAL DATASET INPUTS'!Z97</f>
        <v>2.7375346707088952</v>
      </c>
      <c r="AL238" s="503">
        <f>'LOCAL DATASET INPUTS'!AA97</f>
        <v>2.7375346707088952</v>
      </c>
      <c r="AM238" s="503">
        <f>'LOCAL DATASET INPUTS'!AB97</f>
        <v>2.7375346707088952</v>
      </c>
      <c r="AN238" s="503">
        <f>'LOCAL DATASET INPUTS'!AC97</f>
        <v>2.7375346707088952</v>
      </c>
      <c r="AO238" s="503">
        <f>'LOCAL DATASET INPUTS'!AD97</f>
        <v>2.7375346707088952</v>
      </c>
      <c r="AP238" s="503">
        <f>'LOCAL DATASET INPUTS'!AE97</f>
        <v>2.7375346707088952</v>
      </c>
      <c r="AQ238" s="503">
        <f>'LOCAL DATASET INPUTS'!AF97</f>
        <v>2.7375346707088952</v>
      </c>
      <c r="AR238" s="503">
        <f>'LOCAL DATASET INPUTS'!AG97</f>
        <v>2.7375346707088952</v>
      </c>
      <c r="AS238" s="503">
        <f>'LOCAL DATASET INPUTS'!AH97</f>
        <v>2.7375346707088952</v>
      </c>
    </row>
    <row r="239" spans="1:45">
      <c r="N239" s="7"/>
      <c r="O239" s="518" t="s">
        <v>600</v>
      </c>
      <c r="P239" s="520">
        <f>IF((P204-2020)=$B$150,(($C$144-$P$238)/($C$150-$B$150+1)),0)</f>
        <v>0</v>
      </c>
      <c r="Q239" s="520">
        <f t="shared" ref="Q239:AS239" si="94">IF((Q204-2020)=$B$150,(($C$144-P238)/($C$150-$B$150+1)),P239)</f>
        <v>0</v>
      </c>
      <c r="R239" s="520">
        <f t="shared" si="94"/>
        <v>0</v>
      </c>
      <c r="S239" s="520">
        <f t="shared" si="94"/>
        <v>0</v>
      </c>
      <c r="T239" s="520">
        <f t="shared" si="94"/>
        <v>-2.7375346707088952</v>
      </c>
      <c r="U239" s="520">
        <f t="shared" si="94"/>
        <v>-2.7375346707088952</v>
      </c>
      <c r="V239" s="520">
        <f t="shared" si="94"/>
        <v>-2.7375346707088952</v>
      </c>
      <c r="W239" s="520">
        <f t="shared" si="94"/>
        <v>-2.7375346707088952</v>
      </c>
      <c r="X239" s="520">
        <f t="shared" si="94"/>
        <v>-2.7375346707088952</v>
      </c>
      <c r="Y239" s="520">
        <f t="shared" si="94"/>
        <v>-2.7375346707088952</v>
      </c>
      <c r="Z239" s="520">
        <f t="shared" si="94"/>
        <v>-2.7375346707088952</v>
      </c>
      <c r="AA239" s="520">
        <f t="shared" si="94"/>
        <v>-2.7375346707088952</v>
      </c>
      <c r="AB239" s="520">
        <f t="shared" si="94"/>
        <v>-2.7375346707088952</v>
      </c>
      <c r="AC239" s="520">
        <f t="shared" si="94"/>
        <v>-2.7375346707088952</v>
      </c>
      <c r="AD239" s="520">
        <f t="shared" si="94"/>
        <v>-2.7375346707088952</v>
      </c>
      <c r="AE239" s="520">
        <f t="shared" si="94"/>
        <v>-2.7375346707088952</v>
      </c>
      <c r="AF239" s="520">
        <f t="shared" si="94"/>
        <v>-2.7375346707088952</v>
      </c>
      <c r="AG239" s="520">
        <f t="shared" si="94"/>
        <v>-2.7375346707088952</v>
      </c>
      <c r="AH239" s="520">
        <f t="shared" si="94"/>
        <v>-2.7375346707088952</v>
      </c>
      <c r="AI239" s="520">
        <f t="shared" si="94"/>
        <v>-2.7375346707088952</v>
      </c>
      <c r="AJ239" s="520">
        <f t="shared" si="94"/>
        <v>-2.7375346707088952</v>
      </c>
      <c r="AK239" s="520">
        <f t="shared" si="94"/>
        <v>-2.7375346707088952</v>
      </c>
      <c r="AL239" s="520">
        <f t="shared" si="94"/>
        <v>-2.7375346707088952</v>
      </c>
      <c r="AM239" s="520">
        <f t="shared" si="94"/>
        <v>-2.7375346707088952</v>
      </c>
      <c r="AN239" s="520">
        <f t="shared" si="94"/>
        <v>-2.7375346707088952</v>
      </c>
      <c r="AO239" s="520">
        <f t="shared" si="94"/>
        <v>-2.7375346707088952</v>
      </c>
      <c r="AP239" s="520">
        <f t="shared" si="94"/>
        <v>-2.7375346707088952</v>
      </c>
      <c r="AQ239" s="520">
        <f t="shared" si="94"/>
        <v>-2.7375346707088952</v>
      </c>
      <c r="AR239" s="520">
        <f t="shared" si="94"/>
        <v>-2.7375346707088952</v>
      </c>
      <c r="AS239" s="520">
        <f t="shared" si="94"/>
        <v>-2.7375346707088952</v>
      </c>
    </row>
    <row r="240" spans="1:45">
      <c r="N240" s="7"/>
      <c r="O240" s="523" t="s">
        <v>573</v>
      </c>
      <c r="P240" s="513">
        <f>IF(AND((P204-2019)&gt;$B$150,(P204-2021)&lt;$C$150),($P$238+(($C$144-$P$238)/($C$150-$B$150+1))),P238)</f>
        <v>2.7375346707088952</v>
      </c>
      <c r="Q240" s="513">
        <f>IF(AND((Q204-2019)&gt;$B$150,(Q204-2021)&lt;$C$150),(P240+Q239),P240)</f>
        <v>2.7375346707088952</v>
      </c>
      <c r="R240" s="513">
        <f t="shared" ref="R240:AS240" si="95">IF(AND((R204-2019)&gt;$B$150,(R204-2021)&lt;$C$150),(Q240+R239),Q240)</f>
        <v>2.7375346707088952</v>
      </c>
      <c r="S240" s="513">
        <f t="shared" si="95"/>
        <v>2.7375346707088952</v>
      </c>
      <c r="T240" s="513">
        <f t="shared" si="95"/>
        <v>0</v>
      </c>
      <c r="U240" s="513">
        <f t="shared" si="95"/>
        <v>0</v>
      </c>
      <c r="V240" s="513">
        <f t="shared" si="95"/>
        <v>0</v>
      </c>
      <c r="W240" s="513">
        <f t="shared" si="95"/>
        <v>0</v>
      </c>
      <c r="X240" s="513">
        <f t="shared" si="95"/>
        <v>0</v>
      </c>
      <c r="Y240" s="513">
        <f t="shared" si="95"/>
        <v>0</v>
      </c>
      <c r="Z240" s="513">
        <f t="shared" si="95"/>
        <v>0</v>
      </c>
      <c r="AA240" s="513">
        <f t="shared" si="95"/>
        <v>0</v>
      </c>
      <c r="AB240" s="513">
        <f t="shared" si="95"/>
        <v>0</v>
      </c>
      <c r="AC240" s="513">
        <f t="shared" si="95"/>
        <v>0</v>
      </c>
      <c r="AD240" s="513">
        <f t="shared" si="95"/>
        <v>0</v>
      </c>
      <c r="AE240" s="513">
        <f t="shared" si="95"/>
        <v>0</v>
      </c>
      <c r="AF240" s="513">
        <f t="shared" si="95"/>
        <v>0</v>
      </c>
      <c r="AG240" s="513">
        <f t="shared" si="95"/>
        <v>0</v>
      </c>
      <c r="AH240" s="513">
        <f t="shared" si="95"/>
        <v>0</v>
      </c>
      <c r="AI240" s="513">
        <f t="shared" si="95"/>
        <v>0</v>
      </c>
      <c r="AJ240" s="513">
        <f t="shared" si="95"/>
        <v>0</v>
      </c>
      <c r="AK240" s="513">
        <f t="shared" si="95"/>
        <v>0</v>
      </c>
      <c r="AL240" s="513">
        <f t="shared" si="95"/>
        <v>0</v>
      </c>
      <c r="AM240" s="513">
        <f t="shared" si="95"/>
        <v>0</v>
      </c>
      <c r="AN240" s="513">
        <f t="shared" si="95"/>
        <v>0</v>
      </c>
      <c r="AO240" s="513">
        <f t="shared" si="95"/>
        <v>0</v>
      </c>
      <c r="AP240" s="513">
        <f t="shared" si="95"/>
        <v>0</v>
      </c>
      <c r="AQ240" s="513">
        <f t="shared" si="95"/>
        <v>0</v>
      </c>
      <c r="AR240" s="513">
        <f t="shared" si="95"/>
        <v>0</v>
      </c>
      <c r="AS240" s="513">
        <f t="shared" si="95"/>
        <v>0</v>
      </c>
    </row>
    <row r="241" spans="11:46">
      <c r="N241" s="7"/>
      <c r="O241" s="397" t="str">
        <f>A145</f>
        <v>Electricity BEV</v>
      </c>
      <c r="P241" s="503">
        <f>'LOCAL DATASET INPUTS'!E101</f>
        <v>0.2</v>
      </c>
      <c r="Q241" s="503">
        <f>'LOCAL DATASET INPUTS'!F101</f>
        <v>0.22</v>
      </c>
      <c r="R241" s="503">
        <f>'LOCAL DATASET INPUTS'!G101</f>
        <v>0.22</v>
      </c>
      <c r="S241" s="503">
        <f>'LOCAL DATASET INPUTS'!H101</f>
        <v>0.22</v>
      </c>
      <c r="T241" s="503">
        <f>'LOCAL DATASET INPUTS'!I101</f>
        <v>0.22</v>
      </c>
      <c r="U241" s="503">
        <f>'LOCAL DATASET INPUTS'!J101</f>
        <v>0.22</v>
      </c>
      <c r="V241" s="503">
        <f>'LOCAL DATASET INPUTS'!K101</f>
        <v>0.22</v>
      </c>
      <c r="W241" s="503">
        <f>'LOCAL DATASET INPUTS'!L101</f>
        <v>0.22</v>
      </c>
      <c r="X241" s="503">
        <f>'LOCAL DATASET INPUTS'!M101</f>
        <v>0.22</v>
      </c>
      <c r="Y241" s="503">
        <f>'LOCAL DATASET INPUTS'!N101</f>
        <v>0.22</v>
      </c>
      <c r="Z241" s="503">
        <f>'LOCAL DATASET INPUTS'!O101</f>
        <v>0.22</v>
      </c>
      <c r="AA241" s="503">
        <f>'LOCAL DATASET INPUTS'!P101</f>
        <v>0.22</v>
      </c>
      <c r="AB241" s="503">
        <f>'LOCAL DATASET INPUTS'!Q101</f>
        <v>0.22</v>
      </c>
      <c r="AC241" s="503">
        <f>'LOCAL DATASET INPUTS'!R101</f>
        <v>0.22</v>
      </c>
      <c r="AD241" s="503">
        <f>'LOCAL DATASET INPUTS'!S101</f>
        <v>0.22</v>
      </c>
      <c r="AE241" s="503">
        <f>'LOCAL DATASET INPUTS'!T101</f>
        <v>0.22</v>
      </c>
      <c r="AF241" s="503">
        <f>'LOCAL DATASET INPUTS'!U101</f>
        <v>0.22</v>
      </c>
      <c r="AG241" s="503">
        <f>'LOCAL DATASET INPUTS'!V101</f>
        <v>0.22</v>
      </c>
      <c r="AH241" s="503">
        <f>'LOCAL DATASET INPUTS'!W101</f>
        <v>0.22</v>
      </c>
      <c r="AI241" s="503">
        <f>'LOCAL DATASET INPUTS'!X101</f>
        <v>0.22</v>
      </c>
      <c r="AJ241" s="503">
        <f>'LOCAL DATASET INPUTS'!Y101</f>
        <v>0.22</v>
      </c>
      <c r="AK241" s="503">
        <f>'LOCAL DATASET INPUTS'!Z101</f>
        <v>0.22</v>
      </c>
      <c r="AL241" s="503">
        <f>'LOCAL DATASET INPUTS'!AA101</f>
        <v>0.22</v>
      </c>
      <c r="AM241" s="503">
        <f>'LOCAL DATASET INPUTS'!AB101</f>
        <v>0.22</v>
      </c>
      <c r="AN241" s="503">
        <f>'LOCAL DATASET INPUTS'!AC101</f>
        <v>0.22</v>
      </c>
      <c r="AO241" s="503">
        <f>'LOCAL DATASET INPUTS'!AD101</f>
        <v>0.22</v>
      </c>
      <c r="AP241" s="503">
        <f>'LOCAL DATASET INPUTS'!AE101</f>
        <v>0.22</v>
      </c>
      <c r="AQ241" s="503">
        <f>'LOCAL DATASET INPUTS'!AF101</f>
        <v>0.22</v>
      </c>
      <c r="AR241" s="503">
        <f>'LOCAL DATASET INPUTS'!AG101</f>
        <v>0.22</v>
      </c>
      <c r="AS241" s="503">
        <f>'LOCAL DATASET INPUTS'!AH101</f>
        <v>0.22</v>
      </c>
    </row>
    <row r="242" spans="11:46">
      <c r="N242" s="7"/>
      <c r="O242" s="518" t="s">
        <v>600</v>
      </c>
      <c r="P242" s="520">
        <f>IF((P204-2020)=$B$150,(($C$145-$P$241)/($C$150-$B$150+1)),0)</f>
        <v>0</v>
      </c>
      <c r="Q242" s="520">
        <f t="shared" ref="Q242:AS242" si="96">IF((Q204-2020)=$B$150,(($C$145-P241)/($C$150-$B$150+1)),P242)</f>
        <v>0</v>
      </c>
      <c r="R242" s="520">
        <f t="shared" si="96"/>
        <v>0</v>
      </c>
      <c r="S242" s="520">
        <f t="shared" si="96"/>
        <v>0</v>
      </c>
      <c r="T242" s="520">
        <f t="shared" si="96"/>
        <v>19.78</v>
      </c>
      <c r="U242" s="520">
        <f t="shared" si="96"/>
        <v>19.78</v>
      </c>
      <c r="V242" s="520">
        <f t="shared" si="96"/>
        <v>19.78</v>
      </c>
      <c r="W242" s="520">
        <f t="shared" si="96"/>
        <v>19.78</v>
      </c>
      <c r="X242" s="520">
        <f t="shared" si="96"/>
        <v>19.78</v>
      </c>
      <c r="Y242" s="520">
        <f t="shared" si="96"/>
        <v>19.78</v>
      </c>
      <c r="Z242" s="520">
        <f t="shared" si="96"/>
        <v>19.78</v>
      </c>
      <c r="AA242" s="520">
        <f t="shared" si="96"/>
        <v>19.78</v>
      </c>
      <c r="AB242" s="520">
        <f t="shared" si="96"/>
        <v>19.78</v>
      </c>
      <c r="AC242" s="520">
        <f t="shared" si="96"/>
        <v>19.78</v>
      </c>
      <c r="AD242" s="520">
        <f t="shared" si="96"/>
        <v>19.78</v>
      </c>
      <c r="AE242" s="520">
        <f t="shared" si="96"/>
        <v>19.78</v>
      </c>
      <c r="AF242" s="520">
        <f t="shared" si="96"/>
        <v>19.78</v>
      </c>
      <c r="AG242" s="520">
        <f t="shared" si="96"/>
        <v>19.78</v>
      </c>
      <c r="AH242" s="520">
        <f t="shared" si="96"/>
        <v>19.78</v>
      </c>
      <c r="AI242" s="520">
        <f t="shared" si="96"/>
        <v>19.78</v>
      </c>
      <c r="AJ242" s="520">
        <f t="shared" si="96"/>
        <v>19.78</v>
      </c>
      <c r="AK242" s="520">
        <f t="shared" si="96"/>
        <v>19.78</v>
      </c>
      <c r="AL242" s="520">
        <f t="shared" si="96"/>
        <v>19.78</v>
      </c>
      <c r="AM242" s="520">
        <f t="shared" si="96"/>
        <v>19.78</v>
      </c>
      <c r="AN242" s="520">
        <f t="shared" si="96"/>
        <v>19.78</v>
      </c>
      <c r="AO242" s="520">
        <f t="shared" si="96"/>
        <v>19.78</v>
      </c>
      <c r="AP242" s="520">
        <f t="shared" si="96"/>
        <v>19.78</v>
      </c>
      <c r="AQ242" s="520">
        <f t="shared" si="96"/>
        <v>19.78</v>
      </c>
      <c r="AR242" s="520">
        <f t="shared" si="96"/>
        <v>19.78</v>
      </c>
      <c r="AS242" s="520">
        <f t="shared" si="96"/>
        <v>19.78</v>
      </c>
    </row>
    <row r="243" spans="11:46">
      <c r="N243" s="7"/>
      <c r="O243" s="523" t="s">
        <v>573</v>
      </c>
      <c r="P243" s="513">
        <f>IF(AND((P204-2019)&gt;$B$150,(P204-2021)&lt;$C$150),($P$241+(($C$145-$P$241)/($C$150-$B$150+1))),P241)</f>
        <v>0.2</v>
      </c>
      <c r="Q243" s="513">
        <f>IF(AND((Q204-2019)&gt;$B$150,(Q204-2021)&lt;$C$150),(P243+Q242),P243)</f>
        <v>0.2</v>
      </c>
      <c r="R243" s="513">
        <f t="shared" ref="R243:AS243" si="97">IF(AND((R204-2019)&gt;$B$150,(R204-2021)&lt;$C$150),(Q243+R242),Q243)</f>
        <v>0.2</v>
      </c>
      <c r="S243" s="513">
        <f t="shared" si="97"/>
        <v>0.2</v>
      </c>
      <c r="T243" s="513">
        <f t="shared" si="97"/>
        <v>19.98</v>
      </c>
      <c r="U243" s="513">
        <f t="shared" si="97"/>
        <v>19.98</v>
      </c>
      <c r="V243" s="513">
        <f t="shared" si="97"/>
        <v>19.98</v>
      </c>
      <c r="W243" s="513">
        <f t="shared" si="97"/>
        <v>19.98</v>
      </c>
      <c r="X243" s="513">
        <f t="shared" si="97"/>
        <v>19.98</v>
      </c>
      <c r="Y243" s="513">
        <f t="shared" si="97"/>
        <v>19.98</v>
      </c>
      <c r="Z243" s="513">
        <f t="shared" si="97"/>
        <v>19.98</v>
      </c>
      <c r="AA243" s="513">
        <f t="shared" si="97"/>
        <v>19.98</v>
      </c>
      <c r="AB243" s="513">
        <f t="shared" si="97"/>
        <v>19.98</v>
      </c>
      <c r="AC243" s="513">
        <f t="shared" si="97"/>
        <v>19.98</v>
      </c>
      <c r="AD243" s="513">
        <f t="shared" si="97"/>
        <v>19.98</v>
      </c>
      <c r="AE243" s="513">
        <f t="shared" si="97"/>
        <v>19.98</v>
      </c>
      <c r="AF243" s="513">
        <f t="shared" si="97"/>
        <v>19.98</v>
      </c>
      <c r="AG243" s="513">
        <f t="shared" si="97"/>
        <v>19.98</v>
      </c>
      <c r="AH243" s="513">
        <f t="shared" si="97"/>
        <v>19.98</v>
      </c>
      <c r="AI243" s="513">
        <f t="shared" si="97"/>
        <v>19.98</v>
      </c>
      <c r="AJ243" s="513">
        <f t="shared" si="97"/>
        <v>19.98</v>
      </c>
      <c r="AK243" s="513">
        <f t="shared" si="97"/>
        <v>19.98</v>
      </c>
      <c r="AL243" s="513">
        <f t="shared" si="97"/>
        <v>19.98</v>
      </c>
      <c r="AM243" s="513">
        <f t="shared" si="97"/>
        <v>19.98</v>
      </c>
      <c r="AN243" s="513">
        <f t="shared" si="97"/>
        <v>19.98</v>
      </c>
      <c r="AO243" s="513">
        <f t="shared" si="97"/>
        <v>19.98</v>
      </c>
      <c r="AP243" s="513">
        <f t="shared" si="97"/>
        <v>19.98</v>
      </c>
      <c r="AQ243" s="513">
        <f t="shared" si="97"/>
        <v>19.98</v>
      </c>
      <c r="AR243" s="513">
        <f t="shared" si="97"/>
        <v>19.98</v>
      </c>
      <c r="AS243" s="513">
        <f t="shared" si="97"/>
        <v>19.98</v>
      </c>
    </row>
    <row r="244" spans="11:46">
      <c r="N244" s="7"/>
      <c r="O244" s="397" t="str">
        <f>A146</f>
        <v>Petrol, according to country selection</v>
      </c>
      <c r="P244" s="503">
        <f>'LOCAL DATASET INPUTS'!E87</f>
        <v>38.101872755810703</v>
      </c>
      <c r="Q244" s="503">
        <f>'LOCAL DATASET INPUTS'!F87</f>
        <v>38.138188988173852</v>
      </c>
      <c r="R244" s="503">
        <f>'LOCAL DATASET INPUTS'!G87</f>
        <v>38.130063721661564</v>
      </c>
      <c r="S244" s="503">
        <f>'LOCAL DATASET INPUTS'!H87</f>
        <v>38.121938455149255</v>
      </c>
      <c r="T244" s="503">
        <f>'LOCAL DATASET INPUTS'!I87</f>
        <v>38.113813188636961</v>
      </c>
      <c r="U244" s="503">
        <f>'LOCAL DATASET INPUTS'!J87</f>
        <v>38.113813188636961</v>
      </c>
      <c r="V244" s="503">
        <f>'LOCAL DATASET INPUTS'!K87</f>
        <v>38.113813188636961</v>
      </c>
      <c r="W244" s="503">
        <f>'LOCAL DATASET INPUTS'!L87</f>
        <v>38.113813188636961</v>
      </c>
      <c r="X244" s="503">
        <f>'LOCAL DATASET INPUTS'!M87</f>
        <v>38.113813188636961</v>
      </c>
      <c r="Y244" s="503">
        <f>'LOCAL DATASET INPUTS'!N87</f>
        <v>38.113813188636961</v>
      </c>
      <c r="Z244" s="503">
        <f>'LOCAL DATASET INPUTS'!O87</f>
        <v>38.113813188636961</v>
      </c>
      <c r="AA244" s="503">
        <f>'LOCAL DATASET INPUTS'!P87</f>
        <v>38.113813188636961</v>
      </c>
      <c r="AB244" s="503">
        <f>'LOCAL DATASET INPUTS'!Q87</f>
        <v>38.113813188636961</v>
      </c>
      <c r="AC244" s="503">
        <f>'LOCAL DATASET INPUTS'!R87</f>
        <v>38.113813188636961</v>
      </c>
      <c r="AD244" s="503">
        <f>'LOCAL DATASET INPUTS'!S87</f>
        <v>38.113813188636961</v>
      </c>
      <c r="AE244" s="503">
        <f>'LOCAL DATASET INPUTS'!T87</f>
        <v>38.113813188636961</v>
      </c>
      <c r="AF244" s="503">
        <f>'LOCAL DATASET INPUTS'!U87</f>
        <v>38.113813188636961</v>
      </c>
      <c r="AG244" s="503">
        <f>'LOCAL DATASET INPUTS'!V87</f>
        <v>38.113813188636961</v>
      </c>
      <c r="AH244" s="503">
        <f>'LOCAL DATASET INPUTS'!W87</f>
        <v>38.113813188636961</v>
      </c>
      <c r="AI244" s="503">
        <f>'LOCAL DATASET INPUTS'!X87</f>
        <v>38.113813188636961</v>
      </c>
      <c r="AJ244" s="503">
        <f>'LOCAL DATASET INPUTS'!Y87</f>
        <v>38.113813188636961</v>
      </c>
      <c r="AK244" s="503">
        <f>'LOCAL DATASET INPUTS'!Z87</f>
        <v>38.113813188636961</v>
      </c>
      <c r="AL244" s="503">
        <f>'LOCAL DATASET INPUTS'!AA87</f>
        <v>38.113813188636961</v>
      </c>
      <c r="AM244" s="503">
        <f>'LOCAL DATASET INPUTS'!AB87</f>
        <v>38.113813188636961</v>
      </c>
      <c r="AN244" s="503">
        <f>'LOCAL DATASET INPUTS'!AC87</f>
        <v>38.113813188636961</v>
      </c>
      <c r="AO244" s="503">
        <f>'LOCAL DATASET INPUTS'!AD87</f>
        <v>38.113813188636961</v>
      </c>
      <c r="AP244" s="503">
        <f>'LOCAL DATASET INPUTS'!AE87</f>
        <v>38.113813188636961</v>
      </c>
      <c r="AQ244" s="503">
        <f>'LOCAL DATASET INPUTS'!AF87</f>
        <v>38.113813188636961</v>
      </c>
      <c r="AR244" s="503">
        <f>'LOCAL DATASET INPUTS'!AG87</f>
        <v>38.113813188636961</v>
      </c>
      <c r="AS244" s="503">
        <f>'LOCAL DATASET INPUTS'!AH87</f>
        <v>38.113813188636961</v>
      </c>
    </row>
    <row r="245" spans="11:46">
      <c r="N245" s="7"/>
      <c r="O245" s="485" t="s">
        <v>573</v>
      </c>
      <c r="P245" s="504">
        <f>'LOCAL DATASET INPUTS'!E87/('LOCAL DATASET INPUTS'!E87+'LOCAL DATASET INPUTS'!E90)*(100-(P207+P210+P213+P216+P219+P222+P225+P228+P231+P234+P237+P240+P243))</f>
        <v>38.162564787710757</v>
      </c>
      <c r="Q245" s="504">
        <f>'LOCAL DATASET INPUTS'!F87/('LOCAL DATASET INPUTS'!F87+'LOCAL DATASET INPUTS'!F90)*(100-(Q207+Q210+Q213+Q216+Q219+Q222+Q225+Q228+Q231+Q234+Q237+Q240+Q243))</f>
        <v>38.162564787710757</v>
      </c>
      <c r="R245" s="504">
        <f>'LOCAL DATASET INPUTS'!G87/('LOCAL DATASET INPUTS'!G87+'LOCAL DATASET INPUTS'!G90)*(100-(R207+R210+R213+R216+R219+R222+R225+R228+R231+R234+R237+R240+R243))</f>
        <v>38.162564787710757</v>
      </c>
      <c r="S245" s="504">
        <f>'LOCAL DATASET INPUTS'!H87/('LOCAL DATASET INPUTS'!H87+'LOCAL DATASET INPUTS'!H90)*(100-(S207+S210+S213+S216+S219+S222+S225+S228+S231+S234+S237+S240+S243))</f>
        <v>38.162564787710757</v>
      </c>
      <c r="T245" s="504">
        <f>'LOCAL DATASET INPUTS'!I87/('LOCAL DATASET INPUTS'!I87+'LOCAL DATASET INPUTS'!I90)*(100-(T207+T210+T213+T216+T219+T222+T225+T228+T231+T234+T237+T240+T243))</f>
        <v>31.290401338866094</v>
      </c>
      <c r="U245" s="504">
        <f>'LOCAL DATASET INPUTS'!J87/('LOCAL DATASET INPUTS'!J87+'LOCAL DATASET INPUTS'!J90)*(100-(U207+U210+U213+U216+U219+U222+U225+U228+U231+U234+U237+U240+U243))</f>
        <v>31.290401338866094</v>
      </c>
      <c r="V245" s="504">
        <f>'LOCAL DATASET INPUTS'!K87/('LOCAL DATASET INPUTS'!K87+'LOCAL DATASET INPUTS'!K90)*(100-(V207+V210+V213+V216+V219+V222+V225+V228+V231+V234+V237+V240+V243))</f>
        <v>31.290401338866094</v>
      </c>
      <c r="W245" s="504">
        <f>'LOCAL DATASET INPUTS'!L87/('LOCAL DATASET INPUTS'!L87+'LOCAL DATASET INPUTS'!L90)*(100-(W207+W210+W213+W216+W219+W222+W225+W228+W231+W234+W237+W240+W243))</f>
        <v>31.290401338866094</v>
      </c>
      <c r="X245" s="504">
        <f>'LOCAL DATASET INPUTS'!M87/('LOCAL DATASET INPUTS'!M87+'LOCAL DATASET INPUTS'!M90)*(100-(X207+X210+X213+X216+X219+X222+X225+X228+X231+X234+X237+X240+X243))</f>
        <v>31.290401338866094</v>
      </c>
      <c r="Y245" s="504">
        <f>'LOCAL DATASET INPUTS'!N87/('LOCAL DATASET INPUTS'!N87+'LOCAL DATASET INPUTS'!N90)*(100-(Y207+Y210+Y213+Y216+Y219+Y222+Y225+Y228+Y231+Y234+Y237+Y240+Y243))</f>
        <v>31.290401338866094</v>
      </c>
      <c r="Z245" s="504">
        <f>'LOCAL DATASET INPUTS'!O87/('LOCAL DATASET INPUTS'!O87+'LOCAL DATASET INPUTS'!O90)*(100-(Z207+Z210+Z213+Z216+Z219+Z222+Z225+Z228+Z231+Z234+Z237+Z240+Z243))</f>
        <v>31.290401338866094</v>
      </c>
      <c r="AA245" s="504">
        <f>'LOCAL DATASET INPUTS'!P87/('LOCAL DATASET INPUTS'!P87+'LOCAL DATASET INPUTS'!P90)*(100-(AA207+AA210+AA213+AA216+AA219+AA222+AA225+AA228+AA231+AA234+AA237+AA240+AA243))</f>
        <v>31.290401338866094</v>
      </c>
      <c r="AB245" s="504">
        <f>'LOCAL DATASET INPUTS'!Q87/('LOCAL DATASET INPUTS'!Q87+'LOCAL DATASET INPUTS'!Q90)*(100-(AB207+AB210+AB213+AB216+AB219+AB222+AB225+AB228+AB231+AB234+AB237+AB240+AB243))</f>
        <v>31.290401338866094</v>
      </c>
      <c r="AC245" s="504">
        <f>'LOCAL DATASET INPUTS'!R87/('LOCAL DATASET INPUTS'!R87+'LOCAL DATASET INPUTS'!R90)*(100-(AC207+AC210+AC213+AC216+AC219+AC222+AC225+AC228+AC231+AC234+AC237+AC240+AC243))</f>
        <v>31.290401338866094</v>
      </c>
      <c r="AD245" s="504">
        <f>'LOCAL DATASET INPUTS'!S87/('LOCAL DATASET INPUTS'!S87+'LOCAL DATASET INPUTS'!S96)*(100-(AD207+AD210+AD213+AD216+AD219+AD222+AD225+AD228+AD231+AD234+AD237+AD240+AD243))</f>
        <v>77.02</v>
      </c>
      <c r="AE245" s="504">
        <f>'LOCAL DATASET INPUTS'!T87/('LOCAL DATASET INPUTS'!T87+'LOCAL DATASET INPUTS'!T90)*(100-(AE207+AE210+AE213+AE216+AE219+AE222+AE225+AE228+AE231+AE234+AE237+AE240+AE243))</f>
        <v>31.290401338866094</v>
      </c>
      <c r="AF245" s="504">
        <f>'LOCAL DATASET INPUTS'!U87/('LOCAL DATASET INPUTS'!U87+'LOCAL DATASET INPUTS'!U90)*(100-(AF207+AF210+AF213+AF216+AF219+AF222+AF225+AF228+AF231+AF234+AF237+AF240+AF243))</f>
        <v>31.290401338866094</v>
      </c>
      <c r="AG245" s="504">
        <f>'LOCAL DATASET INPUTS'!V87/('LOCAL DATASET INPUTS'!V87+'LOCAL DATASET INPUTS'!V90)*(100-(AG207+AG210+AG213+AG216+AG219+AG222+AG225+AG228+AG231+AG234+AG237+AG240+AG243))</f>
        <v>31.290401338866094</v>
      </c>
      <c r="AH245" s="504">
        <f>'LOCAL DATASET INPUTS'!W87/('LOCAL DATASET INPUTS'!W87+'LOCAL DATASET INPUTS'!W90)*(100-(AH207+AH210+AH213+AH216+AH219+AH222+AH225+AH228+AH231+AH234+AH237+AH240+AH243))</f>
        <v>31.290401338866094</v>
      </c>
      <c r="AI245" s="504">
        <f>'LOCAL DATASET INPUTS'!X87/('LOCAL DATASET INPUTS'!X87+'LOCAL DATASET INPUTS'!X90)*(100-(AI207+AI210+AI213+AI216+AI219+AI222+AI225+AI228+AI231+AI234+AI237+AI240+AI243))</f>
        <v>31.290401338866094</v>
      </c>
      <c r="AJ245" s="504">
        <f>'LOCAL DATASET INPUTS'!Y87/('LOCAL DATASET INPUTS'!Y87+'LOCAL DATASET INPUTS'!Y90)*(100-(AJ207+AJ210+AJ213+AJ216+AJ219+AJ222+AJ225+AJ228+AJ231+AJ234+AJ237+AJ240+AJ243))</f>
        <v>31.290401338866094</v>
      </c>
      <c r="AK245" s="504">
        <f>'LOCAL DATASET INPUTS'!Z87/('LOCAL DATASET INPUTS'!Z87+'LOCAL DATASET INPUTS'!Z90)*(100-(AK207+AK210+AK213+AK216+AK219+AK222+AK225+AK228+AK231+AK234+AK237+AK240+AK243))</f>
        <v>31.290401338866094</v>
      </c>
      <c r="AL245" s="504">
        <f>'LOCAL DATASET INPUTS'!AA87/('LOCAL DATASET INPUTS'!AA87+'LOCAL DATASET INPUTS'!AA90)*(100-(AL207+AL210+AL213+AL216+AL219+AL222+AL225+AL228+AL231+AL234+AL237+AL240+AL243))</f>
        <v>31.290401338866094</v>
      </c>
      <c r="AM245" s="504">
        <f>'LOCAL DATASET INPUTS'!AB87/('LOCAL DATASET INPUTS'!AB87+'LOCAL DATASET INPUTS'!AB90)*(100-(AM207+AM210+AM213+AM216+AM219+AM222+AM225+AM228+AM231+AM234+AM237+AM240+AM243))</f>
        <v>31.290401338866094</v>
      </c>
      <c r="AN245" s="504">
        <f>'LOCAL DATASET INPUTS'!AC87/('LOCAL DATASET INPUTS'!AC87+'LOCAL DATASET INPUTS'!AC90)*(100-(AN207+AN210+AN213+AN216+AN219+AN222+AN225+AN228+AN231+AN234+AN237+AN240+AN243))</f>
        <v>31.290401338866094</v>
      </c>
      <c r="AO245" s="504">
        <f>'LOCAL DATASET INPUTS'!AD87/('LOCAL DATASET INPUTS'!AD87+'LOCAL DATASET INPUTS'!AD90)*(100-(AO207+AO210+AO213+AO216+AO219+AO222+AO225+AO228+AO231+AO234+AO237+AO240+AO243))</f>
        <v>31.290401338866094</v>
      </c>
      <c r="AP245" s="504">
        <f>'LOCAL DATASET INPUTS'!AE87/('LOCAL DATASET INPUTS'!AE87+'LOCAL DATASET INPUTS'!AE90)*(100-(AP207+AP210+AP213+AP216+AP219+AP222+AP225+AP228+AP231+AP234+AP237+AP240+AP243))</f>
        <v>31.290401338866094</v>
      </c>
      <c r="AQ245" s="504">
        <f>'LOCAL DATASET INPUTS'!AF87/('LOCAL DATASET INPUTS'!AF87+'LOCAL DATASET INPUTS'!AF90)*(100-(AQ207+AQ210+AQ213+AQ216+AQ219+AQ222+AQ225+AQ228+AQ231+AQ234+AQ237+AQ240+AQ243))</f>
        <v>31.290401338866094</v>
      </c>
      <c r="AR245" s="504">
        <f>'LOCAL DATASET INPUTS'!AG87/('LOCAL DATASET INPUTS'!AG87+'LOCAL DATASET INPUTS'!AG90)*(100-(AR207+AR210+AR213+AR216+AR219+AR222+AR225+AR228+AR231+AR234+AR237+AR240+AR243))</f>
        <v>31.290401338866094</v>
      </c>
      <c r="AS245" s="504">
        <f>'LOCAL DATASET INPUTS'!AH87/('LOCAL DATASET INPUTS'!AH87+'LOCAL DATASET INPUTS'!AH90)*(100-(AS207+AS210+AS213+AS216+AS219+AS222+AS225+AS228+AS231+AS234+AS237+AS240+AS243))</f>
        <v>31.290401338866094</v>
      </c>
    </row>
    <row r="246" spans="11:46">
      <c r="N246" s="7"/>
      <c r="O246" s="397" t="str">
        <f>A147</f>
        <v>Diesel, according to country selection</v>
      </c>
      <c r="P246" s="503">
        <f>'LOCAL DATASET INPUTS'!E90</f>
        <v>55.68427616160313</v>
      </c>
      <c r="Q246" s="503">
        <f>'LOCAL DATASET INPUTS'!F90</f>
        <v>55.737350799824164</v>
      </c>
      <c r="R246" s="503">
        <f>'LOCAL DATASET INPUTS'!G90</f>
        <v>55.725476066336476</v>
      </c>
      <c r="S246" s="503">
        <f>'LOCAL DATASET INPUTS'!H90</f>
        <v>55.713601332848761</v>
      </c>
      <c r="T246" s="503">
        <f>'LOCAL DATASET INPUTS'!I90</f>
        <v>55.701726599361059</v>
      </c>
      <c r="U246" s="503">
        <f>'LOCAL DATASET INPUTS'!J90</f>
        <v>55.701726599361059</v>
      </c>
      <c r="V246" s="503">
        <f>'LOCAL DATASET INPUTS'!K90</f>
        <v>55.701726599361059</v>
      </c>
      <c r="W246" s="503">
        <f>'LOCAL DATASET INPUTS'!L90</f>
        <v>55.701726599361059</v>
      </c>
      <c r="X246" s="503">
        <f>'LOCAL DATASET INPUTS'!M90</f>
        <v>55.701726599361059</v>
      </c>
      <c r="Y246" s="503">
        <f>'LOCAL DATASET INPUTS'!N90</f>
        <v>55.701726599361059</v>
      </c>
      <c r="Z246" s="503">
        <f>'LOCAL DATASET INPUTS'!O90</f>
        <v>55.701726599361059</v>
      </c>
      <c r="AA246" s="503">
        <f>'LOCAL DATASET INPUTS'!P90</f>
        <v>55.701726599361059</v>
      </c>
      <c r="AB246" s="503">
        <f>'LOCAL DATASET INPUTS'!Q90</f>
        <v>55.701726599361059</v>
      </c>
      <c r="AC246" s="503">
        <f>'LOCAL DATASET INPUTS'!R90</f>
        <v>55.701726599361059</v>
      </c>
      <c r="AD246" s="503">
        <f>'LOCAL DATASET INPUTS'!S96</f>
        <v>0</v>
      </c>
      <c r="AE246" s="503">
        <f>'LOCAL DATASET INPUTS'!T90</f>
        <v>55.701726599361059</v>
      </c>
      <c r="AF246" s="503">
        <f>'LOCAL DATASET INPUTS'!U90</f>
        <v>55.701726599361059</v>
      </c>
      <c r="AG246" s="503">
        <f>'LOCAL DATASET INPUTS'!V90</f>
        <v>55.701726599361059</v>
      </c>
      <c r="AH246" s="503">
        <f>'LOCAL DATASET INPUTS'!W90</f>
        <v>55.701726599361059</v>
      </c>
      <c r="AI246" s="503">
        <f>'LOCAL DATASET INPUTS'!X90</f>
        <v>55.701726599361059</v>
      </c>
      <c r="AJ246" s="503">
        <f>'LOCAL DATASET INPUTS'!Y90</f>
        <v>55.701726599361059</v>
      </c>
      <c r="AK246" s="503">
        <f>'LOCAL DATASET INPUTS'!Z90</f>
        <v>55.701726599361059</v>
      </c>
      <c r="AL246" s="503">
        <f>'LOCAL DATASET INPUTS'!AA90</f>
        <v>55.701726599361059</v>
      </c>
      <c r="AM246" s="503">
        <f>'LOCAL DATASET INPUTS'!AB90</f>
        <v>55.701726599361059</v>
      </c>
      <c r="AN246" s="503">
        <f>'LOCAL DATASET INPUTS'!AC90</f>
        <v>55.701726599361059</v>
      </c>
      <c r="AO246" s="503">
        <f>'LOCAL DATASET INPUTS'!AD90</f>
        <v>55.701726599361059</v>
      </c>
      <c r="AP246" s="503">
        <f>'LOCAL DATASET INPUTS'!AE90</f>
        <v>55.701726599361059</v>
      </c>
      <c r="AQ246" s="503">
        <f>'LOCAL DATASET INPUTS'!AF90</f>
        <v>55.701726599361059</v>
      </c>
      <c r="AR246" s="503">
        <f>'LOCAL DATASET INPUTS'!AG90</f>
        <v>55.701726599361059</v>
      </c>
      <c r="AS246" s="503">
        <f>'LOCAL DATASET INPUTS'!AH90</f>
        <v>55.701726599361059</v>
      </c>
    </row>
    <row r="247" spans="11:46">
      <c r="N247" s="7"/>
      <c r="O247" s="485" t="s">
        <v>573</v>
      </c>
      <c r="P247" s="504">
        <f>'LOCAL DATASET INPUTS'!E90/('LOCAL DATASET INPUTS'!E87+'LOCAL DATASET INPUTS'!E90)*(100-(P207+P210+P213+P216+P219+P222+P225+P228+P231+P234+P237+P240+P243))</f>
        <v>55.772975000287268</v>
      </c>
      <c r="Q247" s="504">
        <f>'LOCAL DATASET INPUTS'!F90/('LOCAL DATASET INPUTS'!F87+'LOCAL DATASET INPUTS'!F90)*(100-(Q207+Q210+Q213+Q216+Q219+Q222+Q225+Q228+Q231+Q234+Q237+Q240+Q243))</f>
        <v>55.772975000287275</v>
      </c>
      <c r="R247" s="504">
        <f>'LOCAL DATASET INPUTS'!G90/('LOCAL DATASET INPUTS'!G87+'LOCAL DATASET INPUTS'!G90)*(100-(R207+R210+R213+R216+R219+R222+R225+R228+R231+R234+R237+R240+R243))</f>
        <v>55.772975000287268</v>
      </c>
      <c r="S247" s="504">
        <f>'LOCAL DATASET INPUTS'!H90/('LOCAL DATASET INPUTS'!H87+'LOCAL DATASET INPUTS'!H90)*(100-(S207+S210+S213+S216+S219+S222+S225+S228+S231+S234+S237+S240+S243))</f>
        <v>55.772975000287268</v>
      </c>
      <c r="T247" s="504">
        <f>'LOCAL DATASET INPUTS'!I90/('LOCAL DATASET INPUTS'!I87+'LOCAL DATASET INPUTS'!I90)*(100-(T207+T210+T213+T216+T219+T222+T225+T228+T231+T234+T237+T240+T243))</f>
        <v>45.729598661133906</v>
      </c>
      <c r="U247" s="504">
        <f>'LOCAL DATASET INPUTS'!J90/('LOCAL DATASET INPUTS'!J87+'LOCAL DATASET INPUTS'!J90)*(100-(U207+U210+U213+U216+U219+U222+U225+U228+U231+U234+U237+U240+U243))</f>
        <v>45.729598661133906</v>
      </c>
      <c r="V247" s="504">
        <f>'LOCAL DATASET INPUTS'!K90/('LOCAL DATASET INPUTS'!K87+'LOCAL DATASET INPUTS'!K90)*(100-(V207+V210+V213+V216+V219+V222+V225+V228+V231+V234+V237+V240+V243))</f>
        <v>45.729598661133906</v>
      </c>
      <c r="W247" s="504">
        <f>'LOCAL DATASET INPUTS'!L90/('LOCAL DATASET INPUTS'!L87+'LOCAL DATASET INPUTS'!L90)*(100-(W207+W210+W213+W216+W219+W222+W225+W228+W231+W234+W237+W240+W243))</f>
        <v>45.729598661133906</v>
      </c>
      <c r="X247" s="504">
        <f>'LOCAL DATASET INPUTS'!M90/('LOCAL DATASET INPUTS'!M87+'LOCAL DATASET INPUTS'!M90)*(100-(X207+X210+X213+X216+X219+X222+X225+X228+X231+X234+X237+X240+X243))</f>
        <v>45.729598661133906</v>
      </c>
      <c r="Y247" s="504">
        <f>'LOCAL DATASET INPUTS'!N90/('LOCAL DATASET INPUTS'!N87+'LOCAL DATASET INPUTS'!N90)*(100-(Y207+Y210+Y213+Y216+Y219+Y222+Y225+Y228+Y231+Y234+Y237+Y240+Y243))</f>
        <v>45.729598661133906</v>
      </c>
      <c r="Z247" s="504">
        <f>'LOCAL DATASET INPUTS'!O90/('LOCAL DATASET INPUTS'!O87+'LOCAL DATASET INPUTS'!O90)*(100-(Z207+Z210+Z213+Z216+Z219+Z222+Z225+Z228+Z231+Z234+Z237+Z240+Z243))</f>
        <v>45.729598661133906</v>
      </c>
      <c r="AA247" s="504">
        <f>'LOCAL DATASET INPUTS'!P90/('LOCAL DATASET INPUTS'!P87+'LOCAL DATASET INPUTS'!P90)*(100-(AA207+AA210+AA213+AA216+AA219+AA222+AA225+AA228+AA231+AA234+AA237+AA240+AA243))</f>
        <v>45.729598661133906</v>
      </c>
      <c r="AB247" s="504">
        <f>'LOCAL DATASET INPUTS'!Q90/('LOCAL DATASET INPUTS'!Q87+'LOCAL DATASET INPUTS'!Q90)*(100-(AB207+AB210+AB213+AB216+AB219+AB222+AB225+AB228+AB231+AB234+AB237+AB240+AB243))</f>
        <v>45.729598661133906</v>
      </c>
      <c r="AC247" s="504">
        <f>'LOCAL DATASET INPUTS'!R90/('LOCAL DATASET INPUTS'!R87+'LOCAL DATASET INPUTS'!R90)*(100-(AC207+AC210+AC213+AC216+AC219+AC222+AC225+AC228+AC231+AC234+AC237+AC240+AC243))</f>
        <v>45.729598661133906</v>
      </c>
      <c r="AD247" s="504">
        <f>'LOCAL DATASET INPUTS'!S96/('LOCAL DATASET INPUTS'!S87+'LOCAL DATASET INPUTS'!S96)*(100-(AD207+AD210+AD213+AD216+AD219+AD222+AD225+AD228+AD231+AD234+AD237+AD240+AD243))</f>
        <v>0</v>
      </c>
      <c r="AE247" s="504">
        <f>'LOCAL DATASET INPUTS'!T90/('LOCAL DATASET INPUTS'!T87+'LOCAL DATASET INPUTS'!T90)*(100-(AE207+AE210+AE213+AE216+AE219+AE222+AE225+AE228+AE231+AE234+AE237+AE240+AE243))</f>
        <v>45.729598661133906</v>
      </c>
      <c r="AF247" s="504">
        <f>'LOCAL DATASET INPUTS'!U90/('LOCAL DATASET INPUTS'!U87+'LOCAL DATASET INPUTS'!U90)*(100-(AF207+AF210+AF213+AF216+AF219+AF222+AF225+AF228+AF231+AF234+AF237+AF240+AF243))</f>
        <v>45.729598661133906</v>
      </c>
      <c r="AG247" s="504">
        <f>'LOCAL DATASET INPUTS'!V90/('LOCAL DATASET INPUTS'!V87+'LOCAL DATASET INPUTS'!V90)*(100-(AG207+AG210+AG213+AG216+AG219+AG222+AG225+AG228+AG231+AG234+AG237+AG240+AG243))</f>
        <v>45.729598661133906</v>
      </c>
      <c r="AH247" s="504">
        <f>'LOCAL DATASET INPUTS'!W90/('LOCAL DATASET INPUTS'!W87+'LOCAL DATASET INPUTS'!W90)*(100-(AH207+AH210+AH213+AH216+AH219+AH222+AH225+AH228+AH231+AH234+AH237+AH240+AH243))</f>
        <v>45.729598661133906</v>
      </c>
      <c r="AI247" s="504">
        <f>'LOCAL DATASET INPUTS'!X90/('LOCAL DATASET INPUTS'!X87+'LOCAL DATASET INPUTS'!X90)*(100-(AI207+AI210+AI213+AI216+AI219+AI222+AI225+AI228+AI231+AI234+AI237+AI240+AI243))</f>
        <v>45.729598661133906</v>
      </c>
      <c r="AJ247" s="504">
        <f>'LOCAL DATASET INPUTS'!Y90/('LOCAL DATASET INPUTS'!Y87+'LOCAL DATASET INPUTS'!Y90)*(100-(AJ207+AJ210+AJ213+AJ216+AJ219+AJ222+AJ225+AJ228+AJ231+AJ234+AJ237+AJ240+AJ243))</f>
        <v>45.729598661133906</v>
      </c>
      <c r="AK247" s="504">
        <f>'LOCAL DATASET INPUTS'!Z90/('LOCAL DATASET INPUTS'!Z87+'LOCAL DATASET INPUTS'!Z90)*(100-(AK207+AK210+AK213+AK216+AK219+AK222+AK225+AK228+AK231+AK234+AK237+AK240+AK243))</f>
        <v>45.729598661133906</v>
      </c>
      <c r="AL247" s="504">
        <f>'LOCAL DATASET INPUTS'!AA90/('LOCAL DATASET INPUTS'!AA87+'LOCAL DATASET INPUTS'!AA90)*(100-(AL207+AL210+AL213+AL216+AL219+AL222+AL225+AL228+AL231+AL234+AL237+AL240+AL243))</f>
        <v>45.729598661133906</v>
      </c>
      <c r="AM247" s="504">
        <f>'LOCAL DATASET INPUTS'!AB90/('LOCAL DATASET INPUTS'!AB87+'LOCAL DATASET INPUTS'!AB90)*(100-(AM207+AM210+AM213+AM216+AM219+AM222+AM225+AM228+AM231+AM234+AM237+AM240+AM243))</f>
        <v>45.729598661133906</v>
      </c>
      <c r="AN247" s="504">
        <f>'LOCAL DATASET INPUTS'!AC90/('LOCAL DATASET INPUTS'!AC87+'LOCAL DATASET INPUTS'!AC90)*(100-(AN207+AN210+AN213+AN216+AN219+AN222+AN225+AN228+AN231+AN234+AN237+AN240+AN243))</f>
        <v>45.729598661133906</v>
      </c>
      <c r="AO247" s="504">
        <f>'LOCAL DATASET INPUTS'!AD90/('LOCAL DATASET INPUTS'!AD87+'LOCAL DATASET INPUTS'!AD90)*(100-(AO207+AO210+AO213+AO216+AO219+AO222+AO225+AO228+AO231+AO234+AO237+AO240+AO243))</f>
        <v>45.729598661133906</v>
      </c>
      <c r="AP247" s="504">
        <f>'LOCAL DATASET INPUTS'!AE90/('LOCAL DATASET INPUTS'!AE87+'LOCAL DATASET INPUTS'!AE90)*(100-(AP207+AP210+AP213+AP216+AP219+AP222+AP225+AP228+AP231+AP234+AP237+AP240+AP243))</f>
        <v>45.729598661133906</v>
      </c>
      <c r="AQ247" s="504">
        <f>'LOCAL DATASET INPUTS'!AF90/('LOCAL DATASET INPUTS'!AF87+'LOCAL DATASET INPUTS'!AF90)*(100-(AQ207+AQ210+AQ213+AQ216+AQ219+AQ222+AQ225+AQ228+AQ231+AQ234+AQ237+AQ240+AQ243))</f>
        <v>45.729598661133906</v>
      </c>
      <c r="AR247" s="504">
        <f>'LOCAL DATASET INPUTS'!AG90/('LOCAL DATASET INPUTS'!AG87+'LOCAL DATASET INPUTS'!AG90)*(100-(AR207+AR210+AR213+AR216+AR219+AR222+AR225+AR228+AR231+AR234+AR237+AR240+AR243))</f>
        <v>45.729598661133906</v>
      </c>
      <c r="AS247" s="504">
        <f>'LOCAL DATASET INPUTS'!AH90/('LOCAL DATASET INPUTS'!AH87+'LOCAL DATASET INPUTS'!AH90)*(100-(AS207+AS210+AS213+AS216+AS219+AS222+AS225+AS228+AS231+AS234+AS237+AS240+AS243))</f>
        <v>45.729598661133906</v>
      </c>
    </row>
    <row r="248" spans="11:46">
      <c r="K248" s="611"/>
      <c r="U248" s="582"/>
    </row>
    <row r="249" spans="11:46">
      <c r="O249" s="494" t="s">
        <v>526</v>
      </c>
      <c r="P249" s="483">
        <f>2021</f>
        <v>2021</v>
      </c>
      <c r="Q249" s="483">
        <f t="shared" ref="Q249:AS249" si="98">P249+1</f>
        <v>2022</v>
      </c>
      <c r="R249" s="483">
        <f t="shared" si="98"/>
        <v>2023</v>
      </c>
      <c r="S249" s="483">
        <f t="shared" si="98"/>
        <v>2024</v>
      </c>
      <c r="T249" s="483">
        <f t="shared" si="98"/>
        <v>2025</v>
      </c>
      <c r="U249" s="483">
        <f t="shared" si="98"/>
        <v>2026</v>
      </c>
      <c r="V249" s="483">
        <f t="shared" si="98"/>
        <v>2027</v>
      </c>
      <c r="W249" s="483">
        <f t="shared" si="98"/>
        <v>2028</v>
      </c>
      <c r="X249" s="483">
        <f t="shared" si="98"/>
        <v>2029</v>
      </c>
      <c r="Y249" s="483">
        <f t="shared" si="98"/>
        <v>2030</v>
      </c>
      <c r="Z249" s="483">
        <f t="shared" si="98"/>
        <v>2031</v>
      </c>
      <c r="AA249" s="483">
        <f t="shared" si="98"/>
        <v>2032</v>
      </c>
      <c r="AB249" s="483">
        <f t="shared" si="98"/>
        <v>2033</v>
      </c>
      <c r="AC249" s="483">
        <f t="shared" si="98"/>
        <v>2034</v>
      </c>
      <c r="AD249" s="483">
        <f t="shared" si="98"/>
        <v>2035</v>
      </c>
      <c r="AE249" s="483">
        <f t="shared" si="98"/>
        <v>2036</v>
      </c>
      <c r="AF249" s="483">
        <f t="shared" si="98"/>
        <v>2037</v>
      </c>
      <c r="AG249" s="483">
        <f t="shared" si="98"/>
        <v>2038</v>
      </c>
      <c r="AH249" s="483">
        <f t="shared" si="98"/>
        <v>2039</v>
      </c>
      <c r="AI249" s="483">
        <f t="shared" si="98"/>
        <v>2040</v>
      </c>
      <c r="AJ249" s="483">
        <f t="shared" si="98"/>
        <v>2041</v>
      </c>
      <c r="AK249" s="483">
        <f t="shared" si="98"/>
        <v>2042</v>
      </c>
      <c r="AL249" s="483">
        <f t="shared" si="98"/>
        <v>2043</v>
      </c>
      <c r="AM249" s="483">
        <f t="shared" si="98"/>
        <v>2044</v>
      </c>
      <c r="AN249" s="483">
        <f t="shared" si="98"/>
        <v>2045</v>
      </c>
      <c r="AO249" s="483">
        <f t="shared" si="98"/>
        <v>2046</v>
      </c>
      <c r="AP249" s="483">
        <f t="shared" si="98"/>
        <v>2047</v>
      </c>
      <c r="AQ249" s="483">
        <f t="shared" si="98"/>
        <v>2048</v>
      </c>
      <c r="AR249" s="483">
        <f t="shared" si="98"/>
        <v>2049</v>
      </c>
      <c r="AS249" s="483">
        <f t="shared" si="98"/>
        <v>2050</v>
      </c>
    </row>
    <row r="250" spans="11:46">
      <c r="O250" s="475" t="str">
        <f>'LOCAL DATASET INPUTS'!A102</f>
        <v>average gCO2e/vehicle-km</v>
      </c>
      <c r="P250" s="497">
        <f>(P207/100*'LOCAL DATASET INPUTS'!$B$84)+(P210/100*'LOCAL DATASET INPUTS'!$B$85)+(P213/100*'LOCAL DATASET INPUTS'!$B$86)+(P216/100*'LOCAL DATASET INPUTS'!$B$88)+(P219/100*'LOCAL DATASET INPUTS'!$B$99*'USER INPUTS'!P268/1000)+(P222/100*'LOCAL DATASET INPUTS'!$B$91)+(P225/100*'LOCAL DATASET INPUTS'!$B$100*P268/1000)+(P228/100*'LOCAL DATASET INPUTS'!$B$93)+(P231/100*'LOCAL DATASET INPUTS'!$B$94)+(P234/100*'LOCAL DATASET INPUTS'!$B$95)+(P237/100*'LOCAL DATASET INPUTS'!$B$96)+(P240/100*'LOCAL DATASET INPUTS'!$B$97)+(P243/100*'LOCAL DATASET INPUTS'!$B$101*P268/1000)+(P245/100*'LOCAL DATASET INPUTS'!$B$87)+(P247/100*'LOCAL DATASET INPUTS'!$B$90)</f>
        <v>165.15775938208583</v>
      </c>
      <c r="Q250" s="497">
        <f>(Q207/100*'LOCAL DATASET INPUTS'!$B$84)+(Q210/100*'LOCAL DATASET INPUTS'!$B$85)+(Q213/100*'LOCAL DATASET INPUTS'!$B$86)+(Q216/100*'LOCAL DATASET INPUTS'!$B$88)+(Q219/100*'LOCAL DATASET INPUTS'!$B$99*'USER INPUTS'!Q268/1000)+(Q222/100*'LOCAL DATASET INPUTS'!$B$91)+(Q225/100*'LOCAL DATASET INPUTS'!$B$100*Q268/1000)+(Q228/100*'LOCAL DATASET INPUTS'!$B$93)+(Q231/100*'LOCAL DATASET INPUTS'!$B$94)+(Q234/100*'LOCAL DATASET INPUTS'!$B$95)+(Q237/100*'LOCAL DATASET INPUTS'!$B$96)+(Q240/100*'LOCAL DATASET INPUTS'!$B$97)+(Q243/100*'LOCAL DATASET INPUTS'!$B$101*Q268/1000)+(Q245/100*'LOCAL DATASET INPUTS'!$B$87)+(Q247/100*'LOCAL DATASET INPUTS'!$B$90)</f>
        <v>165.15775938208583</v>
      </c>
      <c r="R250" s="497">
        <f>(R207/100*'LOCAL DATASET INPUTS'!$B$84)+(R210/100*'LOCAL DATASET INPUTS'!$B$85)+(R213/100*'LOCAL DATASET INPUTS'!$B$86)+(R216/100*'LOCAL DATASET INPUTS'!$B$88)+(R219/100*'LOCAL DATASET INPUTS'!$B$99*'USER INPUTS'!R268/1000)+(R222/100*'LOCAL DATASET INPUTS'!$B$91)+(R225/100*'LOCAL DATASET INPUTS'!$B$100*R268/1000)+(R228/100*'LOCAL DATASET INPUTS'!$B$93)+(R231/100*'LOCAL DATASET INPUTS'!$B$94)+(R234/100*'LOCAL DATASET INPUTS'!$B$95)+(R237/100*'LOCAL DATASET INPUTS'!$B$96)+(R240/100*'LOCAL DATASET INPUTS'!$B$97)+(R243/100*'LOCAL DATASET INPUTS'!$B$101*R268/1000)+(R245/100*'LOCAL DATASET INPUTS'!$B$87)+(R247/100*'LOCAL DATASET INPUTS'!$B$90)</f>
        <v>165.15775938208583</v>
      </c>
      <c r="S250" s="497">
        <f>(S207/100*'LOCAL DATASET INPUTS'!$B$84)+(S210/100*'LOCAL DATASET INPUTS'!$B$85)+(S213/100*'LOCAL DATASET INPUTS'!$B$86)+(S216/100*'LOCAL DATASET INPUTS'!$B$88)+(S219/100*'LOCAL DATASET INPUTS'!$B$99*'USER INPUTS'!S268/1000)+(S222/100*'LOCAL DATASET INPUTS'!$B$91)+(S225/100*'LOCAL DATASET INPUTS'!$B$100*S268/1000)+(S228/100*'LOCAL DATASET INPUTS'!$B$93)+(S231/100*'LOCAL DATASET INPUTS'!$B$94)+(S234/100*'LOCAL DATASET INPUTS'!$B$95)+(S237/100*'LOCAL DATASET INPUTS'!$B$96)+(S240/100*'LOCAL DATASET INPUTS'!$B$97)+(S243/100*'LOCAL DATASET INPUTS'!$B$101*S268/1000)+(S245/100*'LOCAL DATASET INPUTS'!$B$87)+(S247/100*'LOCAL DATASET INPUTS'!$B$90)</f>
        <v>165.15775938208583</v>
      </c>
      <c r="T250" s="497">
        <f>(T207/100*'LOCAL DATASET INPUTS'!$B$84)+(T210/100*'LOCAL DATASET INPUTS'!$B$85)+(T213/100*'LOCAL DATASET INPUTS'!$B$86)+(T216/100*'LOCAL DATASET INPUTS'!$B$88)+(T219/100*'LOCAL DATASET INPUTS'!$B$99*'USER INPUTS'!T268/1000)+(T222/100*'LOCAL DATASET INPUTS'!$B$91)+(T225/100*'LOCAL DATASET INPUTS'!$B$100*T268/1000)+(T228/100*'LOCAL DATASET INPUTS'!$B$93)+(T231/100*'LOCAL DATASET INPUTS'!$B$94)+(T234/100*'LOCAL DATASET INPUTS'!$B$95)+(T237/100*'LOCAL DATASET INPUTS'!$B$96)+(T240/100*'LOCAL DATASET INPUTS'!$B$97)+(T243/100*'LOCAL DATASET INPUTS'!$B$101*T268/1000)+(T245/100*'LOCAL DATASET INPUTS'!$B$87)+(T247/100*'LOCAL DATASET INPUTS'!$B$90)</f>
        <v>132.70067899920136</v>
      </c>
      <c r="U250" s="497">
        <f>(U207/100*'LOCAL DATASET INPUTS'!$B$84)+(U210/100*'LOCAL DATASET INPUTS'!$B$85)+(U213/100*'LOCAL DATASET INPUTS'!$B$86)+(U216/100*'LOCAL DATASET INPUTS'!$B$88)+(U219/100*'LOCAL DATASET INPUTS'!$B$99*'USER INPUTS'!U268/1000)+(U222/100*'LOCAL DATASET INPUTS'!$B$91)+(U225/100*'LOCAL DATASET INPUTS'!$B$100*U268/1000)+(U228/100*'LOCAL DATASET INPUTS'!$B$93)+(U231/100*'LOCAL DATASET INPUTS'!$B$94)+(U234/100*'LOCAL DATASET INPUTS'!$B$95)+(U237/100*'LOCAL DATASET INPUTS'!$B$96)+(U240/100*'LOCAL DATASET INPUTS'!$B$97)+(U243/100*'LOCAL DATASET INPUTS'!$B$101*U268/1000)+(U245/100*'LOCAL DATASET INPUTS'!$B$87)+(U247/100*'LOCAL DATASET INPUTS'!$B$90)</f>
        <v>132.70067899920136</v>
      </c>
      <c r="V250" s="497">
        <f>(V207/100*'LOCAL DATASET INPUTS'!$B$84)+(V210/100*'LOCAL DATASET INPUTS'!$B$85)+(V213/100*'LOCAL DATASET INPUTS'!$B$86)+(V216/100*'LOCAL DATASET INPUTS'!$B$88)+(V219/100*'LOCAL DATASET INPUTS'!$B$99*'USER INPUTS'!V268/1000)+(V222/100*'LOCAL DATASET INPUTS'!$B$91)+(V225/100*'LOCAL DATASET INPUTS'!$B$100*V268/1000)+(V228/100*'LOCAL DATASET INPUTS'!$B$93)+(V231/100*'LOCAL DATASET INPUTS'!$B$94)+(V234/100*'LOCAL DATASET INPUTS'!$B$95)+(V237/100*'LOCAL DATASET INPUTS'!$B$96)+(V240/100*'LOCAL DATASET INPUTS'!$B$97)+(V243/100*'LOCAL DATASET INPUTS'!$B$101*V268/1000)+(V245/100*'LOCAL DATASET INPUTS'!$B$87)+(V247/100*'LOCAL DATASET INPUTS'!$B$90)</f>
        <v>132.70067899920136</v>
      </c>
      <c r="W250" s="497">
        <f>(W207/100*'LOCAL DATASET INPUTS'!$B$84)+(W210/100*'LOCAL DATASET INPUTS'!$B$85)+(W213/100*'LOCAL DATASET INPUTS'!$B$86)+(W216/100*'LOCAL DATASET INPUTS'!$B$88)+(W219/100*'LOCAL DATASET INPUTS'!$B$99*'USER INPUTS'!W268/1000)+(W222/100*'LOCAL DATASET INPUTS'!$B$91)+(W225/100*'LOCAL DATASET INPUTS'!$B$100*W268/1000)+(W228/100*'LOCAL DATASET INPUTS'!$B$93)+(W231/100*'LOCAL DATASET INPUTS'!$B$94)+(W234/100*'LOCAL DATASET INPUTS'!$B$95)+(W237/100*'LOCAL DATASET INPUTS'!$B$96)+(W240/100*'LOCAL DATASET INPUTS'!$B$97)+(W243/100*'LOCAL DATASET INPUTS'!$B$101*W268/1000)+(W245/100*'LOCAL DATASET INPUTS'!$B$87)+(W247/100*'LOCAL DATASET INPUTS'!$B$90)</f>
        <v>132.70067899920136</v>
      </c>
      <c r="X250" s="497">
        <f>(X207/100*'LOCAL DATASET INPUTS'!$B$84)+(X210/100*'LOCAL DATASET INPUTS'!$B$85)+(X213/100*'LOCAL DATASET INPUTS'!$B$86)+(X216/100*'LOCAL DATASET INPUTS'!$B$88)+(X219/100*'LOCAL DATASET INPUTS'!$B$99*'USER INPUTS'!X268/1000)+(X222/100*'LOCAL DATASET INPUTS'!$B$91)+(X225/100*'LOCAL DATASET INPUTS'!$B$100*X268/1000)+(X228/100*'LOCAL DATASET INPUTS'!$B$93)+(X231/100*'LOCAL DATASET INPUTS'!$B$94)+(X234/100*'LOCAL DATASET INPUTS'!$B$95)+(X237/100*'LOCAL DATASET INPUTS'!$B$96)+(X240/100*'LOCAL DATASET INPUTS'!$B$97)+(X243/100*'LOCAL DATASET INPUTS'!$B$101*X268/1000)+(X245/100*'LOCAL DATASET INPUTS'!$B$87)+(X247/100*'LOCAL DATASET INPUTS'!$B$90)</f>
        <v>132.70067899920136</v>
      </c>
      <c r="Y250" s="497">
        <f>(Y207/100*'LOCAL DATASET INPUTS'!$B$84)+(Y210/100*'LOCAL DATASET INPUTS'!$B$85)+(Y213/100*'LOCAL DATASET INPUTS'!$B$86)+(Y216/100*'LOCAL DATASET INPUTS'!$B$88)+(Y219/100*'LOCAL DATASET INPUTS'!$B$99*'USER INPUTS'!Y268/1000)+(Y222/100*'LOCAL DATASET INPUTS'!$B$91)+(Y225/100*'LOCAL DATASET INPUTS'!$B$100*Y268/1000)+(Y228/100*'LOCAL DATASET INPUTS'!$B$93)+(Y231/100*'LOCAL DATASET INPUTS'!$B$94)+(Y234/100*'LOCAL DATASET INPUTS'!$B$95)+(Y237/100*'LOCAL DATASET INPUTS'!$B$96)+(Y240/100*'LOCAL DATASET INPUTS'!$B$97)+(Y243/100*'LOCAL DATASET INPUTS'!$B$101*Y268/1000)+(Y245/100*'LOCAL DATASET INPUTS'!$B$87)+(Y247/100*'LOCAL DATASET INPUTS'!$B$90)</f>
        <v>132.70067899920136</v>
      </c>
      <c r="Z250" s="497">
        <f>(Z207/100*'LOCAL DATASET INPUTS'!$B$84)+(Z210/100*'LOCAL DATASET INPUTS'!$B$85)+(Z213/100*'LOCAL DATASET INPUTS'!$B$86)+(Z216/100*'LOCAL DATASET INPUTS'!$B$88)+(Z219/100*'LOCAL DATASET INPUTS'!$B$99*'USER INPUTS'!Z268/1000)+(Z222/100*'LOCAL DATASET INPUTS'!$B$91)+(Z225/100*'LOCAL DATASET INPUTS'!$B$100*Z268/1000)+(Z228/100*'LOCAL DATASET INPUTS'!$B$93)+(Z231/100*'LOCAL DATASET INPUTS'!$B$94)+(Z234/100*'LOCAL DATASET INPUTS'!$B$95)+(Z237/100*'LOCAL DATASET INPUTS'!$B$96)+(Z240/100*'LOCAL DATASET INPUTS'!$B$97)+(Z243/100*'LOCAL DATASET INPUTS'!$B$101*Z268/1000)+(Z245/100*'LOCAL DATASET INPUTS'!$B$87)+(Z247/100*'LOCAL DATASET INPUTS'!$B$90)</f>
        <v>132.70067899920136</v>
      </c>
      <c r="AA250" s="497">
        <f>(AA207/100*'LOCAL DATASET INPUTS'!$B$84)+(AA210/100*'LOCAL DATASET INPUTS'!$B$85)+(AA213/100*'LOCAL DATASET INPUTS'!$B$86)+(AA216/100*'LOCAL DATASET INPUTS'!$B$88)+(AA219/100*'LOCAL DATASET INPUTS'!$B$99*'USER INPUTS'!AA268/1000)+(AA222/100*'LOCAL DATASET INPUTS'!$B$91)+(AA225/100*'LOCAL DATASET INPUTS'!$B$100*AA268/1000)+(AA228/100*'LOCAL DATASET INPUTS'!$B$93)+(AA231/100*'LOCAL DATASET INPUTS'!$B$94)+(AA234/100*'LOCAL DATASET INPUTS'!$B$95)+(AA237/100*'LOCAL DATASET INPUTS'!$B$96)+(AA240/100*'LOCAL DATASET INPUTS'!$B$97)+(AA243/100*'LOCAL DATASET INPUTS'!$B$101*AA268/1000)+(AA245/100*'LOCAL DATASET INPUTS'!$B$87)+(AA247/100*'LOCAL DATASET INPUTS'!$B$90)</f>
        <v>132.70067899920136</v>
      </c>
      <c r="AB250" s="497">
        <f>(AB207/100*'LOCAL DATASET INPUTS'!$B$84)+(AB210/100*'LOCAL DATASET INPUTS'!$B$85)+(AB213/100*'LOCAL DATASET INPUTS'!$B$86)+(AB216/100*'LOCAL DATASET INPUTS'!$B$88)+(AB219/100*'LOCAL DATASET INPUTS'!$B$99*'USER INPUTS'!AB268/1000)+(AB222/100*'LOCAL DATASET INPUTS'!$B$91)+(AB225/100*'LOCAL DATASET INPUTS'!$B$100*AB268/1000)+(AB228/100*'LOCAL DATASET INPUTS'!$B$93)+(AB231/100*'LOCAL DATASET INPUTS'!$B$94)+(AB234/100*'LOCAL DATASET INPUTS'!$B$95)+(AB237/100*'LOCAL DATASET INPUTS'!$B$96)+(AB240/100*'LOCAL DATASET INPUTS'!$B$97)+(AB243/100*'LOCAL DATASET INPUTS'!$B$101*AB268/1000)+(AB245/100*'LOCAL DATASET INPUTS'!$B$87)+(AB247/100*'LOCAL DATASET INPUTS'!$B$90)</f>
        <v>132.70067899920136</v>
      </c>
      <c r="AC250" s="497">
        <f>(AC207/100*'LOCAL DATASET INPUTS'!$B$84)+(AC210/100*'LOCAL DATASET INPUTS'!$B$85)+(AC213/100*'LOCAL DATASET INPUTS'!$B$86)+(AC216/100*'LOCAL DATASET INPUTS'!$B$88)+(AC219/100*'LOCAL DATASET INPUTS'!$B$99*'USER INPUTS'!AC268/1000)+(AC222/100*'LOCAL DATASET INPUTS'!$B$91)+(AC225/100*'LOCAL DATASET INPUTS'!$B$100*AC268/1000)+(AC228/100*'LOCAL DATASET INPUTS'!$B$93)+(AC231/100*'LOCAL DATASET INPUTS'!$B$94)+(AC234/100*'LOCAL DATASET INPUTS'!$B$95)+(AC237/100*'LOCAL DATASET INPUTS'!$B$96)+(AC240/100*'LOCAL DATASET INPUTS'!$B$97)+(AC243/100*'LOCAL DATASET INPUTS'!$B$101*AC268/1000)+(AC245/100*'LOCAL DATASET INPUTS'!$B$87)+(AC247/100*'LOCAL DATASET INPUTS'!$B$90)</f>
        <v>132.70067899920136</v>
      </c>
      <c r="AD250" s="497">
        <f>(AD207/100*'LOCAL DATASET INPUTS'!$B$84)+(AD210/100*'LOCAL DATASET INPUTS'!$B$85)+(AD213/100*'LOCAL DATASET INPUTS'!$B$86)+(AD216/100*'LOCAL DATASET INPUTS'!$B$88)+(AD219/100*'LOCAL DATASET INPUTS'!$B$99*'USER INPUTS'!AD268/1000)+(AD222/100*'LOCAL DATASET INPUTS'!$B$91)+(AD225/100*'LOCAL DATASET INPUTS'!$B$100*AD268/1000)+(AD228/100*'LOCAL DATASET INPUTS'!$B$93)+(AD231/100*'LOCAL DATASET INPUTS'!$B$94)+(AD234/100*'LOCAL DATASET INPUTS'!$B$95)+(AD237/100*'LOCAL DATASET INPUTS'!$B$96)+(AD240/100*'LOCAL DATASET INPUTS'!$B$97)+(AD243/100*'LOCAL DATASET INPUTS'!$B$101*AD268/1000)+(AD245/100*'LOCAL DATASET INPUTS'!$B$87)+(AD247/100*'LOCAL DATASET INPUTS'!$B$90)</f>
        <v>129.12209434557207</v>
      </c>
      <c r="AE250" s="497">
        <f>(AE207/100*'LOCAL DATASET INPUTS'!$B$84)+(AE210/100*'LOCAL DATASET INPUTS'!$B$85)+(AE213/100*'LOCAL DATASET INPUTS'!$B$86)+(AE216/100*'LOCAL DATASET INPUTS'!$B$88)+(AE219/100*'LOCAL DATASET INPUTS'!$B$99*'USER INPUTS'!AE268/1000)+(AE222/100*'LOCAL DATASET INPUTS'!$B$91)+(AE225/100*'LOCAL DATASET INPUTS'!$B$100*AE268/1000)+(AE228/100*'LOCAL DATASET INPUTS'!$B$93)+(AE231/100*'LOCAL DATASET INPUTS'!$B$94)+(AE234/100*'LOCAL DATASET INPUTS'!$B$95)+(AE237/100*'LOCAL DATASET INPUTS'!$B$96)+(AE240/100*'LOCAL DATASET INPUTS'!$B$97)+(AE243/100*'LOCAL DATASET INPUTS'!$B$101*AE268/1000)+(AE245/100*'LOCAL DATASET INPUTS'!$B$87)+(AE247/100*'LOCAL DATASET INPUTS'!$B$90)</f>
        <v>132.70067899920136</v>
      </c>
      <c r="AF250" s="497">
        <f>(AF207/100*'LOCAL DATASET INPUTS'!$B$84)+(AF210/100*'LOCAL DATASET INPUTS'!$B$85)+(AF213/100*'LOCAL DATASET INPUTS'!$B$86)+(AF216/100*'LOCAL DATASET INPUTS'!$B$88)+(AF219/100*'LOCAL DATASET INPUTS'!$B$99*'USER INPUTS'!AF268/1000)+(AF222/100*'LOCAL DATASET INPUTS'!$B$91)+(AF225/100*'LOCAL DATASET INPUTS'!$B$100*AF268/1000)+(AF228/100*'LOCAL DATASET INPUTS'!$B$93)+(AF231/100*'LOCAL DATASET INPUTS'!$B$94)+(AF234/100*'LOCAL DATASET INPUTS'!$B$95)+(AF237/100*'LOCAL DATASET INPUTS'!$B$96)+(AF240/100*'LOCAL DATASET INPUTS'!$B$97)+(AF243/100*'LOCAL DATASET INPUTS'!$B$101*AF268/1000)+(AF245/100*'LOCAL DATASET INPUTS'!$B$87)+(AF247/100*'LOCAL DATASET INPUTS'!$B$90)</f>
        <v>132.70067899920136</v>
      </c>
      <c r="AG250" s="497">
        <f>(AG207/100*'LOCAL DATASET INPUTS'!$B$84)+(AG210/100*'LOCAL DATASET INPUTS'!$B$85)+(AG213/100*'LOCAL DATASET INPUTS'!$B$86)+(AG216/100*'LOCAL DATASET INPUTS'!$B$88)+(AG219/100*'LOCAL DATASET INPUTS'!$B$99*'USER INPUTS'!AG268/1000)+(AG222/100*'LOCAL DATASET INPUTS'!$B$91)+(AG225/100*'LOCAL DATASET INPUTS'!$B$100*AG268/1000)+(AG228/100*'LOCAL DATASET INPUTS'!$B$93)+(AG231/100*'LOCAL DATASET INPUTS'!$B$94)+(AG234/100*'LOCAL DATASET INPUTS'!$B$95)+(AG237/100*'LOCAL DATASET INPUTS'!$B$96)+(AG240/100*'LOCAL DATASET INPUTS'!$B$97)+(AG243/100*'LOCAL DATASET INPUTS'!$B$101*AG268/1000)+(AG245/100*'LOCAL DATASET INPUTS'!$B$87)+(AG247/100*'LOCAL DATASET INPUTS'!$B$90)</f>
        <v>132.70067899920136</v>
      </c>
      <c r="AH250" s="497">
        <f>(AH207/100*'LOCAL DATASET INPUTS'!$B$84)+(AH210/100*'LOCAL DATASET INPUTS'!$B$85)+(AH213/100*'LOCAL DATASET INPUTS'!$B$86)+(AH216/100*'LOCAL DATASET INPUTS'!$B$88)+(AH219/100*'LOCAL DATASET INPUTS'!$B$99*'USER INPUTS'!AH268/1000)+(AH222/100*'LOCAL DATASET INPUTS'!$B$91)+(AH225/100*'LOCAL DATASET INPUTS'!$B$100*AH268/1000)+(AH228/100*'LOCAL DATASET INPUTS'!$B$93)+(AH231/100*'LOCAL DATASET INPUTS'!$B$94)+(AH234/100*'LOCAL DATASET INPUTS'!$B$95)+(AH237/100*'LOCAL DATASET INPUTS'!$B$96)+(AH240/100*'LOCAL DATASET INPUTS'!$B$97)+(AH243/100*'LOCAL DATASET INPUTS'!$B$101*AH268/1000)+(AH245/100*'LOCAL DATASET INPUTS'!$B$87)+(AH247/100*'LOCAL DATASET INPUTS'!$B$90)</f>
        <v>132.70067899920136</v>
      </c>
      <c r="AI250" s="497">
        <f>(AI207/100*'LOCAL DATASET INPUTS'!$B$84)+(AI210/100*'LOCAL DATASET INPUTS'!$B$85)+(AI213/100*'LOCAL DATASET INPUTS'!$B$86)+(AI216/100*'LOCAL DATASET INPUTS'!$B$88)+(AI219/100*'LOCAL DATASET INPUTS'!$B$99*'USER INPUTS'!AI268/1000)+(AI222/100*'LOCAL DATASET INPUTS'!$B$91)+(AI225/100*'LOCAL DATASET INPUTS'!$B$100*AI268/1000)+(AI228/100*'LOCAL DATASET INPUTS'!$B$93)+(AI231/100*'LOCAL DATASET INPUTS'!$B$94)+(AI234/100*'LOCAL DATASET INPUTS'!$B$95)+(AI237/100*'LOCAL DATASET INPUTS'!$B$96)+(AI240/100*'LOCAL DATASET INPUTS'!$B$97)+(AI243/100*'LOCAL DATASET INPUTS'!$B$101*AI268/1000)+(AI245/100*'LOCAL DATASET INPUTS'!$B$87)+(AI247/100*'LOCAL DATASET INPUTS'!$B$90)</f>
        <v>132.70005381217882</v>
      </c>
      <c r="AJ250" s="497">
        <f>(AJ207/100*'LOCAL DATASET INPUTS'!$B$84)+(AJ210/100*'LOCAL DATASET INPUTS'!$B$85)+(AJ213/100*'LOCAL DATASET INPUTS'!$B$86)+(AJ216/100*'LOCAL DATASET INPUTS'!$B$88)+(AJ219/100*'LOCAL DATASET INPUTS'!$B$99*'USER INPUTS'!AJ268/1000)+(AJ222/100*'LOCAL DATASET INPUTS'!$B$91)+(AJ225/100*'LOCAL DATASET INPUTS'!$B$100*AJ268/1000)+(AJ228/100*'LOCAL DATASET INPUTS'!$B$93)+(AJ231/100*'LOCAL DATASET INPUTS'!$B$94)+(AJ234/100*'LOCAL DATASET INPUTS'!$B$95)+(AJ237/100*'LOCAL DATASET INPUTS'!$B$96)+(AJ240/100*'LOCAL DATASET INPUTS'!$B$97)+(AJ243/100*'LOCAL DATASET INPUTS'!$B$101*AJ268/1000)+(AJ245/100*'LOCAL DATASET INPUTS'!$B$87)+(AJ247/100*'LOCAL DATASET INPUTS'!$B$90)</f>
        <v>132.69945238226316</v>
      </c>
      <c r="AK250" s="497">
        <f>(AK207/100*'LOCAL DATASET INPUTS'!$B$84)+(AK210/100*'LOCAL DATASET INPUTS'!$B$85)+(AK213/100*'LOCAL DATASET INPUTS'!$B$86)+(AK216/100*'LOCAL DATASET INPUTS'!$B$88)+(AK219/100*'LOCAL DATASET INPUTS'!$B$99*'USER INPUTS'!AK268/1000)+(AK222/100*'LOCAL DATASET INPUTS'!$B$91)+(AK225/100*'LOCAL DATASET INPUTS'!$B$100*AK268/1000)+(AK228/100*'LOCAL DATASET INPUTS'!$B$93)+(AK231/100*'LOCAL DATASET INPUTS'!$B$94)+(AK234/100*'LOCAL DATASET INPUTS'!$B$95)+(AK237/100*'LOCAL DATASET INPUTS'!$B$96)+(AK240/100*'LOCAL DATASET INPUTS'!$B$97)+(AK243/100*'LOCAL DATASET INPUTS'!$B$101*AK268/1000)+(AK245/100*'LOCAL DATASET INPUTS'!$B$87)+(AK247/100*'LOCAL DATASET INPUTS'!$B$90)</f>
        <v>132.69887380668428</v>
      </c>
      <c r="AL250" s="497">
        <f>(AL207/100*'LOCAL DATASET INPUTS'!$B$84)+(AL210/100*'LOCAL DATASET INPUTS'!$B$85)+(AL213/100*'LOCAL DATASET INPUTS'!$B$86)+(AL216/100*'LOCAL DATASET INPUTS'!$B$88)+(AL219/100*'LOCAL DATASET INPUTS'!$B$99*'USER INPUTS'!AL268/1000)+(AL222/100*'LOCAL DATASET INPUTS'!$B$91)+(AL225/100*'LOCAL DATASET INPUTS'!$B$100*AL268/1000)+(AL228/100*'LOCAL DATASET INPUTS'!$B$93)+(AL231/100*'LOCAL DATASET INPUTS'!$B$94)+(AL234/100*'LOCAL DATASET INPUTS'!$B$95)+(AL237/100*'LOCAL DATASET INPUTS'!$B$96)+(AL240/100*'LOCAL DATASET INPUTS'!$B$97)+(AL243/100*'LOCAL DATASET INPUTS'!$B$101*AL268/1000)+(AL245/100*'LOCAL DATASET INPUTS'!$B$87)+(AL247/100*'LOCAL DATASET INPUTS'!$B$90)</f>
        <v>132.69831721697739</v>
      </c>
      <c r="AM250" s="497">
        <f>(AM207/100*'LOCAL DATASET INPUTS'!$B$84)+(AM210/100*'LOCAL DATASET INPUTS'!$B$85)+(AM213/100*'LOCAL DATASET INPUTS'!$B$86)+(AM216/100*'LOCAL DATASET INPUTS'!$B$88)+(AM219/100*'LOCAL DATASET INPUTS'!$B$99*'USER INPUTS'!AM268/1000)+(AM222/100*'LOCAL DATASET INPUTS'!$B$91)+(AM225/100*'LOCAL DATASET INPUTS'!$B$100*AM268/1000)+(AM228/100*'LOCAL DATASET INPUTS'!$B$93)+(AM231/100*'LOCAL DATASET INPUTS'!$B$94)+(AM234/100*'LOCAL DATASET INPUTS'!$B$95)+(AM237/100*'LOCAL DATASET INPUTS'!$B$96)+(AM240/100*'LOCAL DATASET INPUTS'!$B$97)+(AM243/100*'LOCAL DATASET INPUTS'!$B$101*AM268/1000)+(AM245/100*'LOCAL DATASET INPUTS'!$B$87)+(AM247/100*'LOCAL DATASET INPUTS'!$B$90)</f>
        <v>132.69778177767938</v>
      </c>
      <c r="AN250" s="497">
        <f>(AN207/100*'LOCAL DATASET INPUTS'!$B$84)+(AN210/100*'LOCAL DATASET INPUTS'!$B$85)+(AN213/100*'LOCAL DATASET INPUTS'!$B$86)+(AN216/100*'LOCAL DATASET INPUTS'!$B$88)+(AN219/100*'LOCAL DATASET INPUTS'!$B$99*'USER INPUTS'!AN268/1000)+(AN222/100*'LOCAL DATASET INPUTS'!$B$91)+(AN225/100*'LOCAL DATASET INPUTS'!$B$100*AN268/1000)+(AN228/100*'LOCAL DATASET INPUTS'!$B$93)+(AN231/100*'LOCAL DATASET INPUTS'!$B$94)+(AN234/100*'LOCAL DATASET INPUTS'!$B$95)+(AN237/100*'LOCAL DATASET INPUTS'!$B$96)+(AN240/100*'LOCAL DATASET INPUTS'!$B$97)+(AN243/100*'LOCAL DATASET INPUTS'!$B$101*AN268/1000)+(AN245/100*'LOCAL DATASET INPUTS'!$B$87)+(AN247/100*'LOCAL DATASET INPUTS'!$B$90)</f>
        <v>132.69726668507468</v>
      </c>
      <c r="AO250" s="497">
        <f>(AO207/100*'LOCAL DATASET INPUTS'!$B$84)+(AO210/100*'LOCAL DATASET INPUTS'!$B$85)+(AO213/100*'LOCAL DATASET INPUTS'!$B$86)+(AO216/100*'LOCAL DATASET INPUTS'!$B$88)+(AO219/100*'LOCAL DATASET INPUTS'!$B$99*'USER INPUTS'!AO268/1000)+(AO222/100*'LOCAL DATASET INPUTS'!$B$91)+(AO225/100*'LOCAL DATASET INPUTS'!$B$100*AO268/1000)+(AO228/100*'LOCAL DATASET INPUTS'!$B$93)+(AO231/100*'LOCAL DATASET INPUTS'!$B$94)+(AO234/100*'LOCAL DATASET INPUTS'!$B$95)+(AO237/100*'LOCAL DATASET INPUTS'!$B$96)+(AO240/100*'LOCAL DATASET INPUTS'!$B$97)+(AO243/100*'LOCAL DATASET INPUTS'!$B$101*AO268/1000)+(AO245/100*'LOCAL DATASET INPUTS'!$B$87)+(AO247/100*'LOCAL DATASET INPUTS'!$B$90)</f>
        <v>132.69677116598893</v>
      </c>
      <c r="AP250" s="497">
        <f>(AP207/100*'LOCAL DATASET INPUTS'!$B$84)+(AP210/100*'LOCAL DATASET INPUTS'!$B$85)+(AP213/100*'LOCAL DATASET INPUTS'!$B$86)+(AP216/100*'LOCAL DATASET INPUTS'!$B$88)+(AP219/100*'LOCAL DATASET INPUTS'!$B$99*'USER INPUTS'!AP268/1000)+(AP222/100*'LOCAL DATASET INPUTS'!$B$91)+(AP225/100*'LOCAL DATASET INPUTS'!$B$100*AP268/1000)+(AP228/100*'LOCAL DATASET INPUTS'!$B$93)+(AP231/100*'LOCAL DATASET INPUTS'!$B$94)+(AP234/100*'LOCAL DATASET INPUTS'!$B$95)+(AP237/100*'LOCAL DATASET INPUTS'!$B$96)+(AP240/100*'LOCAL DATASET INPUTS'!$B$97)+(AP243/100*'LOCAL DATASET INPUTS'!$B$101*AP268/1000)+(AP245/100*'LOCAL DATASET INPUTS'!$B$87)+(AP247/100*'LOCAL DATASET INPUTS'!$B$90)</f>
        <v>132.69629447662848</v>
      </c>
      <c r="AQ250" s="497">
        <f>(AQ207/100*'LOCAL DATASET INPUTS'!$B$84)+(AQ210/100*'LOCAL DATASET INPUTS'!$B$85)+(AQ213/100*'LOCAL DATASET INPUTS'!$B$86)+(AQ216/100*'LOCAL DATASET INPUTS'!$B$88)+(AQ219/100*'LOCAL DATASET INPUTS'!$B$99*'USER INPUTS'!AQ268/1000)+(AQ222/100*'LOCAL DATASET INPUTS'!$B$91)+(AQ225/100*'LOCAL DATASET INPUTS'!$B$100*AQ268/1000)+(AQ228/100*'LOCAL DATASET INPUTS'!$B$93)+(AQ231/100*'LOCAL DATASET INPUTS'!$B$94)+(AQ234/100*'LOCAL DATASET INPUTS'!$B$95)+(AQ237/100*'LOCAL DATASET INPUTS'!$B$96)+(AQ240/100*'LOCAL DATASET INPUTS'!$B$97)+(AQ243/100*'LOCAL DATASET INPUTS'!$B$101*AQ268/1000)+(AQ245/100*'LOCAL DATASET INPUTS'!$B$87)+(AQ247/100*'LOCAL DATASET INPUTS'!$B$90)</f>
        <v>132.69583590146374</v>
      </c>
      <c r="AR250" s="497">
        <f>(AR207/100*'LOCAL DATASET INPUTS'!$B$84)+(AR210/100*'LOCAL DATASET INPUTS'!$B$85)+(AR213/100*'LOCAL DATASET INPUTS'!$B$86)+(AR216/100*'LOCAL DATASET INPUTS'!$B$88)+(AR219/100*'LOCAL DATASET INPUTS'!$B$99*'USER INPUTS'!AR268/1000)+(AR222/100*'LOCAL DATASET INPUTS'!$B$91)+(AR225/100*'LOCAL DATASET INPUTS'!$B$100*AR268/1000)+(AR228/100*'LOCAL DATASET INPUTS'!$B$93)+(AR231/100*'LOCAL DATASET INPUTS'!$B$94)+(AR234/100*'LOCAL DATASET INPUTS'!$B$95)+(AR237/100*'LOCAL DATASET INPUTS'!$B$96)+(AR240/100*'LOCAL DATASET INPUTS'!$B$97)+(AR243/100*'LOCAL DATASET INPUTS'!$B$101*AR268/1000)+(AR245/100*'LOCAL DATASET INPUTS'!$B$87)+(AR247/100*'LOCAL DATASET INPUTS'!$B$90)</f>
        <v>132.69539475215521</v>
      </c>
      <c r="AS250" s="497">
        <f>(AS207/100*'LOCAL DATASET INPUTS'!$B$84)+(AS210/100*'LOCAL DATASET INPUTS'!$B$85)+(AS213/100*'LOCAL DATASET INPUTS'!$B$86)+(AS216/100*'LOCAL DATASET INPUTS'!$B$88)+(AS219/100*'LOCAL DATASET INPUTS'!$B$99*'USER INPUTS'!AS268/1000)+(AS222/100*'LOCAL DATASET INPUTS'!$B$91)+(AS225/100*'LOCAL DATASET INPUTS'!$B$100*AS268/1000)+(AS228/100*'LOCAL DATASET INPUTS'!$B$93)+(AS231/100*'LOCAL DATASET INPUTS'!$B$94)+(AS234/100*'LOCAL DATASET INPUTS'!$B$95)+(AS237/100*'LOCAL DATASET INPUTS'!$B$96)+(AS240/100*'LOCAL DATASET INPUTS'!$B$97)+(AS243/100*'LOCAL DATASET INPUTS'!$B$101*AS268/1000)+(AS245/100*'LOCAL DATASET INPUTS'!$B$87)+(AS247/100*'LOCAL DATASET INPUTS'!$B$90)</f>
        <v>132.69497036652044</v>
      </c>
      <c r="AT250" s="7"/>
    </row>
    <row r="251" spans="11:46">
      <c r="O251" s="475" t="str">
        <f>'LOCAL DATASET INPUTS'!A103</f>
        <v>road, gCO2e/vehicle-km</v>
      </c>
      <c r="P251" s="497">
        <f>(P207/100*'LOCAL DATASET INPUTS'!$C$84)+(P210/100*'LOCAL DATASET INPUTS'!$C$85)+(P213/100*'LOCAL DATASET INPUTS'!$C$86)+(P216/100*'LOCAL DATASET INPUTS'!$C$88)+(P219/100*'LOCAL DATASET INPUTS'!$C$99*'USER INPUTS'!P268/1000)+(P222/100*'LOCAL DATASET INPUTS'!$C$91)+(P225/100*'LOCAL DATASET INPUTS'!$C$100*P268/1000)+(P228/100*'LOCAL DATASET INPUTS'!$C$93)+(P231/100*'LOCAL DATASET INPUTS'!$C$94)+(P234/100*'LOCAL DATASET INPUTS'!$C$95)+(P237/100*'LOCAL DATASET INPUTS'!$C$96)+(P240/100*'LOCAL DATASET INPUTS'!$C$97)+(P243/100*'LOCAL DATASET INPUTS'!$C$101*P268/1000)+(P245/100*'LOCAL DATASET INPUTS'!$C$87)+(P247/100*'LOCAL DATASET INPUTS'!$C$90)</f>
        <v>143.52647471760383</v>
      </c>
      <c r="Q251" s="497">
        <f>(Q207/100*'LOCAL DATASET INPUTS'!$C$84)+(Q210/100*'LOCAL DATASET INPUTS'!$C$85)+(Q213/100*'LOCAL DATASET INPUTS'!$C$86)+(Q216/100*'LOCAL DATASET INPUTS'!$C$88)+(Q219/100*'LOCAL DATASET INPUTS'!$C$99*'USER INPUTS'!Q268/1000)+(Q222/100*'LOCAL DATASET INPUTS'!$C$91)+(Q225/100*'LOCAL DATASET INPUTS'!$C$100*Q268/1000)+(Q228/100*'LOCAL DATASET INPUTS'!$C$93)+(Q231/100*'LOCAL DATASET INPUTS'!$C$94)+(Q234/100*'LOCAL DATASET INPUTS'!$C$95)+(Q237/100*'LOCAL DATASET INPUTS'!$C$96)+(Q240/100*'LOCAL DATASET INPUTS'!$C$97)+(Q243/100*'LOCAL DATASET INPUTS'!$C$101*Q268/1000)+(Q245/100*'LOCAL DATASET INPUTS'!$C$87)+(Q247/100*'LOCAL DATASET INPUTS'!$C$90)</f>
        <v>143.52647471760383</v>
      </c>
      <c r="R251" s="497">
        <f>(R207/100*'LOCAL DATASET INPUTS'!$C$84)+(R210/100*'LOCAL DATASET INPUTS'!$C$85)+(R213/100*'LOCAL DATASET INPUTS'!$C$86)+(R216/100*'LOCAL DATASET INPUTS'!$C$88)+(R219/100*'LOCAL DATASET INPUTS'!$C$99*'USER INPUTS'!R268/1000)+(R222/100*'LOCAL DATASET INPUTS'!$C$91)+(R225/100*'LOCAL DATASET INPUTS'!$C$100*R268/1000)+(R228/100*'LOCAL DATASET INPUTS'!$C$93)+(R231/100*'LOCAL DATASET INPUTS'!$C$94)+(R234/100*'LOCAL DATASET INPUTS'!$C$95)+(R237/100*'LOCAL DATASET INPUTS'!$C$96)+(R240/100*'LOCAL DATASET INPUTS'!$C$97)+(R243/100*'LOCAL DATASET INPUTS'!$C$101*R268/1000)+(R245/100*'LOCAL DATASET INPUTS'!$C$87)+(R247/100*'LOCAL DATASET INPUTS'!$C$90)</f>
        <v>143.52647471760383</v>
      </c>
      <c r="S251" s="497">
        <f>(S207/100*'LOCAL DATASET INPUTS'!$C$84)+(S210/100*'LOCAL DATASET INPUTS'!$C$85)+(S213/100*'LOCAL DATASET INPUTS'!$C$86)+(S216/100*'LOCAL DATASET INPUTS'!$C$88)+(S219/100*'LOCAL DATASET INPUTS'!$C$99*'USER INPUTS'!S268/1000)+(S222/100*'LOCAL DATASET INPUTS'!$C$91)+(S225/100*'LOCAL DATASET INPUTS'!$C$100*S268/1000)+(S228/100*'LOCAL DATASET INPUTS'!$C$93)+(S231/100*'LOCAL DATASET INPUTS'!$C$94)+(S234/100*'LOCAL DATASET INPUTS'!$C$95)+(S237/100*'LOCAL DATASET INPUTS'!$C$96)+(S240/100*'LOCAL DATASET INPUTS'!$C$97)+(S243/100*'LOCAL DATASET INPUTS'!$C$101*S268/1000)+(S245/100*'LOCAL DATASET INPUTS'!$C$87)+(S247/100*'LOCAL DATASET INPUTS'!$C$90)</f>
        <v>143.52647471760383</v>
      </c>
      <c r="T251" s="497">
        <f>(T207/100*'LOCAL DATASET INPUTS'!$C$84)+(T210/100*'LOCAL DATASET INPUTS'!$C$85)+(T213/100*'LOCAL DATASET INPUTS'!$C$86)+(T216/100*'LOCAL DATASET INPUTS'!$C$88)+(T219/100*'LOCAL DATASET INPUTS'!$C$99*'USER INPUTS'!T268/1000)+(T222/100*'LOCAL DATASET INPUTS'!$C$91)+(T225/100*'LOCAL DATASET INPUTS'!$C$100*T268/1000)+(T228/100*'LOCAL DATASET INPUTS'!$C$93)+(T231/100*'LOCAL DATASET INPUTS'!$C$94)+(T234/100*'LOCAL DATASET INPUTS'!$C$95)+(T237/100*'LOCAL DATASET INPUTS'!$C$96)+(T240/100*'LOCAL DATASET INPUTS'!$C$97)+(T243/100*'LOCAL DATASET INPUTS'!$C$101*T268/1000)+(T245/100*'LOCAL DATASET INPUTS'!$C$87)+(T247/100*'LOCAL DATASET INPUTS'!$C$90)</f>
        <v>115.19860343566887</v>
      </c>
      <c r="U251" s="497">
        <f>(U207/100*'LOCAL DATASET INPUTS'!$C$84)+(U210/100*'LOCAL DATASET INPUTS'!$C$85)+(U213/100*'LOCAL DATASET INPUTS'!$C$86)+(U216/100*'LOCAL DATASET INPUTS'!$C$88)+(U219/100*'LOCAL DATASET INPUTS'!$C$99*'USER INPUTS'!U268/1000)+(U222/100*'LOCAL DATASET INPUTS'!$C$91)+(U225/100*'LOCAL DATASET INPUTS'!$C$100*U268/1000)+(U228/100*'LOCAL DATASET INPUTS'!$C$93)+(U231/100*'LOCAL DATASET INPUTS'!$C$94)+(U234/100*'LOCAL DATASET INPUTS'!$C$95)+(U237/100*'LOCAL DATASET INPUTS'!$C$96)+(U240/100*'LOCAL DATASET INPUTS'!$C$97)+(U243/100*'LOCAL DATASET INPUTS'!$C$101*U268/1000)+(U245/100*'LOCAL DATASET INPUTS'!$C$87)+(U247/100*'LOCAL DATASET INPUTS'!$C$90)</f>
        <v>115.19860343566887</v>
      </c>
      <c r="V251" s="497">
        <f>(V207/100*'LOCAL DATASET INPUTS'!$C$84)+(V210/100*'LOCAL DATASET INPUTS'!$C$85)+(V213/100*'LOCAL DATASET INPUTS'!$C$86)+(V216/100*'LOCAL DATASET INPUTS'!$C$88)+(V219/100*'LOCAL DATASET INPUTS'!$C$99*'USER INPUTS'!V268/1000)+(V222/100*'LOCAL DATASET INPUTS'!$C$91)+(V225/100*'LOCAL DATASET INPUTS'!$C$100*V268/1000)+(V228/100*'LOCAL DATASET INPUTS'!$C$93)+(V231/100*'LOCAL DATASET INPUTS'!$C$94)+(V234/100*'LOCAL DATASET INPUTS'!$C$95)+(V237/100*'LOCAL DATASET INPUTS'!$C$96)+(V240/100*'LOCAL DATASET INPUTS'!$C$97)+(V243/100*'LOCAL DATASET INPUTS'!$C$101*V268/1000)+(V245/100*'LOCAL DATASET INPUTS'!$C$87)+(V247/100*'LOCAL DATASET INPUTS'!$C$90)</f>
        <v>115.19860343566887</v>
      </c>
      <c r="W251" s="497">
        <f>(W207/100*'LOCAL DATASET INPUTS'!$C$84)+(W210/100*'LOCAL DATASET INPUTS'!$C$85)+(W213/100*'LOCAL DATASET INPUTS'!$C$86)+(W216/100*'LOCAL DATASET INPUTS'!$C$88)+(W219/100*'LOCAL DATASET INPUTS'!$C$99*'USER INPUTS'!W268/1000)+(W222/100*'LOCAL DATASET INPUTS'!$C$91)+(W225/100*'LOCAL DATASET INPUTS'!$C$100*W268/1000)+(W228/100*'LOCAL DATASET INPUTS'!$C$93)+(W231/100*'LOCAL DATASET INPUTS'!$C$94)+(W234/100*'LOCAL DATASET INPUTS'!$C$95)+(W237/100*'LOCAL DATASET INPUTS'!$C$96)+(W240/100*'LOCAL DATASET INPUTS'!$C$97)+(W243/100*'LOCAL DATASET INPUTS'!$C$101*W268/1000)+(W245/100*'LOCAL DATASET INPUTS'!$C$87)+(W247/100*'LOCAL DATASET INPUTS'!$C$90)</f>
        <v>115.19860343566887</v>
      </c>
      <c r="X251" s="497">
        <f>(X207/100*'LOCAL DATASET INPUTS'!$C$84)+(X210/100*'LOCAL DATASET INPUTS'!$C$85)+(X213/100*'LOCAL DATASET INPUTS'!$C$86)+(X216/100*'LOCAL DATASET INPUTS'!$C$88)+(X219/100*'LOCAL DATASET INPUTS'!$C$99*'USER INPUTS'!X268/1000)+(X222/100*'LOCAL DATASET INPUTS'!$C$91)+(X225/100*'LOCAL DATASET INPUTS'!$C$100*X268/1000)+(X228/100*'LOCAL DATASET INPUTS'!$C$93)+(X231/100*'LOCAL DATASET INPUTS'!$C$94)+(X234/100*'LOCAL DATASET INPUTS'!$C$95)+(X237/100*'LOCAL DATASET INPUTS'!$C$96)+(X240/100*'LOCAL DATASET INPUTS'!$C$97)+(X243/100*'LOCAL DATASET INPUTS'!$C$101*X268/1000)+(X245/100*'LOCAL DATASET INPUTS'!$C$87)+(X247/100*'LOCAL DATASET INPUTS'!$C$90)</f>
        <v>115.19860343566887</v>
      </c>
      <c r="Y251" s="497">
        <f>(Y207/100*'LOCAL DATASET INPUTS'!$C$84)+(Y210/100*'LOCAL DATASET INPUTS'!$C$85)+(Y213/100*'LOCAL DATASET INPUTS'!$C$86)+(Y216/100*'LOCAL DATASET INPUTS'!$C$88)+(Y219/100*'LOCAL DATASET INPUTS'!$C$99*'USER INPUTS'!Y268/1000)+(Y222/100*'LOCAL DATASET INPUTS'!$C$91)+(Y225/100*'LOCAL DATASET INPUTS'!$C$100*Y268/1000)+(Y228/100*'LOCAL DATASET INPUTS'!$C$93)+(Y231/100*'LOCAL DATASET INPUTS'!$C$94)+(Y234/100*'LOCAL DATASET INPUTS'!$C$95)+(Y237/100*'LOCAL DATASET INPUTS'!$C$96)+(Y240/100*'LOCAL DATASET INPUTS'!$C$97)+(Y243/100*'LOCAL DATASET INPUTS'!$C$101*Y268/1000)+(Y245/100*'LOCAL DATASET INPUTS'!$C$87)+(Y247/100*'LOCAL DATASET INPUTS'!$C$90)</f>
        <v>115.19860343566887</v>
      </c>
      <c r="Z251" s="497">
        <f>(Z207/100*'LOCAL DATASET INPUTS'!$C$84)+(Z210/100*'LOCAL DATASET INPUTS'!$C$85)+(Z213/100*'LOCAL DATASET INPUTS'!$C$86)+(Z216/100*'LOCAL DATASET INPUTS'!$C$88)+(Z219/100*'LOCAL DATASET INPUTS'!$C$99*'USER INPUTS'!Z268/1000)+(Z222/100*'LOCAL DATASET INPUTS'!$C$91)+(Z225/100*'LOCAL DATASET INPUTS'!$C$100*Z268/1000)+(Z228/100*'LOCAL DATASET INPUTS'!$C$93)+(Z231/100*'LOCAL DATASET INPUTS'!$C$94)+(Z234/100*'LOCAL DATASET INPUTS'!$C$95)+(Z237/100*'LOCAL DATASET INPUTS'!$C$96)+(Z240/100*'LOCAL DATASET INPUTS'!$C$97)+(Z243/100*'LOCAL DATASET INPUTS'!$C$101*Z268/1000)+(Z245/100*'LOCAL DATASET INPUTS'!$C$87)+(Z247/100*'LOCAL DATASET INPUTS'!$C$90)</f>
        <v>115.19860343566887</v>
      </c>
      <c r="AA251" s="497">
        <f>(AA207/100*'LOCAL DATASET INPUTS'!$C$84)+(AA210/100*'LOCAL DATASET INPUTS'!$C$85)+(AA213/100*'LOCAL DATASET INPUTS'!$C$86)+(AA216/100*'LOCAL DATASET INPUTS'!$C$88)+(AA219/100*'LOCAL DATASET INPUTS'!$C$99*'USER INPUTS'!AA268/1000)+(AA222/100*'LOCAL DATASET INPUTS'!$C$91)+(AA225/100*'LOCAL DATASET INPUTS'!$C$100*AA268/1000)+(AA228/100*'LOCAL DATASET INPUTS'!$C$93)+(AA231/100*'LOCAL DATASET INPUTS'!$C$94)+(AA234/100*'LOCAL DATASET INPUTS'!$C$95)+(AA237/100*'LOCAL DATASET INPUTS'!$C$96)+(AA240/100*'LOCAL DATASET INPUTS'!$C$97)+(AA243/100*'LOCAL DATASET INPUTS'!$C$101*AA268/1000)+(AA245/100*'LOCAL DATASET INPUTS'!$C$87)+(AA247/100*'LOCAL DATASET INPUTS'!$C$90)</f>
        <v>115.19860343566887</v>
      </c>
      <c r="AB251" s="497">
        <f>(AB207/100*'LOCAL DATASET INPUTS'!$C$84)+(AB210/100*'LOCAL DATASET INPUTS'!$C$85)+(AB213/100*'LOCAL DATASET INPUTS'!$C$86)+(AB216/100*'LOCAL DATASET INPUTS'!$C$88)+(AB219/100*'LOCAL DATASET INPUTS'!$C$99*'USER INPUTS'!AB268/1000)+(AB222/100*'LOCAL DATASET INPUTS'!$C$91)+(AB225/100*'LOCAL DATASET INPUTS'!$C$100*AB268/1000)+(AB228/100*'LOCAL DATASET INPUTS'!$C$93)+(AB231/100*'LOCAL DATASET INPUTS'!$C$94)+(AB234/100*'LOCAL DATASET INPUTS'!$C$95)+(AB237/100*'LOCAL DATASET INPUTS'!$C$96)+(AB240/100*'LOCAL DATASET INPUTS'!$C$97)+(AB243/100*'LOCAL DATASET INPUTS'!$C$101*AB268/1000)+(AB245/100*'LOCAL DATASET INPUTS'!$C$87)+(AB247/100*'LOCAL DATASET INPUTS'!$C$90)</f>
        <v>115.19860343566887</v>
      </c>
      <c r="AC251" s="497">
        <f>(AC207/100*'LOCAL DATASET INPUTS'!$C$84)+(AC210/100*'LOCAL DATASET INPUTS'!$C$85)+(AC213/100*'LOCAL DATASET INPUTS'!$C$86)+(AC216/100*'LOCAL DATASET INPUTS'!$C$88)+(AC219/100*'LOCAL DATASET INPUTS'!$C$99*'USER INPUTS'!AC268/1000)+(AC222/100*'LOCAL DATASET INPUTS'!$C$91)+(AC225/100*'LOCAL DATASET INPUTS'!$C$100*AC268/1000)+(AC228/100*'LOCAL DATASET INPUTS'!$C$93)+(AC231/100*'LOCAL DATASET INPUTS'!$C$94)+(AC234/100*'LOCAL DATASET INPUTS'!$C$95)+(AC237/100*'LOCAL DATASET INPUTS'!$C$96)+(AC240/100*'LOCAL DATASET INPUTS'!$C$97)+(AC243/100*'LOCAL DATASET INPUTS'!$C$101*AC268/1000)+(AC245/100*'LOCAL DATASET INPUTS'!$C$87)+(AC247/100*'LOCAL DATASET INPUTS'!$C$90)</f>
        <v>115.19860343566887</v>
      </c>
      <c r="AD251" s="497">
        <f>(AD207/100*'LOCAL DATASET INPUTS'!$C$84)+(AD210/100*'LOCAL DATASET INPUTS'!$C$85)+(AD213/100*'LOCAL DATASET INPUTS'!$C$86)+(AD216/100*'LOCAL DATASET INPUTS'!$C$88)+(AD219/100*'LOCAL DATASET INPUTS'!$C$99*'USER INPUTS'!AD268/1000)+(AD222/100*'LOCAL DATASET INPUTS'!$C$91)+(AD225/100*'LOCAL DATASET INPUTS'!$C$100*AD268/1000)+(AD228/100*'LOCAL DATASET INPUTS'!$C$93)+(AD231/100*'LOCAL DATASET INPUTS'!$C$94)+(AD234/100*'LOCAL DATASET INPUTS'!$C$95)+(AD237/100*'LOCAL DATASET INPUTS'!$C$96)+(AD240/100*'LOCAL DATASET INPUTS'!$C$97)+(AD243/100*'LOCAL DATASET INPUTS'!$C$101*AD268/1000)+(AD245/100*'LOCAL DATASET INPUTS'!$C$87)+(AD247/100*'LOCAL DATASET INPUTS'!$C$90)</f>
        <v>113.930978651754</v>
      </c>
      <c r="AE251" s="497">
        <f>(AE207/100*'LOCAL DATASET INPUTS'!$C$84)+(AE210/100*'LOCAL DATASET INPUTS'!$C$85)+(AE213/100*'LOCAL DATASET INPUTS'!$C$86)+(AE216/100*'LOCAL DATASET INPUTS'!$C$88)+(AE219/100*'LOCAL DATASET INPUTS'!$C$99*'USER INPUTS'!AE268/1000)+(AE222/100*'LOCAL DATASET INPUTS'!$C$91)+(AE225/100*'LOCAL DATASET INPUTS'!$C$100*AE268/1000)+(AE228/100*'LOCAL DATASET INPUTS'!$C$93)+(AE231/100*'LOCAL DATASET INPUTS'!$C$94)+(AE234/100*'LOCAL DATASET INPUTS'!$C$95)+(AE237/100*'LOCAL DATASET INPUTS'!$C$96)+(AE240/100*'LOCAL DATASET INPUTS'!$C$97)+(AE243/100*'LOCAL DATASET INPUTS'!$C$101*AE268/1000)+(AE245/100*'LOCAL DATASET INPUTS'!$C$87)+(AE247/100*'LOCAL DATASET INPUTS'!$C$90)</f>
        <v>115.19860343566887</v>
      </c>
      <c r="AF251" s="497">
        <f>(AF207/100*'LOCAL DATASET INPUTS'!$C$84)+(AF210/100*'LOCAL DATASET INPUTS'!$C$85)+(AF213/100*'LOCAL DATASET INPUTS'!$C$86)+(AF216/100*'LOCAL DATASET INPUTS'!$C$88)+(AF219/100*'LOCAL DATASET INPUTS'!$C$99*'USER INPUTS'!AF268/1000)+(AF222/100*'LOCAL DATASET INPUTS'!$C$91)+(AF225/100*'LOCAL DATASET INPUTS'!$C$100*AF268/1000)+(AF228/100*'LOCAL DATASET INPUTS'!$C$93)+(AF231/100*'LOCAL DATASET INPUTS'!$C$94)+(AF234/100*'LOCAL DATASET INPUTS'!$C$95)+(AF237/100*'LOCAL DATASET INPUTS'!$C$96)+(AF240/100*'LOCAL DATASET INPUTS'!$C$97)+(AF243/100*'LOCAL DATASET INPUTS'!$C$101*AF268/1000)+(AF245/100*'LOCAL DATASET INPUTS'!$C$87)+(AF247/100*'LOCAL DATASET INPUTS'!$C$90)</f>
        <v>115.19860343566887</v>
      </c>
      <c r="AG251" s="497">
        <f>(AG207/100*'LOCAL DATASET INPUTS'!$C$84)+(AG210/100*'LOCAL DATASET INPUTS'!$C$85)+(AG213/100*'LOCAL DATASET INPUTS'!$C$86)+(AG216/100*'LOCAL DATASET INPUTS'!$C$88)+(AG219/100*'LOCAL DATASET INPUTS'!$C$99*'USER INPUTS'!AG268/1000)+(AG222/100*'LOCAL DATASET INPUTS'!$C$91)+(AG225/100*'LOCAL DATASET INPUTS'!$C$100*AG268/1000)+(AG228/100*'LOCAL DATASET INPUTS'!$C$93)+(AG231/100*'LOCAL DATASET INPUTS'!$C$94)+(AG234/100*'LOCAL DATASET INPUTS'!$C$95)+(AG237/100*'LOCAL DATASET INPUTS'!$C$96)+(AG240/100*'LOCAL DATASET INPUTS'!$C$97)+(AG243/100*'LOCAL DATASET INPUTS'!$C$101*AG268/1000)+(AG245/100*'LOCAL DATASET INPUTS'!$C$87)+(AG247/100*'LOCAL DATASET INPUTS'!$C$90)</f>
        <v>115.19860343566887</v>
      </c>
      <c r="AH251" s="497">
        <f>(AH207/100*'LOCAL DATASET INPUTS'!$C$84)+(AH210/100*'LOCAL DATASET INPUTS'!$C$85)+(AH213/100*'LOCAL DATASET INPUTS'!$C$86)+(AH216/100*'LOCAL DATASET INPUTS'!$C$88)+(AH219/100*'LOCAL DATASET INPUTS'!$C$99*'USER INPUTS'!AH268/1000)+(AH222/100*'LOCAL DATASET INPUTS'!$C$91)+(AH225/100*'LOCAL DATASET INPUTS'!$C$100*AH268/1000)+(AH228/100*'LOCAL DATASET INPUTS'!$C$93)+(AH231/100*'LOCAL DATASET INPUTS'!$C$94)+(AH234/100*'LOCAL DATASET INPUTS'!$C$95)+(AH237/100*'LOCAL DATASET INPUTS'!$C$96)+(AH240/100*'LOCAL DATASET INPUTS'!$C$97)+(AH243/100*'LOCAL DATASET INPUTS'!$C$101*AH268/1000)+(AH245/100*'LOCAL DATASET INPUTS'!$C$87)+(AH247/100*'LOCAL DATASET INPUTS'!$C$90)</f>
        <v>115.19860343566887</v>
      </c>
      <c r="AI251" s="497">
        <f>(AI207/100*'LOCAL DATASET INPUTS'!$C$84)+(AI210/100*'LOCAL DATASET INPUTS'!$C$85)+(AI213/100*'LOCAL DATASET INPUTS'!$C$86)+(AI216/100*'LOCAL DATASET INPUTS'!$C$88)+(AI219/100*'LOCAL DATASET INPUTS'!$C$99*'USER INPUTS'!AI268/1000)+(AI222/100*'LOCAL DATASET INPUTS'!$C$91)+(AI225/100*'LOCAL DATASET INPUTS'!$C$100*AI268/1000)+(AI228/100*'LOCAL DATASET INPUTS'!$C$93)+(AI231/100*'LOCAL DATASET INPUTS'!$C$94)+(AI234/100*'LOCAL DATASET INPUTS'!$C$95)+(AI237/100*'LOCAL DATASET INPUTS'!$C$96)+(AI240/100*'LOCAL DATASET INPUTS'!$C$97)+(AI243/100*'LOCAL DATASET INPUTS'!$C$101*AI268/1000)+(AI245/100*'LOCAL DATASET INPUTS'!$C$87)+(AI247/100*'LOCAL DATASET INPUTS'!$C$90)</f>
        <v>115.19795185982466</v>
      </c>
      <c r="AJ251" s="497">
        <f>(AJ207/100*'LOCAL DATASET INPUTS'!$C$84)+(AJ210/100*'LOCAL DATASET INPUTS'!$C$85)+(AJ213/100*'LOCAL DATASET INPUTS'!$C$86)+(AJ216/100*'LOCAL DATASET INPUTS'!$C$88)+(AJ219/100*'LOCAL DATASET INPUTS'!$C$99*'USER INPUTS'!AJ268/1000)+(AJ222/100*'LOCAL DATASET INPUTS'!$C$91)+(AJ225/100*'LOCAL DATASET INPUTS'!$C$100*AJ268/1000)+(AJ228/100*'LOCAL DATASET INPUTS'!$C$93)+(AJ231/100*'LOCAL DATASET INPUTS'!$C$94)+(AJ234/100*'LOCAL DATASET INPUTS'!$C$95)+(AJ237/100*'LOCAL DATASET INPUTS'!$C$96)+(AJ240/100*'LOCAL DATASET INPUTS'!$C$97)+(AJ243/100*'LOCAL DATASET INPUTS'!$C$101*AJ268/1000)+(AJ245/100*'LOCAL DATASET INPUTS'!$C$87)+(AJ247/100*'LOCAL DATASET INPUTS'!$C$90)</f>
        <v>115.19732504386252</v>
      </c>
      <c r="AK251" s="497">
        <f>(AK207/100*'LOCAL DATASET INPUTS'!$C$84)+(AK210/100*'LOCAL DATASET INPUTS'!$C$85)+(AK213/100*'LOCAL DATASET INPUTS'!$C$86)+(AK216/100*'LOCAL DATASET INPUTS'!$C$88)+(AK219/100*'LOCAL DATASET INPUTS'!$C$99*'USER INPUTS'!AK268/1000)+(AK222/100*'LOCAL DATASET INPUTS'!$C$91)+(AK225/100*'LOCAL DATASET INPUTS'!$C$100*AK268/1000)+(AK228/100*'LOCAL DATASET INPUTS'!$C$93)+(AK231/100*'LOCAL DATASET INPUTS'!$C$94)+(AK234/100*'LOCAL DATASET INPUTS'!$C$95)+(AK237/100*'LOCAL DATASET INPUTS'!$C$96)+(AK240/100*'LOCAL DATASET INPUTS'!$C$97)+(AK243/100*'LOCAL DATASET INPUTS'!$C$101*AK268/1000)+(AK245/100*'LOCAL DATASET INPUTS'!$C$87)+(AK247/100*'LOCAL DATASET INPUTS'!$C$90)</f>
        <v>115.19672204690693</v>
      </c>
      <c r="AL251" s="497">
        <f>(AL207/100*'LOCAL DATASET INPUTS'!$C$84)+(AL210/100*'LOCAL DATASET INPUTS'!$C$85)+(AL213/100*'LOCAL DATASET INPUTS'!$C$86)+(AL216/100*'LOCAL DATASET INPUTS'!$C$88)+(AL219/100*'LOCAL DATASET INPUTS'!$C$99*'USER INPUTS'!AL268/1000)+(AL222/100*'LOCAL DATASET INPUTS'!$C$91)+(AL225/100*'LOCAL DATASET INPUTS'!$C$100*AL268/1000)+(AL228/100*'LOCAL DATASET INPUTS'!$C$93)+(AL231/100*'LOCAL DATASET INPUTS'!$C$94)+(AL234/100*'LOCAL DATASET INPUTS'!$C$95)+(AL237/100*'LOCAL DATASET INPUTS'!$C$96)+(AL240/100*'LOCAL DATASET INPUTS'!$C$97)+(AL243/100*'LOCAL DATASET INPUTS'!$C$101*AL268/1000)+(AL245/100*'LOCAL DATASET INPUTS'!$C$87)+(AL247/100*'LOCAL DATASET INPUTS'!$C$90)</f>
        <v>115.19614196383566</v>
      </c>
      <c r="AM251" s="497">
        <f>(AM207/100*'LOCAL DATASET INPUTS'!$C$84)+(AM210/100*'LOCAL DATASET INPUTS'!$C$85)+(AM213/100*'LOCAL DATASET INPUTS'!$C$86)+(AM216/100*'LOCAL DATASET INPUTS'!$C$88)+(AM219/100*'LOCAL DATASET INPUTS'!$C$99*'USER INPUTS'!AM268/1000)+(AM222/100*'LOCAL DATASET INPUTS'!$C$91)+(AM225/100*'LOCAL DATASET INPUTS'!$C$100*AM268/1000)+(AM228/100*'LOCAL DATASET INPUTS'!$C$93)+(AM231/100*'LOCAL DATASET INPUTS'!$C$94)+(AM234/100*'LOCAL DATASET INPUTS'!$C$95)+(AM237/100*'LOCAL DATASET INPUTS'!$C$96)+(AM240/100*'LOCAL DATASET INPUTS'!$C$97)+(AM243/100*'LOCAL DATASET INPUTS'!$C$101*AM268/1000)+(AM245/100*'LOCAL DATASET INPUTS'!$C$87)+(AM247/100*'LOCAL DATASET INPUTS'!$C$90)</f>
        <v>115.19558392392111</v>
      </c>
      <c r="AN251" s="497">
        <f>(AN207/100*'LOCAL DATASET INPUTS'!$C$84)+(AN210/100*'LOCAL DATASET INPUTS'!$C$85)+(AN213/100*'LOCAL DATASET INPUTS'!$C$86)+(AN216/100*'LOCAL DATASET INPUTS'!$C$88)+(AN219/100*'LOCAL DATASET INPUTS'!$C$99*'USER INPUTS'!AN268/1000)+(AN222/100*'LOCAL DATASET INPUTS'!$C$91)+(AN225/100*'LOCAL DATASET INPUTS'!$C$100*AN268/1000)+(AN228/100*'LOCAL DATASET INPUTS'!$C$93)+(AN231/100*'LOCAL DATASET INPUTS'!$C$94)+(AN234/100*'LOCAL DATASET INPUTS'!$C$95)+(AN237/100*'LOCAL DATASET INPUTS'!$C$96)+(AN240/100*'LOCAL DATASET INPUTS'!$C$97)+(AN243/100*'LOCAL DATASET INPUTS'!$C$101*AN268/1000)+(AN245/100*'LOCAL DATASET INPUTS'!$C$87)+(AN247/100*'LOCAL DATASET INPUTS'!$C$90)</f>
        <v>115.19504708952329</v>
      </c>
      <c r="AO251" s="497">
        <f>(AO207/100*'LOCAL DATASET INPUTS'!$C$84)+(AO210/100*'LOCAL DATASET INPUTS'!$C$85)+(AO213/100*'LOCAL DATASET INPUTS'!$C$86)+(AO216/100*'LOCAL DATASET INPUTS'!$C$88)+(AO219/100*'LOCAL DATASET INPUTS'!$C$99*'USER INPUTS'!AO268/1000)+(AO222/100*'LOCAL DATASET INPUTS'!$C$91)+(AO225/100*'LOCAL DATASET INPUTS'!$C$100*AO268/1000)+(AO228/100*'LOCAL DATASET INPUTS'!$C$93)+(AO231/100*'LOCAL DATASET INPUTS'!$C$94)+(AO234/100*'LOCAL DATASET INPUTS'!$C$95)+(AO237/100*'LOCAL DATASET INPUTS'!$C$96)+(AO240/100*'LOCAL DATASET INPUTS'!$C$97)+(AO243/100*'LOCAL DATASET INPUTS'!$C$101*AO268/1000)+(AO245/100*'LOCAL DATASET INPUTS'!$C$87)+(AO247/100*'LOCAL DATASET INPUTS'!$C$90)</f>
        <v>115.19453065483259</v>
      </c>
      <c r="AP251" s="497">
        <f>(AP207/100*'LOCAL DATASET INPUTS'!$C$84)+(AP210/100*'LOCAL DATASET INPUTS'!$C$85)+(AP213/100*'LOCAL DATASET INPUTS'!$C$86)+(AP216/100*'LOCAL DATASET INPUTS'!$C$88)+(AP219/100*'LOCAL DATASET INPUTS'!$C$99*'USER INPUTS'!AP268/1000)+(AP222/100*'LOCAL DATASET INPUTS'!$C$91)+(AP225/100*'LOCAL DATASET INPUTS'!$C$100*AP268/1000)+(AP228/100*'LOCAL DATASET INPUTS'!$C$93)+(AP231/100*'LOCAL DATASET INPUTS'!$C$94)+(AP234/100*'LOCAL DATASET INPUTS'!$C$95)+(AP237/100*'LOCAL DATASET INPUTS'!$C$96)+(AP240/100*'LOCAL DATASET INPUTS'!$C$97)+(AP243/100*'LOCAL DATASET INPUTS'!$C$101*AP268/1000)+(AP245/100*'LOCAL DATASET INPUTS'!$C$87)+(AP247/100*'LOCAL DATASET INPUTS'!$C$90)</f>
        <v>115.19403384466015</v>
      </c>
      <c r="AQ251" s="497">
        <f>(AQ207/100*'LOCAL DATASET INPUTS'!$C$84)+(AQ210/100*'LOCAL DATASET INPUTS'!$C$85)+(AQ213/100*'LOCAL DATASET INPUTS'!$C$86)+(AQ216/100*'LOCAL DATASET INPUTS'!$C$88)+(AQ219/100*'LOCAL DATASET INPUTS'!$C$99*'USER INPUTS'!AQ268/1000)+(AQ222/100*'LOCAL DATASET INPUTS'!$C$91)+(AQ225/100*'LOCAL DATASET INPUTS'!$C$100*AQ268/1000)+(AQ228/100*'LOCAL DATASET INPUTS'!$C$93)+(AQ231/100*'LOCAL DATASET INPUTS'!$C$94)+(AQ234/100*'LOCAL DATASET INPUTS'!$C$95)+(AQ237/100*'LOCAL DATASET INPUTS'!$C$96)+(AQ240/100*'LOCAL DATASET INPUTS'!$C$97)+(AQ243/100*'LOCAL DATASET INPUTS'!$C$101*AQ268/1000)+(AQ245/100*'LOCAL DATASET INPUTS'!$C$87)+(AQ247/100*'LOCAL DATASET INPUTS'!$C$90)</f>
        <v>115.19355591327425</v>
      </c>
      <c r="AR251" s="497">
        <f>(AR207/100*'LOCAL DATASET INPUTS'!$C$84)+(AR210/100*'LOCAL DATASET INPUTS'!$C$85)+(AR213/100*'LOCAL DATASET INPUTS'!$C$86)+(AR216/100*'LOCAL DATASET INPUTS'!$C$88)+(AR219/100*'LOCAL DATASET INPUTS'!$C$99*'USER INPUTS'!AR268/1000)+(AR222/100*'LOCAL DATASET INPUTS'!$C$91)+(AR225/100*'LOCAL DATASET INPUTS'!$C$100*AR268/1000)+(AR228/100*'LOCAL DATASET INPUTS'!$C$93)+(AR231/100*'LOCAL DATASET INPUTS'!$C$94)+(AR234/100*'LOCAL DATASET INPUTS'!$C$95)+(AR237/100*'LOCAL DATASET INPUTS'!$C$96)+(AR240/100*'LOCAL DATASET INPUTS'!$C$97)+(AR243/100*'LOCAL DATASET INPUTS'!$C$101*AR268/1000)+(AR245/100*'LOCAL DATASET INPUTS'!$C$87)+(AR247/100*'LOCAL DATASET INPUTS'!$C$90)</f>
        <v>115.19309614328102</v>
      </c>
      <c r="AS251" s="497">
        <f>(AS207/100*'LOCAL DATASET INPUTS'!$C$84)+(AS210/100*'LOCAL DATASET INPUTS'!$C$85)+(AS213/100*'LOCAL DATASET INPUTS'!$C$86)+(AS216/100*'LOCAL DATASET INPUTS'!$C$88)+(AS219/100*'LOCAL DATASET INPUTS'!$C$99*'USER INPUTS'!AS268/1000)+(AS222/100*'LOCAL DATASET INPUTS'!$C$91)+(AS225/100*'LOCAL DATASET INPUTS'!$C$100*AS268/1000)+(AS228/100*'LOCAL DATASET INPUTS'!$C$93)+(AS231/100*'LOCAL DATASET INPUTS'!$C$94)+(AS234/100*'LOCAL DATASET INPUTS'!$C$95)+(AS237/100*'LOCAL DATASET INPUTS'!$C$96)+(AS240/100*'LOCAL DATASET INPUTS'!$C$97)+(AS243/100*'LOCAL DATASET INPUTS'!$C$101*AS268/1000)+(AS245/100*'LOCAL DATASET INPUTS'!$C$87)+(AS247/100*'LOCAL DATASET INPUTS'!$C$90)</f>
        <v>115.19265384454755</v>
      </c>
    </row>
    <row r="252" spans="11:46">
      <c r="O252" s="494" t="str">
        <f>'LOCAL DATASET INPUTS'!A104</f>
        <v>street, gCO2e/vehicle-km</v>
      </c>
      <c r="P252" s="498">
        <f>(P207/100*'LOCAL DATASET INPUTS'!$D$84)+(P210/100*'LOCAL DATASET INPUTS'!$D$85)+(P213/100*'LOCAL DATASET INPUTS'!$D$86)+(P216/100*'LOCAL DATASET INPUTS'!$D$88)+(P219/100*'LOCAL DATASET INPUTS'!$D$99*'USER INPUTS'!P268/1000)+(P222/100*'LOCAL DATASET INPUTS'!$D$91)+(P225/100*'LOCAL DATASET INPUTS'!$D$100*P268/1000)+(P228/100*'LOCAL DATASET INPUTS'!$D$93)+(P231/100*'LOCAL DATASET INPUTS'!$D$94)+(P234/100*'LOCAL DATASET INPUTS'!$D$95)+(P237/100*'LOCAL DATASET INPUTS'!$D$96)+(P240/100*'LOCAL DATASET INPUTS'!$D$97)+(P243/100*'LOCAL DATASET INPUTS'!$D$101*P268/1000)+(P245/100*'LOCAL DATASET INPUTS'!$D$87)+(P247/100*'LOCAL DATASET INPUTS'!$D$90)</f>
        <v>223.76313341403048</v>
      </c>
      <c r="Q252" s="498">
        <f>(Q207/100*'LOCAL DATASET INPUTS'!$D$84)+(Q210/100*'LOCAL DATASET INPUTS'!$D$85)+(Q213/100*'LOCAL DATASET INPUTS'!$D$86)+(Q216/100*'LOCAL DATASET INPUTS'!$D$88)+(Q219/100*'LOCAL DATASET INPUTS'!$D$99*'USER INPUTS'!Q268/1000)+(Q222/100*'LOCAL DATASET INPUTS'!$D$91)+(Q225/100*'LOCAL DATASET INPUTS'!$D$100*Q268/1000)+(Q228/100*'LOCAL DATASET INPUTS'!$D$93)+(Q231/100*'LOCAL DATASET INPUTS'!$D$94)+(Q234/100*'LOCAL DATASET INPUTS'!$D$95)+(Q237/100*'LOCAL DATASET INPUTS'!$D$96)+(Q240/100*'LOCAL DATASET INPUTS'!$D$97)+(Q243/100*'LOCAL DATASET INPUTS'!$D$101*Q268/1000)+(Q245/100*'LOCAL DATASET INPUTS'!$D$87)+(Q247/100*'LOCAL DATASET INPUTS'!$D$90)</f>
        <v>223.76313341403048</v>
      </c>
      <c r="R252" s="498">
        <f>(R207/100*'LOCAL DATASET INPUTS'!$D$84)+(R210/100*'LOCAL DATASET INPUTS'!$D$85)+(R213/100*'LOCAL DATASET INPUTS'!$D$86)+(R216/100*'LOCAL DATASET INPUTS'!$D$88)+(R219/100*'LOCAL DATASET INPUTS'!$D$99*'USER INPUTS'!R268/1000)+(R222/100*'LOCAL DATASET INPUTS'!$D$91)+(R225/100*'LOCAL DATASET INPUTS'!$D$100*R268/1000)+(R228/100*'LOCAL DATASET INPUTS'!$D$93)+(R231/100*'LOCAL DATASET INPUTS'!$D$94)+(R234/100*'LOCAL DATASET INPUTS'!$D$95)+(R237/100*'LOCAL DATASET INPUTS'!$D$96)+(R240/100*'LOCAL DATASET INPUTS'!$D$97)+(R243/100*'LOCAL DATASET INPUTS'!$D$101*R268/1000)+(R245/100*'LOCAL DATASET INPUTS'!$D$87)+(R247/100*'LOCAL DATASET INPUTS'!$D$90)</f>
        <v>223.76313341403048</v>
      </c>
      <c r="S252" s="498">
        <f>(S207/100*'LOCAL DATASET INPUTS'!$D$84)+(S210/100*'LOCAL DATASET INPUTS'!$D$85)+(S213/100*'LOCAL DATASET INPUTS'!$D$86)+(S216/100*'LOCAL DATASET INPUTS'!$D$88)+(S219/100*'LOCAL DATASET INPUTS'!$D$99*'USER INPUTS'!S268/1000)+(S222/100*'LOCAL DATASET INPUTS'!$D$91)+(S225/100*'LOCAL DATASET INPUTS'!$D$100*S268/1000)+(S228/100*'LOCAL DATASET INPUTS'!$D$93)+(S231/100*'LOCAL DATASET INPUTS'!$D$94)+(S234/100*'LOCAL DATASET INPUTS'!$D$95)+(S237/100*'LOCAL DATASET INPUTS'!$D$96)+(S240/100*'LOCAL DATASET INPUTS'!$D$97)+(S243/100*'LOCAL DATASET INPUTS'!$D$101*S268/1000)+(S245/100*'LOCAL DATASET INPUTS'!$D$87)+(S247/100*'LOCAL DATASET INPUTS'!$D$90)</f>
        <v>223.76313341403048</v>
      </c>
      <c r="T252" s="498">
        <f>(T207/100*'LOCAL DATASET INPUTS'!$D$84)+(T210/100*'LOCAL DATASET INPUTS'!$D$85)+(T213/100*'LOCAL DATASET INPUTS'!$D$86)+(T216/100*'LOCAL DATASET INPUTS'!$D$88)+(T219/100*'LOCAL DATASET INPUTS'!$D$99*'USER INPUTS'!T268/1000)+(T222/100*'LOCAL DATASET INPUTS'!$D$91)+(T225/100*'LOCAL DATASET INPUTS'!$D$100*T268/1000)+(T228/100*'LOCAL DATASET INPUTS'!$D$93)+(T231/100*'LOCAL DATASET INPUTS'!$D$94)+(T234/100*'LOCAL DATASET INPUTS'!$D$95)+(T237/100*'LOCAL DATASET INPUTS'!$D$96)+(T240/100*'LOCAL DATASET INPUTS'!$D$97)+(T243/100*'LOCAL DATASET INPUTS'!$D$101*T268/1000)+(T245/100*'LOCAL DATASET INPUTS'!$D$87)+(T247/100*'LOCAL DATASET INPUTS'!$D$90)</f>
        <v>179.76433194178617</v>
      </c>
      <c r="U252" s="498">
        <f>(U207/100*'LOCAL DATASET INPUTS'!$D$84)+(U210/100*'LOCAL DATASET INPUTS'!$D$85)+(U213/100*'LOCAL DATASET INPUTS'!$D$86)+(U216/100*'LOCAL DATASET INPUTS'!$D$88)+(U219/100*'LOCAL DATASET INPUTS'!$D$99*'USER INPUTS'!U268/1000)+(U222/100*'LOCAL DATASET INPUTS'!$D$91)+(U225/100*'LOCAL DATASET INPUTS'!$D$100*U268/1000)+(U228/100*'LOCAL DATASET INPUTS'!$D$93)+(U231/100*'LOCAL DATASET INPUTS'!$D$94)+(U234/100*'LOCAL DATASET INPUTS'!$D$95)+(U237/100*'LOCAL DATASET INPUTS'!$D$96)+(U240/100*'LOCAL DATASET INPUTS'!$D$97)+(U243/100*'LOCAL DATASET INPUTS'!$D$101*U268/1000)+(U245/100*'LOCAL DATASET INPUTS'!$D$87)+(U247/100*'LOCAL DATASET INPUTS'!$D$90)</f>
        <v>179.76433194178617</v>
      </c>
      <c r="V252" s="498">
        <f>(V207/100*'LOCAL DATASET INPUTS'!$D$84)+(V210/100*'LOCAL DATASET INPUTS'!$D$85)+(V213/100*'LOCAL DATASET INPUTS'!$D$86)+(V216/100*'LOCAL DATASET INPUTS'!$D$88)+(V219/100*'LOCAL DATASET INPUTS'!$D$99*'USER INPUTS'!V268/1000)+(V222/100*'LOCAL DATASET INPUTS'!$D$91)+(V225/100*'LOCAL DATASET INPUTS'!$D$100*V268/1000)+(V228/100*'LOCAL DATASET INPUTS'!$D$93)+(V231/100*'LOCAL DATASET INPUTS'!$D$94)+(V234/100*'LOCAL DATASET INPUTS'!$D$95)+(V237/100*'LOCAL DATASET INPUTS'!$D$96)+(V240/100*'LOCAL DATASET INPUTS'!$D$97)+(V243/100*'LOCAL DATASET INPUTS'!$D$101*V268/1000)+(V245/100*'LOCAL DATASET INPUTS'!$D$87)+(V247/100*'LOCAL DATASET INPUTS'!$D$90)</f>
        <v>179.76433194178617</v>
      </c>
      <c r="W252" s="498">
        <f>(W207/100*'LOCAL DATASET INPUTS'!$D$84)+(W210/100*'LOCAL DATASET INPUTS'!$D$85)+(W213/100*'LOCAL DATASET INPUTS'!$D$86)+(W216/100*'LOCAL DATASET INPUTS'!$D$88)+(W219/100*'LOCAL DATASET INPUTS'!$D$99*'USER INPUTS'!W268/1000)+(W222/100*'LOCAL DATASET INPUTS'!$D$91)+(W225/100*'LOCAL DATASET INPUTS'!$D$100*W268/1000)+(W228/100*'LOCAL DATASET INPUTS'!$D$93)+(W231/100*'LOCAL DATASET INPUTS'!$D$94)+(W234/100*'LOCAL DATASET INPUTS'!$D$95)+(W237/100*'LOCAL DATASET INPUTS'!$D$96)+(W240/100*'LOCAL DATASET INPUTS'!$D$97)+(W243/100*'LOCAL DATASET INPUTS'!$D$101*W268/1000)+(W245/100*'LOCAL DATASET INPUTS'!$D$87)+(W247/100*'LOCAL DATASET INPUTS'!$D$90)</f>
        <v>179.76433194178617</v>
      </c>
      <c r="X252" s="498">
        <f>(X207/100*'LOCAL DATASET INPUTS'!$D$84)+(X210/100*'LOCAL DATASET INPUTS'!$D$85)+(X213/100*'LOCAL DATASET INPUTS'!$D$86)+(X216/100*'LOCAL DATASET INPUTS'!$D$88)+(X219/100*'LOCAL DATASET INPUTS'!$D$99*'USER INPUTS'!X268/1000)+(X222/100*'LOCAL DATASET INPUTS'!$D$91)+(X225/100*'LOCAL DATASET INPUTS'!$D$100*X268/1000)+(X228/100*'LOCAL DATASET INPUTS'!$D$93)+(X231/100*'LOCAL DATASET INPUTS'!$D$94)+(X234/100*'LOCAL DATASET INPUTS'!$D$95)+(X237/100*'LOCAL DATASET INPUTS'!$D$96)+(X240/100*'LOCAL DATASET INPUTS'!$D$97)+(X243/100*'LOCAL DATASET INPUTS'!$D$101*X268/1000)+(X245/100*'LOCAL DATASET INPUTS'!$D$87)+(X247/100*'LOCAL DATASET INPUTS'!$D$90)</f>
        <v>179.76433194178617</v>
      </c>
      <c r="Y252" s="498">
        <f>(Y207/100*'LOCAL DATASET INPUTS'!$D$84)+(Y210/100*'LOCAL DATASET INPUTS'!$D$85)+(Y213/100*'LOCAL DATASET INPUTS'!$D$86)+(Y216/100*'LOCAL DATASET INPUTS'!$D$88)+(Y219/100*'LOCAL DATASET INPUTS'!$D$99*'USER INPUTS'!Y268/1000)+(Y222/100*'LOCAL DATASET INPUTS'!$D$91)+(Y225/100*'LOCAL DATASET INPUTS'!$D$100*Y268/1000)+(Y228/100*'LOCAL DATASET INPUTS'!$D$93)+(Y231/100*'LOCAL DATASET INPUTS'!$D$94)+(Y234/100*'LOCAL DATASET INPUTS'!$D$95)+(Y237/100*'LOCAL DATASET INPUTS'!$D$96)+(Y240/100*'LOCAL DATASET INPUTS'!$D$97)+(Y243/100*'LOCAL DATASET INPUTS'!$D$101*Y268/1000)+(Y245/100*'LOCAL DATASET INPUTS'!$D$87)+(Y247/100*'LOCAL DATASET INPUTS'!$D$90)</f>
        <v>179.76433194178617</v>
      </c>
      <c r="Z252" s="498">
        <f>(Z207/100*'LOCAL DATASET INPUTS'!$D$84)+(Z210/100*'LOCAL DATASET INPUTS'!$D$85)+(Z213/100*'LOCAL DATASET INPUTS'!$D$86)+(Z216/100*'LOCAL DATASET INPUTS'!$D$88)+(Z219/100*'LOCAL DATASET INPUTS'!$D$99*'USER INPUTS'!Z268/1000)+(Z222/100*'LOCAL DATASET INPUTS'!$D$91)+(Z225/100*'LOCAL DATASET INPUTS'!$D$100*Z268/1000)+(Z228/100*'LOCAL DATASET INPUTS'!$D$93)+(Z231/100*'LOCAL DATASET INPUTS'!$D$94)+(Z234/100*'LOCAL DATASET INPUTS'!$D$95)+(Z237/100*'LOCAL DATASET INPUTS'!$D$96)+(Z240/100*'LOCAL DATASET INPUTS'!$D$97)+(Z243/100*'LOCAL DATASET INPUTS'!$D$101*Z268/1000)+(Z245/100*'LOCAL DATASET INPUTS'!$D$87)+(Z247/100*'LOCAL DATASET INPUTS'!$D$90)</f>
        <v>179.76433194178617</v>
      </c>
      <c r="AA252" s="498">
        <f>(AA207/100*'LOCAL DATASET INPUTS'!$D$84)+(AA210/100*'LOCAL DATASET INPUTS'!$D$85)+(AA213/100*'LOCAL DATASET INPUTS'!$D$86)+(AA216/100*'LOCAL DATASET INPUTS'!$D$88)+(AA219/100*'LOCAL DATASET INPUTS'!$D$99*'USER INPUTS'!AA268/1000)+(AA222/100*'LOCAL DATASET INPUTS'!$D$91)+(AA225/100*'LOCAL DATASET INPUTS'!$D$100*AA268/1000)+(AA228/100*'LOCAL DATASET INPUTS'!$D$93)+(AA231/100*'LOCAL DATASET INPUTS'!$D$94)+(AA234/100*'LOCAL DATASET INPUTS'!$D$95)+(AA237/100*'LOCAL DATASET INPUTS'!$D$96)+(AA240/100*'LOCAL DATASET INPUTS'!$D$97)+(AA243/100*'LOCAL DATASET INPUTS'!$D$101*AA268/1000)+(AA245/100*'LOCAL DATASET INPUTS'!$D$87)+(AA247/100*'LOCAL DATASET INPUTS'!$D$90)</f>
        <v>179.76433194178617</v>
      </c>
      <c r="AB252" s="498">
        <f>(AB207/100*'LOCAL DATASET INPUTS'!$D$84)+(AB210/100*'LOCAL DATASET INPUTS'!$D$85)+(AB213/100*'LOCAL DATASET INPUTS'!$D$86)+(AB216/100*'LOCAL DATASET INPUTS'!$D$88)+(AB219/100*'LOCAL DATASET INPUTS'!$D$99*'USER INPUTS'!AB268/1000)+(AB222/100*'LOCAL DATASET INPUTS'!$D$91)+(AB225/100*'LOCAL DATASET INPUTS'!$D$100*AB268/1000)+(AB228/100*'LOCAL DATASET INPUTS'!$D$93)+(AB231/100*'LOCAL DATASET INPUTS'!$D$94)+(AB234/100*'LOCAL DATASET INPUTS'!$D$95)+(AB237/100*'LOCAL DATASET INPUTS'!$D$96)+(AB240/100*'LOCAL DATASET INPUTS'!$D$97)+(AB243/100*'LOCAL DATASET INPUTS'!$D$101*AB268/1000)+(AB245/100*'LOCAL DATASET INPUTS'!$D$87)+(AB247/100*'LOCAL DATASET INPUTS'!$D$90)</f>
        <v>179.76433194178617</v>
      </c>
      <c r="AC252" s="498">
        <f>(AC207/100*'LOCAL DATASET INPUTS'!$D$84)+(AC210/100*'LOCAL DATASET INPUTS'!$D$85)+(AC213/100*'LOCAL DATASET INPUTS'!$D$86)+(AC216/100*'LOCAL DATASET INPUTS'!$D$88)+(AC219/100*'LOCAL DATASET INPUTS'!$D$99*'USER INPUTS'!AC268/1000)+(AC222/100*'LOCAL DATASET INPUTS'!$D$91)+(AC225/100*'LOCAL DATASET INPUTS'!$D$100*AC268/1000)+(AC228/100*'LOCAL DATASET INPUTS'!$D$93)+(AC231/100*'LOCAL DATASET INPUTS'!$D$94)+(AC234/100*'LOCAL DATASET INPUTS'!$D$95)+(AC237/100*'LOCAL DATASET INPUTS'!$D$96)+(AC240/100*'LOCAL DATASET INPUTS'!$D$97)+(AC243/100*'LOCAL DATASET INPUTS'!$D$101*AC268/1000)+(AC245/100*'LOCAL DATASET INPUTS'!$D$87)+(AC247/100*'LOCAL DATASET INPUTS'!$D$90)</f>
        <v>179.76433194178617</v>
      </c>
      <c r="AD252" s="498">
        <f>(AD207/100*'LOCAL DATASET INPUTS'!$D$84)+(AD210/100*'LOCAL DATASET INPUTS'!$D$85)+(AD213/100*'LOCAL DATASET INPUTS'!$D$86)+(AD216/100*'LOCAL DATASET INPUTS'!$D$88)+(AD219/100*'LOCAL DATASET INPUTS'!$D$99*'USER INPUTS'!AD268/1000)+(AD222/100*'LOCAL DATASET INPUTS'!$D$91)+(AD225/100*'LOCAL DATASET INPUTS'!$D$100*AD268/1000)+(AD228/100*'LOCAL DATASET INPUTS'!$D$93)+(AD231/100*'LOCAL DATASET INPUTS'!$D$94)+(AD234/100*'LOCAL DATASET INPUTS'!$D$95)+(AD237/100*'LOCAL DATASET INPUTS'!$D$96)+(AD240/100*'LOCAL DATASET INPUTS'!$D$97)+(AD243/100*'LOCAL DATASET INPUTS'!$D$101*AD268/1000)+(AD245/100*'LOCAL DATASET INPUTS'!$D$87)+(AD247/100*'LOCAL DATASET INPUTS'!$D$90)</f>
        <v>169.92645031793194</v>
      </c>
      <c r="AE252" s="498">
        <f>(AE207/100*'LOCAL DATASET INPUTS'!$D$84)+(AE210/100*'LOCAL DATASET INPUTS'!$D$85)+(AE213/100*'LOCAL DATASET INPUTS'!$D$86)+(AE216/100*'LOCAL DATASET INPUTS'!$D$88)+(AE219/100*'LOCAL DATASET INPUTS'!$D$99*'USER INPUTS'!AE268/1000)+(AE222/100*'LOCAL DATASET INPUTS'!$D$91)+(AE225/100*'LOCAL DATASET INPUTS'!$D$100*AE268/1000)+(AE228/100*'LOCAL DATASET INPUTS'!$D$93)+(AE231/100*'LOCAL DATASET INPUTS'!$D$94)+(AE234/100*'LOCAL DATASET INPUTS'!$D$95)+(AE237/100*'LOCAL DATASET INPUTS'!$D$96)+(AE240/100*'LOCAL DATASET INPUTS'!$D$97)+(AE243/100*'LOCAL DATASET INPUTS'!$D$101*AE268/1000)+(AE245/100*'LOCAL DATASET INPUTS'!$D$87)+(AE247/100*'LOCAL DATASET INPUTS'!$D$90)</f>
        <v>179.76433194178617</v>
      </c>
      <c r="AF252" s="498">
        <f>(AF207/100*'LOCAL DATASET INPUTS'!$D$84)+(AF210/100*'LOCAL DATASET INPUTS'!$D$85)+(AF213/100*'LOCAL DATASET INPUTS'!$D$86)+(AF216/100*'LOCAL DATASET INPUTS'!$D$88)+(AF219/100*'LOCAL DATASET INPUTS'!$D$99*'USER INPUTS'!AF268/1000)+(AF222/100*'LOCAL DATASET INPUTS'!$D$91)+(AF225/100*'LOCAL DATASET INPUTS'!$D$100*AF268/1000)+(AF228/100*'LOCAL DATASET INPUTS'!$D$93)+(AF231/100*'LOCAL DATASET INPUTS'!$D$94)+(AF234/100*'LOCAL DATASET INPUTS'!$D$95)+(AF237/100*'LOCAL DATASET INPUTS'!$D$96)+(AF240/100*'LOCAL DATASET INPUTS'!$D$97)+(AF243/100*'LOCAL DATASET INPUTS'!$D$101*AF268/1000)+(AF245/100*'LOCAL DATASET INPUTS'!$D$87)+(AF247/100*'LOCAL DATASET INPUTS'!$D$90)</f>
        <v>179.76433194178617</v>
      </c>
      <c r="AG252" s="498">
        <f>(AG207/100*'LOCAL DATASET INPUTS'!$D$84)+(AG210/100*'LOCAL DATASET INPUTS'!$D$85)+(AG213/100*'LOCAL DATASET INPUTS'!$D$86)+(AG216/100*'LOCAL DATASET INPUTS'!$D$88)+(AG219/100*'LOCAL DATASET INPUTS'!$D$99*'USER INPUTS'!AG268/1000)+(AG222/100*'LOCAL DATASET INPUTS'!$D$91)+(AG225/100*'LOCAL DATASET INPUTS'!$D$100*AG268/1000)+(AG228/100*'LOCAL DATASET INPUTS'!$D$93)+(AG231/100*'LOCAL DATASET INPUTS'!$D$94)+(AG234/100*'LOCAL DATASET INPUTS'!$D$95)+(AG237/100*'LOCAL DATASET INPUTS'!$D$96)+(AG240/100*'LOCAL DATASET INPUTS'!$D$97)+(AG243/100*'LOCAL DATASET INPUTS'!$D$101*AG268/1000)+(AG245/100*'LOCAL DATASET INPUTS'!$D$87)+(AG247/100*'LOCAL DATASET INPUTS'!$D$90)</f>
        <v>179.76433194178617</v>
      </c>
      <c r="AH252" s="498">
        <f>(AH207/100*'LOCAL DATASET INPUTS'!$D$84)+(AH210/100*'LOCAL DATASET INPUTS'!$D$85)+(AH213/100*'LOCAL DATASET INPUTS'!$D$86)+(AH216/100*'LOCAL DATASET INPUTS'!$D$88)+(AH219/100*'LOCAL DATASET INPUTS'!$D$99*'USER INPUTS'!AH268/1000)+(AH222/100*'LOCAL DATASET INPUTS'!$D$91)+(AH225/100*'LOCAL DATASET INPUTS'!$D$100*AH268/1000)+(AH228/100*'LOCAL DATASET INPUTS'!$D$93)+(AH231/100*'LOCAL DATASET INPUTS'!$D$94)+(AH234/100*'LOCAL DATASET INPUTS'!$D$95)+(AH237/100*'LOCAL DATASET INPUTS'!$D$96)+(AH240/100*'LOCAL DATASET INPUTS'!$D$97)+(AH243/100*'LOCAL DATASET INPUTS'!$D$101*AH268/1000)+(AH245/100*'LOCAL DATASET INPUTS'!$D$87)+(AH247/100*'LOCAL DATASET INPUTS'!$D$90)</f>
        <v>179.76433194178617</v>
      </c>
      <c r="AI252" s="498">
        <f>(AI207/100*'LOCAL DATASET INPUTS'!$D$84)+(AI210/100*'LOCAL DATASET INPUTS'!$D$85)+(AI213/100*'LOCAL DATASET INPUTS'!$D$86)+(AI216/100*'LOCAL DATASET INPUTS'!$D$88)+(AI219/100*'LOCAL DATASET INPUTS'!$D$99*'USER INPUTS'!AI268/1000)+(AI222/100*'LOCAL DATASET INPUTS'!$D$91)+(AI225/100*'LOCAL DATASET INPUTS'!$D$100*AI268/1000)+(AI228/100*'LOCAL DATASET INPUTS'!$D$93)+(AI231/100*'LOCAL DATASET INPUTS'!$D$94)+(AI234/100*'LOCAL DATASET INPUTS'!$D$95)+(AI237/100*'LOCAL DATASET INPUTS'!$D$96)+(AI240/100*'LOCAL DATASET INPUTS'!$D$97)+(AI243/100*'LOCAL DATASET INPUTS'!$D$101*AI268/1000)+(AI245/100*'LOCAL DATASET INPUTS'!$D$87)+(AI247/100*'LOCAL DATASET INPUTS'!$D$90)</f>
        <v>179.76377810231858</v>
      </c>
      <c r="AJ252" s="498">
        <f>(AJ207/100*'LOCAL DATASET INPUTS'!$D$84)+(AJ210/100*'LOCAL DATASET INPUTS'!$D$85)+(AJ213/100*'LOCAL DATASET INPUTS'!$D$86)+(AJ216/100*'LOCAL DATASET INPUTS'!$D$88)+(AJ219/100*'LOCAL DATASET INPUTS'!$D$99*'USER INPUTS'!AJ268/1000)+(AJ222/100*'LOCAL DATASET INPUTS'!$D$91)+(AJ225/100*'LOCAL DATASET INPUTS'!$D$100*AJ268/1000)+(AJ228/100*'LOCAL DATASET INPUTS'!$D$93)+(AJ231/100*'LOCAL DATASET INPUTS'!$D$94)+(AJ234/100*'LOCAL DATASET INPUTS'!$D$95)+(AJ237/100*'LOCAL DATASET INPUTS'!$D$96)+(AJ240/100*'LOCAL DATASET INPUTS'!$D$97)+(AJ243/100*'LOCAL DATASET INPUTS'!$D$101*AJ268/1000)+(AJ245/100*'LOCAL DATASET INPUTS'!$D$87)+(AJ247/100*'LOCAL DATASET INPUTS'!$D$90)</f>
        <v>179.76324530875075</v>
      </c>
      <c r="AK252" s="498">
        <f>(AK207/100*'LOCAL DATASET INPUTS'!$D$84)+(AK210/100*'LOCAL DATASET INPUTS'!$D$85)+(AK213/100*'LOCAL DATASET INPUTS'!$D$86)+(AK216/100*'LOCAL DATASET INPUTS'!$D$88)+(AK219/100*'LOCAL DATASET INPUTS'!$D$99*'USER INPUTS'!AK268/1000)+(AK222/100*'LOCAL DATASET INPUTS'!$D$91)+(AK225/100*'LOCAL DATASET INPUTS'!$D$100*AK268/1000)+(AK228/100*'LOCAL DATASET INPUTS'!$D$93)+(AK231/100*'LOCAL DATASET INPUTS'!$D$94)+(AK234/100*'LOCAL DATASET INPUTS'!$D$95)+(AK237/100*'LOCAL DATASET INPUTS'!$D$96)+(AK240/100*'LOCAL DATASET INPUTS'!$D$97)+(AK243/100*'LOCAL DATASET INPUTS'!$D$101*AK268/1000)+(AK245/100*'LOCAL DATASET INPUTS'!$D$87)+(AK247/100*'LOCAL DATASET INPUTS'!$D$90)</f>
        <v>179.7627327613385</v>
      </c>
      <c r="AL252" s="498">
        <f>(AL207/100*'LOCAL DATASET INPUTS'!$D$84)+(AL210/100*'LOCAL DATASET INPUTS'!$D$85)+(AL213/100*'LOCAL DATASET INPUTS'!$D$86)+(AL216/100*'LOCAL DATASET INPUTS'!$D$88)+(AL219/100*'LOCAL DATASET INPUTS'!$D$99*'USER INPUTS'!AL268/1000)+(AL222/100*'LOCAL DATASET INPUTS'!$D$91)+(AL225/100*'LOCAL DATASET INPUTS'!$D$100*AL268/1000)+(AL228/100*'LOCAL DATASET INPUTS'!$D$93)+(AL231/100*'LOCAL DATASET INPUTS'!$D$94)+(AL234/100*'LOCAL DATASET INPUTS'!$D$95)+(AL237/100*'LOCAL DATASET INPUTS'!$D$96)+(AL240/100*'LOCAL DATASET INPUTS'!$D$97)+(AL243/100*'LOCAL DATASET INPUTS'!$D$101*AL268/1000)+(AL245/100*'LOCAL DATASET INPUTS'!$D$87)+(AL247/100*'LOCAL DATASET INPUTS'!$D$90)</f>
        <v>179.76223969072794</v>
      </c>
      <c r="AM252" s="498">
        <f>(AM207/100*'LOCAL DATASET INPUTS'!$D$84)+(AM210/100*'LOCAL DATASET INPUTS'!$D$85)+(AM213/100*'LOCAL DATASET INPUTS'!$D$86)+(AM216/100*'LOCAL DATASET INPUTS'!$D$88)+(AM219/100*'LOCAL DATASET INPUTS'!$D$99*'USER INPUTS'!AM268/1000)+(AM222/100*'LOCAL DATASET INPUTS'!$D$91)+(AM225/100*'LOCAL DATASET INPUTS'!$D$100*AM268/1000)+(AM228/100*'LOCAL DATASET INPUTS'!$D$93)+(AM231/100*'LOCAL DATASET INPUTS'!$D$94)+(AM234/100*'LOCAL DATASET INPUTS'!$D$95)+(AM237/100*'LOCAL DATASET INPUTS'!$D$96)+(AM240/100*'LOCAL DATASET INPUTS'!$D$97)+(AM243/100*'LOCAL DATASET INPUTS'!$D$101*AM268/1000)+(AM245/100*'LOCAL DATASET INPUTS'!$D$87)+(AM247/100*'LOCAL DATASET INPUTS'!$D$90)</f>
        <v>179.76176535680054</v>
      </c>
      <c r="AN252" s="498">
        <f>(AN207/100*'LOCAL DATASET INPUTS'!$D$84)+(AN210/100*'LOCAL DATASET INPUTS'!$D$85)+(AN213/100*'LOCAL DATASET INPUTS'!$D$86)+(AN216/100*'LOCAL DATASET INPUTS'!$D$88)+(AN219/100*'LOCAL DATASET INPUTS'!$D$99*'USER INPUTS'!AN268/1000)+(AN222/100*'LOCAL DATASET INPUTS'!$D$91)+(AN225/100*'LOCAL DATASET INPUTS'!$D$100*AN268/1000)+(AN228/100*'LOCAL DATASET INPUTS'!$D$93)+(AN231/100*'LOCAL DATASET INPUTS'!$D$94)+(AN234/100*'LOCAL DATASET INPUTS'!$D$95)+(AN237/100*'LOCAL DATASET INPUTS'!$D$96)+(AN240/100*'LOCAL DATASET INPUTS'!$D$97)+(AN243/100*'LOCAL DATASET INPUTS'!$D$101*AN268/1000)+(AN245/100*'LOCAL DATASET INPUTS'!$D$87)+(AN247/100*'LOCAL DATASET INPUTS'!$D$90)</f>
        <v>179.76130904756241</v>
      </c>
      <c r="AO252" s="498">
        <f>(AO207/100*'LOCAL DATASET INPUTS'!$D$84)+(AO210/100*'LOCAL DATASET INPUTS'!$D$85)+(AO213/100*'LOCAL DATASET INPUTS'!$D$86)+(AO216/100*'LOCAL DATASET INPUTS'!$D$88)+(AO219/100*'LOCAL DATASET INPUTS'!$D$99*'USER INPUTS'!AO268/1000)+(AO222/100*'LOCAL DATASET INPUTS'!$D$91)+(AO225/100*'LOCAL DATASET INPUTS'!$D$100*AO268/1000)+(AO228/100*'LOCAL DATASET INPUTS'!$D$93)+(AO231/100*'LOCAL DATASET INPUTS'!$D$94)+(AO234/100*'LOCAL DATASET INPUTS'!$D$95)+(AO237/100*'LOCAL DATASET INPUTS'!$D$96)+(AO240/100*'LOCAL DATASET INPUTS'!$D$97)+(AO243/100*'LOCAL DATASET INPUTS'!$D$101*AO268/1000)+(AO245/100*'LOCAL DATASET INPUTS'!$D$87)+(AO247/100*'LOCAL DATASET INPUTS'!$D$90)</f>
        <v>179.76087007807533</v>
      </c>
      <c r="AP252" s="498">
        <f>(AP207/100*'LOCAL DATASET INPUTS'!$D$84)+(AP210/100*'LOCAL DATASET INPUTS'!$D$85)+(AP213/100*'LOCAL DATASET INPUTS'!$D$86)+(AP216/100*'LOCAL DATASET INPUTS'!$D$88)+(AP219/100*'LOCAL DATASET INPUTS'!$D$99*'USER INPUTS'!AP268/1000)+(AP222/100*'LOCAL DATASET INPUTS'!$D$91)+(AP225/100*'LOCAL DATASET INPUTS'!$D$100*AP268/1000)+(AP228/100*'LOCAL DATASET INPUTS'!$D$93)+(AP231/100*'LOCAL DATASET INPUTS'!$D$94)+(AP234/100*'LOCAL DATASET INPUTS'!$D$95)+(AP237/100*'LOCAL DATASET INPUTS'!$D$96)+(AP240/100*'LOCAL DATASET INPUTS'!$D$97)+(AP243/100*'LOCAL DATASET INPUTS'!$D$101*AP268/1000)+(AP245/100*'LOCAL DATASET INPUTS'!$D$87)+(AP247/100*'LOCAL DATASET INPUTS'!$D$90)</f>
        <v>179.76044778942875</v>
      </c>
      <c r="AQ252" s="498">
        <f>(AQ207/100*'LOCAL DATASET INPUTS'!$D$84)+(AQ210/100*'LOCAL DATASET INPUTS'!$D$85)+(AQ213/100*'LOCAL DATASET INPUTS'!$D$86)+(AQ216/100*'LOCAL DATASET INPUTS'!$D$88)+(AQ219/100*'LOCAL DATASET INPUTS'!$D$99*'USER INPUTS'!AQ268/1000)+(AQ222/100*'LOCAL DATASET INPUTS'!$D$91)+(AQ225/100*'LOCAL DATASET INPUTS'!$D$100*AQ268/1000)+(AQ228/100*'LOCAL DATASET INPUTS'!$D$93)+(AQ231/100*'LOCAL DATASET INPUTS'!$D$94)+(AQ234/100*'LOCAL DATASET INPUTS'!$D$95)+(AQ237/100*'LOCAL DATASET INPUTS'!$D$96)+(AQ240/100*'LOCAL DATASET INPUTS'!$D$97)+(AQ243/100*'LOCAL DATASET INPUTS'!$D$101*AQ268/1000)+(AQ245/100*'LOCAL DATASET INPUTS'!$D$87)+(AQ247/100*'LOCAL DATASET INPUTS'!$D$90)</f>
        <v>179.76004154775075</v>
      </c>
      <c r="AR252" s="498">
        <f>(AR207/100*'LOCAL DATASET INPUTS'!$D$84)+(AR210/100*'LOCAL DATASET INPUTS'!$D$85)+(AR213/100*'LOCAL DATASET INPUTS'!$D$86)+(AR216/100*'LOCAL DATASET INPUTS'!$D$88)+(AR219/100*'LOCAL DATASET INPUTS'!$D$99*'USER INPUTS'!AR268/1000)+(AR222/100*'LOCAL DATASET INPUTS'!$D$91)+(AR225/100*'LOCAL DATASET INPUTS'!$D$100*AR268/1000)+(AR228/100*'LOCAL DATASET INPUTS'!$D$93)+(AR231/100*'LOCAL DATASET INPUTS'!$D$94)+(AR234/100*'LOCAL DATASET INPUTS'!$D$95)+(AR237/100*'LOCAL DATASET INPUTS'!$D$96)+(AR240/100*'LOCAL DATASET INPUTS'!$D$97)+(AR243/100*'LOCAL DATASET INPUTS'!$D$101*AR268/1000)+(AR245/100*'LOCAL DATASET INPUTS'!$D$87)+(AR247/100*'LOCAL DATASET INPUTS'!$D$90)</f>
        <v>179.75965074325649</v>
      </c>
      <c r="AS252" s="498">
        <f>(AS207/100*'LOCAL DATASET INPUTS'!$D$84)+(AS210/100*'LOCAL DATASET INPUTS'!$D$85)+(AS213/100*'LOCAL DATASET INPUTS'!$D$86)+(AS216/100*'LOCAL DATASET INPUTS'!$D$88)+(AS219/100*'LOCAL DATASET INPUTS'!$D$99*'USER INPUTS'!AS268/1000)+(AS222/100*'LOCAL DATASET INPUTS'!$D$91)+(AS225/100*'LOCAL DATASET INPUTS'!$D$100*AS268/1000)+(AS228/100*'LOCAL DATASET INPUTS'!$D$93)+(AS231/100*'LOCAL DATASET INPUTS'!$D$94)+(AS234/100*'LOCAL DATASET INPUTS'!$D$95)+(AS237/100*'LOCAL DATASET INPUTS'!$D$96)+(AS240/100*'LOCAL DATASET INPUTS'!$D$97)+(AS243/100*'LOCAL DATASET INPUTS'!$D$101*AS268/1000)+(AS245/100*'LOCAL DATASET INPUTS'!$D$87)+(AS247/100*'LOCAL DATASET INPUTS'!$D$90)</f>
        <v>179.75927478933303</v>
      </c>
    </row>
    <row r="253" spans="11:46">
      <c r="O253" s="475" t="s">
        <v>579</v>
      </c>
      <c r="P253" s="475"/>
      <c r="Q253" s="475"/>
      <c r="R253" s="475"/>
      <c r="S253" s="475"/>
      <c r="T253" s="475"/>
      <c r="U253" s="475"/>
      <c r="V253" s="475"/>
      <c r="W253" s="475"/>
      <c r="X253" s="475"/>
      <c r="Y253" s="475"/>
      <c r="Z253" s="475"/>
      <c r="AA253" s="475"/>
      <c r="AB253" s="475"/>
      <c r="AC253" s="475"/>
      <c r="AD253" s="475"/>
      <c r="AE253" s="475"/>
      <c r="AF253" s="475"/>
      <c r="AG253" s="475"/>
      <c r="AH253" s="475"/>
      <c r="AI253" s="475"/>
      <c r="AJ253" s="475"/>
      <c r="AK253" s="475"/>
      <c r="AL253" s="475"/>
      <c r="AM253" s="475"/>
      <c r="AN253" s="475"/>
      <c r="AO253" s="475"/>
      <c r="AP253" s="475"/>
      <c r="AQ253" s="475"/>
      <c r="AR253" s="475"/>
      <c r="AS253" s="475"/>
    </row>
    <row r="254" spans="11:46">
      <c r="O254" s="475" t="str">
        <f>'LOCAL DATASET INPUTS'!A108</f>
        <v>CITY</v>
      </c>
      <c r="P254" s="497">
        <f>('LOCAL DATASET INPUTS'!$C$108/100*'USER INPUTS'!P251)+('LOCAL DATASET INPUTS'!$D$108/100*'USER INPUTS'!P252)</f>
        <v>223.76313341403048</v>
      </c>
      <c r="Q254" s="497">
        <f>('LOCAL DATASET INPUTS'!$C$108/100*'USER INPUTS'!Q251)+('LOCAL DATASET INPUTS'!$D$108/100*'USER INPUTS'!Q252)</f>
        <v>223.76313341403048</v>
      </c>
      <c r="R254" s="497">
        <f>('LOCAL DATASET INPUTS'!$C$108/100*'USER INPUTS'!R251)+('LOCAL DATASET INPUTS'!$D$108/100*'USER INPUTS'!R252)</f>
        <v>223.76313341403048</v>
      </c>
      <c r="S254" s="497">
        <f>('LOCAL DATASET INPUTS'!$C$108/100*'USER INPUTS'!S251)+('LOCAL DATASET INPUTS'!$D$108/100*'USER INPUTS'!S252)</f>
        <v>223.76313341403048</v>
      </c>
      <c r="T254" s="497">
        <f>('LOCAL DATASET INPUTS'!$C$108/100*'USER INPUTS'!T251)+('LOCAL DATASET INPUTS'!$D$108/100*'USER INPUTS'!T252)</f>
        <v>179.76433194178617</v>
      </c>
      <c r="U254" s="497">
        <f>('LOCAL DATASET INPUTS'!$C$108/100*'USER INPUTS'!U251)+('LOCAL DATASET INPUTS'!$D$108/100*'USER INPUTS'!U252)</f>
        <v>179.76433194178617</v>
      </c>
      <c r="V254" s="497">
        <f>('LOCAL DATASET INPUTS'!$C$108/100*'USER INPUTS'!V251)+('LOCAL DATASET INPUTS'!$D$108/100*'USER INPUTS'!V252)</f>
        <v>179.76433194178617</v>
      </c>
      <c r="W254" s="497">
        <f>('LOCAL DATASET INPUTS'!$C$108/100*'USER INPUTS'!W251)+('LOCAL DATASET INPUTS'!$D$108/100*'USER INPUTS'!W252)</f>
        <v>179.76433194178617</v>
      </c>
      <c r="X254" s="497">
        <f>('LOCAL DATASET INPUTS'!$C$108/100*'USER INPUTS'!X251)+('LOCAL DATASET INPUTS'!$D$108/100*'USER INPUTS'!X252)</f>
        <v>179.76433194178617</v>
      </c>
      <c r="Y254" s="497">
        <f>('LOCAL DATASET INPUTS'!$C$108/100*'USER INPUTS'!Y251)+('LOCAL DATASET INPUTS'!$D$108/100*'USER INPUTS'!Y252)</f>
        <v>179.76433194178617</v>
      </c>
      <c r="Z254" s="497">
        <f>('LOCAL DATASET INPUTS'!$C$108/100*'USER INPUTS'!Z251)+('LOCAL DATASET INPUTS'!$D$108/100*'USER INPUTS'!Z252)</f>
        <v>179.76433194178617</v>
      </c>
      <c r="AA254" s="497">
        <f>('LOCAL DATASET INPUTS'!$C$108/100*'USER INPUTS'!AA251)+('LOCAL DATASET INPUTS'!$D$108/100*'USER INPUTS'!AA252)</f>
        <v>179.76433194178617</v>
      </c>
      <c r="AB254" s="497">
        <f>('LOCAL DATASET INPUTS'!$C$108/100*'USER INPUTS'!AB251)+('LOCAL DATASET INPUTS'!$D$108/100*'USER INPUTS'!AB252)</f>
        <v>179.76433194178617</v>
      </c>
      <c r="AC254" s="497">
        <f>('LOCAL DATASET INPUTS'!$C$108/100*'USER INPUTS'!AC251)+('LOCAL DATASET INPUTS'!$D$108/100*'USER INPUTS'!AC252)</f>
        <v>179.76433194178617</v>
      </c>
      <c r="AD254" s="497">
        <f>('LOCAL DATASET INPUTS'!$C$108/100*'USER INPUTS'!AD251)+('LOCAL DATASET INPUTS'!$D$108/100*'USER INPUTS'!AD252)</f>
        <v>169.92645031793194</v>
      </c>
      <c r="AE254" s="497">
        <f>('LOCAL DATASET INPUTS'!$C$108/100*'USER INPUTS'!AE251)+('LOCAL DATASET INPUTS'!$D$108/100*'USER INPUTS'!AE252)</f>
        <v>179.76433194178617</v>
      </c>
      <c r="AF254" s="497">
        <f>('LOCAL DATASET INPUTS'!$C$108/100*'USER INPUTS'!AF251)+('LOCAL DATASET INPUTS'!$D$108/100*'USER INPUTS'!AF252)</f>
        <v>179.76433194178617</v>
      </c>
      <c r="AG254" s="497">
        <f>('LOCAL DATASET INPUTS'!$C$108/100*'USER INPUTS'!AG251)+('LOCAL DATASET INPUTS'!$D$108/100*'USER INPUTS'!AG252)</f>
        <v>179.76433194178617</v>
      </c>
      <c r="AH254" s="497">
        <f>('LOCAL DATASET INPUTS'!$C$108/100*'USER INPUTS'!AH251)+('LOCAL DATASET INPUTS'!$D$108/100*'USER INPUTS'!AH252)</f>
        <v>179.76433194178617</v>
      </c>
      <c r="AI254" s="497">
        <f>('LOCAL DATASET INPUTS'!$C$108/100*'USER INPUTS'!AI251)+('LOCAL DATASET INPUTS'!$D$108/100*'USER INPUTS'!AI252)</f>
        <v>179.76377810231858</v>
      </c>
      <c r="AJ254" s="497">
        <f>('LOCAL DATASET INPUTS'!$C$108/100*'USER INPUTS'!AJ251)+('LOCAL DATASET INPUTS'!$D$108/100*'USER INPUTS'!AJ252)</f>
        <v>179.76324530875075</v>
      </c>
      <c r="AK254" s="497">
        <f>('LOCAL DATASET INPUTS'!$C$108/100*'USER INPUTS'!AK251)+('LOCAL DATASET INPUTS'!$D$108/100*'USER INPUTS'!AK252)</f>
        <v>179.7627327613385</v>
      </c>
      <c r="AL254" s="497">
        <f>('LOCAL DATASET INPUTS'!$C$108/100*'USER INPUTS'!AL251)+('LOCAL DATASET INPUTS'!$D$108/100*'USER INPUTS'!AL252)</f>
        <v>179.76223969072794</v>
      </c>
      <c r="AM254" s="497">
        <f>('LOCAL DATASET INPUTS'!$C$108/100*'USER INPUTS'!AM251)+('LOCAL DATASET INPUTS'!$D$108/100*'USER INPUTS'!AM252)</f>
        <v>179.76176535680054</v>
      </c>
      <c r="AN254" s="497">
        <f>('LOCAL DATASET INPUTS'!$C$108/100*'USER INPUTS'!AN251)+('LOCAL DATASET INPUTS'!$D$108/100*'USER INPUTS'!AN252)</f>
        <v>179.76130904756241</v>
      </c>
      <c r="AO254" s="497">
        <f>('LOCAL DATASET INPUTS'!$C$108/100*'USER INPUTS'!AO251)+('LOCAL DATASET INPUTS'!$D$108/100*'USER INPUTS'!AO252)</f>
        <v>179.76087007807533</v>
      </c>
      <c r="AP254" s="497">
        <f>('LOCAL DATASET INPUTS'!$C$108/100*'USER INPUTS'!AP251)+('LOCAL DATASET INPUTS'!$D$108/100*'USER INPUTS'!AP252)</f>
        <v>179.76044778942875</v>
      </c>
      <c r="AQ254" s="497">
        <f>('LOCAL DATASET INPUTS'!$C$108/100*'USER INPUTS'!AQ251)+('LOCAL DATASET INPUTS'!$D$108/100*'USER INPUTS'!AQ252)</f>
        <v>179.76004154775075</v>
      </c>
      <c r="AR254" s="497">
        <f>('LOCAL DATASET INPUTS'!$C$108/100*'USER INPUTS'!AR251)+('LOCAL DATASET INPUTS'!$D$108/100*'USER INPUTS'!AR252)</f>
        <v>179.75965074325649</v>
      </c>
      <c r="AS254" s="497">
        <f>('LOCAL DATASET INPUTS'!$C$108/100*'USER INPUTS'!AS251)+('LOCAL DATASET INPUTS'!$D$108/100*'USER INPUTS'!AS252)</f>
        <v>179.75927478933303</v>
      </c>
    </row>
    <row r="255" spans="11:46">
      <c r="O255" s="475" t="str">
        <f>'LOCAL DATASET INPUTS'!A109</f>
        <v>TOWN</v>
      </c>
      <c r="P255" s="497">
        <f>('LOCAL DATASET INPUTS'!$C$109/100*'USER INPUTS'!P251)+('LOCAL DATASET INPUTS'!$D$109/100*'USER INPUTS'!P252)</f>
        <v>207.71580167474514</v>
      </c>
      <c r="Q255" s="497">
        <f>('LOCAL DATASET INPUTS'!$C$109/100*'USER INPUTS'!Q251)+('LOCAL DATASET INPUTS'!$D$109/100*'USER INPUTS'!Q252)</f>
        <v>207.71580167474514</v>
      </c>
      <c r="R255" s="497">
        <f>('LOCAL DATASET INPUTS'!$C$109/100*'USER INPUTS'!R251)+('LOCAL DATASET INPUTS'!$D$109/100*'USER INPUTS'!R252)</f>
        <v>207.71580167474514</v>
      </c>
      <c r="S255" s="497">
        <f>('LOCAL DATASET INPUTS'!$C$109/100*'USER INPUTS'!S251)+('LOCAL DATASET INPUTS'!$D$109/100*'USER INPUTS'!S252)</f>
        <v>207.71580167474514</v>
      </c>
      <c r="T255" s="497">
        <f>('LOCAL DATASET INPUTS'!$C$109/100*'USER INPUTS'!T251)+('LOCAL DATASET INPUTS'!$D$109/100*'USER INPUTS'!T252)</f>
        <v>166.85118624056273</v>
      </c>
      <c r="U255" s="497">
        <f>('LOCAL DATASET INPUTS'!$C$109/100*'USER INPUTS'!U251)+('LOCAL DATASET INPUTS'!$D$109/100*'USER INPUTS'!U252)</f>
        <v>166.85118624056273</v>
      </c>
      <c r="V255" s="497">
        <f>('LOCAL DATASET INPUTS'!$C$109/100*'USER INPUTS'!V251)+('LOCAL DATASET INPUTS'!$D$109/100*'USER INPUTS'!V252)</f>
        <v>166.85118624056273</v>
      </c>
      <c r="W255" s="497">
        <f>('LOCAL DATASET INPUTS'!$C$109/100*'USER INPUTS'!W251)+('LOCAL DATASET INPUTS'!$D$109/100*'USER INPUTS'!W252)</f>
        <v>166.85118624056273</v>
      </c>
      <c r="X255" s="497">
        <f>('LOCAL DATASET INPUTS'!$C$109/100*'USER INPUTS'!X251)+('LOCAL DATASET INPUTS'!$D$109/100*'USER INPUTS'!X252)</f>
        <v>166.85118624056273</v>
      </c>
      <c r="Y255" s="497">
        <f>('LOCAL DATASET INPUTS'!$C$109/100*'USER INPUTS'!Y251)+('LOCAL DATASET INPUTS'!$D$109/100*'USER INPUTS'!Y252)</f>
        <v>166.85118624056273</v>
      </c>
      <c r="Z255" s="497">
        <f>('LOCAL DATASET INPUTS'!$C$109/100*'USER INPUTS'!Z251)+('LOCAL DATASET INPUTS'!$D$109/100*'USER INPUTS'!Z252)</f>
        <v>166.85118624056273</v>
      </c>
      <c r="AA255" s="497">
        <f>('LOCAL DATASET INPUTS'!$C$109/100*'USER INPUTS'!AA251)+('LOCAL DATASET INPUTS'!$D$109/100*'USER INPUTS'!AA252)</f>
        <v>166.85118624056273</v>
      </c>
      <c r="AB255" s="497">
        <f>('LOCAL DATASET INPUTS'!$C$109/100*'USER INPUTS'!AB251)+('LOCAL DATASET INPUTS'!$D$109/100*'USER INPUTS'!AB252)</f>
        <v>166.85118624056273</v>
      </c>
      <c r="AC255" s="497">
        <f>('LOCAL DATASET INPUTS'!$C$109/100*'USER INPUTS'!AC251)+('LOCAL DATASET INPUTS'!$D$109/100*'USER INPUTS'!AC252)</f>
        <v>166.85118624056273</v>
      </c>
      <c r="AD255" s="497">
        <f>('LOCAL DATASET INPUTS'!$C$109/100*'USER INPUTS'!AD251)+('LOCAL DATASET INPUTS'!$D$109/100*'USER INPUTS'!AD252)</f>
        <v>158.72735598469637</v>
      </c>
      <c r="AE255" s="497">
        <f>('LOCAL DATASET INPUTS'!$C$109/100*'USER INPUTS'!AE251)+('LOCAL DATASET INPUTS'!$D$109/100*'USER INPUTS'!AE252)</f>
        <v>166.85118624056273</v>
      </c>
      <c r="AF255" s="497">
        <f>('LOCAL DATASET INPUTS'!$C$109/100*'USER INPUTS'!AF251)+('LOCAL DATASET INPUTS'!$D$109/100*'USER INPUTS'!AF252)</f>
        <v>166.85118624056273</v>
      </c>
      <c r="AG255" s="497">
        <f>('LOCAL DATASET INPUTS'!$C$109/100*'USER INPUTS'!AG251)+('LOCAL DATASET INPUTS'!$D$109/100*'USER INPUTS'!AG252)</f>
        <v>166.85118624056273</v>
      </c>
      <c r="AH255" s="497">
        <f>('LOCAL DATASET INPUTS'!$C$109/100*'USER INPUTS'!AH251)+('LOCAL DATASET INPUTS'!$D$109/100*'USER INPUTS'!AH252)</f>
        <v>166.85118624056273</v>
      </c>
      <c r="AI255" s="497">
        <f>('LOCAL DATASET INPUTS'!$C$109/100*'USER INPUTS'!AI251)+('LOCAL DATASET INPUTS'!$D$109/100*'USER INPUTS'!AI252)</f>
        <v>166.85061285381983</v>
      </c>
      <c r="AJ255" s="497">
        <f>('LOCAL DATASET INPUTS'!$C$109/100*'USER INPUTS'!AJ251)+('LOCAL DATASET INPUTS'!$D$109/100*'USER INPUTS'!AJ252)</f>
        <v>166.85006125577311</v>
      </c>
      <c r="AK255" s="497">
        <f>('LOCAL DATASET INPUTS'!$C$109/100*'USER INPUTS'!AK251)+('LOCAL DATASET INPUTS'!$D$109/100*'USER INPUTS'!AK252)</f>
        <v>166.84953061845218</v>
      </c>
      <c r="AL255" s="497">
        <f>('LOCAL DATASET INPUTS'!$C$109/100*'USER INPUTS'!AL251)+('LOCAL DATASET INPUTS'!$D$109/100*'USER INPUTS'!AL252)</f>
        <v>166.8490201453495</v>
      </c>
      <c r="AM255" s="497">
        <f>('LOCAL DATASET INPUTS'!$C$109/100*'USER INPUTS'!AM251)+('LOCAL DATASET INPUTS'!$D$109/100*'USER INPUTS'!AM252)</f>
        <v>166.84852907022466</v>
      </c>
      <c r="AN255" s="497">
        <f>('LOCAL DATASET INPUTS'!$C$109/100*'USER INPUTS'!AN251)+('LOCAL DATASET INPUTS'!$D$109/100*'USER INPUTS'!AN252)</f>
        <v>166.84805665595459</v>
      </c>
      <c r="AO255" s="497">
        <f>('LOCAL DATASET INPUTS'!$C$109/100*'USER INPUTS'!AO251)+('LOCAL DATASET INPUTS'!$D$109/100*'USER INPUTS'!AO252)</f>
        <v>166.84760219342678</v>
      </c>
      <c r="AP255" s="497">
        <f>('LOCAL DATASET INPUTS'!$C$109/100*'USER INPUTS'!AP251)+('LOCAL DATASET INPUTS'!$D$109/100*'USER INPUTS'!AP252)</f>
        <v>166.84716500047503</v>
      </c>
      <c r="AQ255" s="497">
        <f>('LOCAL DATASET INPUTS'!$C$109/100*'USER INPUTS'!AQ251)+('LOCAL DATASET INPUTS'!$D$109/100*'USER INPUTS'!AQ252)</f>
        <v>166.84674442085546</v>
      </c>
      <c r="AR255" s="497">
        <f>('LOCAL DATASET INPUTS'!$C$109/100*'USER INPUTS'!AR251)+('LOCAL DATASET INPUTS'!$D$109/100*'USER INPUTS'!AR252)</f>
        <v>166.84633982326142</v>
      </c>
      <c r="AS255" s="497">
        <f>('LOCAL DATASET INPUTS'!$C$109/100*'USER INPUTS'!AS251)+('LOCAL DATASET INPUTS'!$D$109/100*'USER INPUTS'!AS252)</f>
        <v>166.84595060037594</v>
      </c>
    </row>
    <row r="256" spans="11:46">
      <c r="O256" s="475" t="str">
        <f>'LOCAL DATASET INPUTS'!A110</f>
        <v>SUBURBAN</v>
      </c>
      <c r="P256" s="497">
        <f>('LOCAL DATASET INPUTS'!$C$110/100*'USER INPUTS'!P251)+('LOCAL DATASET INPUTS'!$D$110/100*'USER INPUTS'!P252)</f>
        <v>167.59747232653183</v>
      </c>
      <c r="Q256" s="497">
        <f>('LOCAL DATASET INPUTS'!$C$110/100*'USER INPUTS'!Q251)+('LOCAL DATASET INPUTS'!$D$110/100*'USER INPUTS'!Q252)</f>
        <v>167.59747232653183</v>
      </c>
      <c r="R256" s="497">
        <f>('LOCAL DATASET INPUTS'!$C$110/100*'USER INPUTS'!R251)+('LOCAL DATASET INPUTS'!$D$110/100*'USER INPUTS'!R252)</f>
        <v>167.59747232653183</v>
      </c>
      <c r="S256" s="497">
        <f>('LOCAL DATASET INPUTS'!$C$110/100*'USER INPUTS'!S251)+('LOCAL DATASET INPUTS'!$D$110/100*'USER INPUTS'!S252)</f>
        <v>167.59747232653183</v>
      </c>
      <c r="T256" s="497">
        <f>('LOCAL DATASET INPUTS'!$C$110/100*'USER INPUTS'!T251)+('LOCAL DATASET INPUTS'!$D$110/100*'USER INPUTS'!T252)</f>
        <v>134.56832198750405</v>
      </c>
      <c r="U256" s="497">
        <f>('LOCAL DATASET INPUTS'!$C$110/100*'USER INPUTS'!U251)+('LOCAL DATASET INPUTS'!$D$110/100*'USER INPUTS'!U252)</f>
        <v>134.56832198750405</v>
      </c>
      <c r="V256" s="497">
        <f>('LOCAL DATASET INPUTS'!$C$110/100*'USER INPUTS'!V251)+('LOCAL DATASET INPUTS'!$D$110/100*'USER INPUTS'!V252)</f>
        <v>134.56832198750405</v>
      </c>
      <c r="W256" s="497">
        <f>('LOCAL DATASET INPUTS'!$C$110/100*'USER INPUTS'!W251)+('LOCAL DATASET INPUTS'!$D$110/100*'USER INPUTS'!W252)</f>
        <v>134.56832198750405</v>
      </c>
      <c r="X256" s="497">
        <f>('LOCAL DATASET INPUTS'!$C$110/100*'USER INPUTS'!X251)+('LOCAL DATASET INPUTS'!$D$110/100*'USER INPUTS'!X252)</f>
        <v>134.56832198750405</v>
      </c>
      <c r="Y256" s="497">
        <f>('LOCAL DATASET INPUTS'!$C$110/100*'USER INPUTS'!Y251)+('LOCAL DATASET INPUTS'!$D$110/100*'USER INPUTS'!Y252)</f>
        <v>134.56832198750405</v>
      </c>
      <c r="Z256" s="497">
        <f>('LOCAL DATASET INPUTS'!$C$110/100*'USER INPUTS'!Z251)+('LOCAL DATASET INPUTS'!$D$110/100*'USER INPUTS'!Z252)</f>
        <v>134.56832198750405</v>
      </c>
      <c r="AA256" s="497">
        <f>('LOCAL DATASET INPUTS'!$C$110/100*'USER INPUTS'!AA251)+('LOCAL DATASET INPUTS'!$D$110/100*'USER INPUTS'!AA252)</f>
        <v>134.56832198750405</v>
      </c>
      <c r="AB256" s="497">
        <f>('LOCAL DATASET INPUTS'!$C$110/100*'USER INPUTS'!AB251)+('LOCAL DATASET INPUTS'!$D$110/100*'USER INPUTS'!AB252)</f>
        <v>134.56832198750405</v>
      </c>
      <c r="AC256" s="497">
        <f>('LOCAL DATASET INPUTS'!$C$110/100*'USER INPUTS'!AC251)+('LOCAL DATASET INPUTS'!$D$110/100*'USER INPUTS'!AC252)</f>
        <v>134.56832198750405</v>
      </c>
      <c r="AD256" s="497">
        <f>('LOCAL DATASET INPUTS'!$C$110/100*'USER INPUTS'!AD251)+('LOCAL DATASET INPUTS'!$D$110/100*'USER INPUTS'!AD252)</f>
        <v>130.72962015160738</v>
      </c>
      <c r="AE256" s="497">
        <f>('LOCAL DATASET INPUTS'!$C$110/100*'USER INPUTS'!AE251)+('LOCAL DATASET INPUTS'!$D$110/100*'USER INPUTS'!AE252)</f>
        <v>134.56832198750405</v>
      </c>
      <c r="AF256" s="497">
        <f>('LOCAL DATASET INPUTS'!$C$110/100*'USER INPUTS'!AF251)+('LOCAL DATASET INPUTS'!$D$110/100*'USER INPUTS'!AF252)</f>
        <v>134.56832198750405</v>
      </c>
      <c r="AG256" s="497">
        <f>('LOCAL DATASET INPUTS'!$C$110/100*'USER INPUTS'!AG251)+('LOCAL DATASET INPUTS'!$D$110/100*'USER INPUTS'!AG252)</f>
        <v>134.56832198750405</v>
      </c>
      <c r="AH256" s="497">
        <f>('LOCAL DATASET INPUTS'!$C$110/100*'USER INPUTS'!AH251)+('LOCAL DATASET INPUTS'!$D$110/100*'USER INPUTS'!AH252)</f>
        <v>134.56832198750405</v>
      </c>
      <c r="AI256" s="497">
        <f>('LOCAL DATASET INPUTS'!$C$110/100*'USER INPUTS'!AI251)+('LOCAL DATASET INPUTS'!$D$110/100*'USER INPUTS'!AI252)</f>
        <v>134.56769973257281</v>
      </c>
      <c r="AJ256" s="497">
        <f>('LOCAL DATASET INPUTS'!$C$110/100*'USER INPUTS'!AJ251)+('LOCAL DATASET INPUTS'!$D$110/100*'USER INPUTS'!AJ252)</f>
        <v>134.567101123329</v>
      </c>
      <c r="AK256" s="497">
        <f>('LOCAL DATASET INPUTS'!$C$110/100*'USER INPUTS'!AK251)+('LOCAL DATASET INPUTS'!$D$110/100*'USER INPUTS'!AK252)</f>
        <v>134.56652526123639</v>
      </c>
      <c r="AL256" s="497">
        <f>('LOCAL DATASET INPUTS'!$C$110/100*'USER INPUTS'!AL251)+('LOCAL DATASET INPUTS'!$D$110/100*'USER INPUTS'!AL252)</f>
        <v>134.56597128190333</v>
      </c>
      <c r="AM256" s="497">
        <f>('LOCAL DATASET INPUTS'!$C$110/100*'USER INPUTS'!AM251)+('LOCAL DATASET INPUTS'!$D$110/100*'USER INPUTS'!AM252)</f>
        <v>134.56543835378494</v>
      </c>
      <c r="AN256" s="497">
        <f>('LOCAL DATASET INPUTS'!$C$110/100*'USER INPUTS'!AN251)+('LOCAL DATASET INPUTS'!$D$110/100*'USER INPUTS'!AN252)</f>
        <v>134.56492567693502</v>
      </c>
      <c r="AO256" s="497">
        <f>('LOCAL DATASET INPUTS'!$C$110/100*'USER INPUTS'!AO251)+('LOCAL DATASET INPUTS'!$D$110/100*'USER INPUTS'!AO252)</f>
        <v>134.5644324818054</v>
      </c>
      <c r="AP256" s="497">
        <f>('LOCAL DATASET INPUTS'!$C$110/100*'USER INPUTS'!AP251)+('LOCAL DATASET INPUTS'!$D$110/100*'USER INPUTS'!AP252)</f>
        <v>134.56395802809072</v>
      </c>
      <c r="AQ256" s="497">
        <f>('LOCAL DATASET INPUTS'!$C$110/100*'USER INPUTS'!AQ251)+('LOCAL DATASET INPUTS'!$D$110/100*'USER INPUTS'!AQ252)</f>
        <v>134.5635016036172</v>
      </c>
      <c r="AR256" s="497">
        <f>('LOCAL DATASET INPUTS'!$C$110/100*'USER INPUTS'!AR251)+('LOCAL DATASET INPUTS'!$D$110/100*'USER INPUTS'!AR252)</f>
        <v>134.56306252327366</v>
      </c>
      <c r="AS256" s="497">
        <f>('LOCAL DATASET INPUTS'!$C$110/100*'USER INPUTS'!AS251)+('LOCAL DATASET INPUTS'!$D$110/100*'USER INPUTS'!AS252)</f>
        <v>134.5626401279832</v>
      </c>
    </row>
    <row r="257" spans="15:46">
      <c r="O257" s="494" t="str">
        <f>'LOCAL DATASET INPUTS'!A111</f>
        <v xml:space="preserve">RURAL </v>
      </c>
      <c r="P257" s="498">
        <f>('LOCAL DATASET INPUTS'!$C$111/100*'USER INPUTS'!P251)+('LOCAL DATASET INPUTS'!$D$111/100*'USER INPUTS'!P252)</f>
        <v>143.52647471760383</v>
      </c>
      <c r="Q257" s="498">
        <f>('LOCAL DATASET INPUTS'!$C$111/100*'USER INPUTS'!Q251)+('LOCAL DATASET INPUTS'!$D$111/100*'USER INPUTS'!Q252)</f>
        <v>143.52647471760383</v>
      </c>
      <c r="R257" s="498">
        <f>('LOCAL DATASET INPUTS'!$C$111/100*'USER INPUTS'!R251)+('LOCAL DATASET INPUTS'!$D$111/100*'USER INPUTS'!R252)</f>
        <v>143.52647471760383</v>
      </c>
      <c r="S257" s="498">
        <f>('LOCAL DATASET INPUTS'!$C$111/100*'USER INPUTS'!S251)+('LOCAL DATASET INPUTS'!$D$111/100*'USER INPUTS'!S252)</f>
        <v>143.52647471760383</v>
      </c>
      <c r="T257" s="498">
        <f>('LOCAL DATASET INPUTS'!$C$111/100*'USER INPUTS'!T251)+('LOCAL DATASET INPUTS'!$D$111/100*'USER INPUTS'!T252)</f>
        <v>115.19860343566887</v>
      </c>
      <c r="U257" s="498">
        <f>('LOCAL DATASET INPUTS'!$C$111/100*'USER INPUTS'!U251)+('LOCAL DATASET INPUTS'!$D$111/100*'USER INPUTS'!U252)</f>
        <v>115.19860343566887</v>
      </c>
      <c r="V257" s="498">
        <f>('LOCAL DATASET INPUTS'!$C$111/100*'USER INPUTS'!V251)+('LOCAL DATASET INPUTS'!$D$111/100*'USER INPUTS'!V252)</f>
        <v>115.19860343566887</v>
      </c>
      <c r="W257" s="498">
        <f>('LOCAL DATASET INPUTS'!$C$111/100*'USER INPUTS'!W251)+('LOCAL DATASET INPUTS'!$D$111/100*'USER INPUTS'!W252)</f>
        <v>115.19860343566887</v>
      </c>
      <c r="X257" s="498">
        <f>('LOCAL DATASET INPUTS'!$C$111/100*'USER INPUTS'!X251)+('LOCAL DATASET INPUTS'!$D$111/100*'USER INPUTS'!X252)</f>
        <v>115.19860343566887</v>
      </c>
      <c r="Y257" s="498">
        <f>('LOCAL DATASET INPUTS'!$C$111/100*'USER INPUTS'!Y251)+('LOCAL DATASET INPUTS'!$D$111/100*'USER INPUTS'!Y252)</f>
        <v>115.19860343566887</v>
      </c>
      <c r="Z257" s="498">
        <f>('LOCAL DATASET INPUTS'!$C$111/100*'USER INPUTS'!Z251)+('LOCAL DATASET INPUTS'!$D$111/100*'USER INPUTS'!Z252)</f>
        <v>115.19860343566887</v>
      </c>
      <c r="AA257" s="498">
        <f>('LOCAL DATASET INPUTS'!$C$111/100*'USER INPUTS'!AA251)+('LOCAL DATASET INPUTS'!$D$111/100*'USER INPUTS'!AA252)</f>
        <v>115.19860343566887</v>
      </c>
      <c r="AB257" s="498">
        <f>('LOCAL DATASET INPUTS'!$C$111/100*'USER INPUTS'!AB251)+('LOCAL DATASET INPUTS'!$D$111/100*'USER INPUTS'!AB252)</f>
        <v>115.19860343566887</v>
      </c>
      <c r="AC257" s="498">
        <f>('LOCAL DATASET INPUTS'!$C$111/100*'USER INPUTS'!AC251)+('LOCAL DATASET INPUTS'!$D$111/100*'USER INPUTS'!AC252)</f>
        <v>115.19860343566887</v>
      </c>
      <c r="AD257" s="498">
        <f>('LOCAL DATASET INPUTS'!$C$111/100*'USER INPUTS'!AD251)+('LOCAL DATASET INPUTS'!$D$111/100*'USER INPUTS'!AD252)</f>
        <v>113.930978651754</v>
      </c>
      <c r="AE257" s="498">
        <f>('LOCAL DATASET INPUTS'!$C$111/100*'USER INPUTS'!AE251)+('LOCAL DATASET INPUTS'!$D$111/100*'USER INPUTS'!AE252)</f>
        <v>115.19860343566887</v>
      </c>
      <c r="AF257" s="498">
        <f>('LOCAL DATASET INPUTS'!$C$111/100*'USER INPUTS'!AF251)+('LOCAL DATASET INPUTS'!$D$111/100*'USER INPUTS'!AF252)</f>
        <v>115.19860343566887</v>
      </c>
      <c r="AG257" s="498">
        <f>('LOCAL DATASET INPUTS'!$C$111/100*'USER INPUTS'!AG251)+('LOCAL DATASET INPUTS'!$D$111/100*'USER INPUTS'!AG252)</f>
        <v>115.19860343566887</v>
      </c>
      <c r="AH257" s="498">
        <f>('LOCAL DATASET INPUTS'!$C$111/100*'USER INPUTS'!AH251)+('LOCAL DATASET INPUTS'!$D$111/100*'USER INPUTS'!AH252)</f>
        <v>115.19860343566887</v>
      </c>
      <c r="AI257" s="498">
        <f>('LOCAL DATASET INPUTS'!$C$111/100*'USER INPUTS'!AI251)+('LOCAL DATASET INPUTS'!$D$111/100*'USER INPUTS'!AI252)</f>
        <v>115.19795185982466</v>
      </c>
      <c r="AJ257" s="498">
        <f>('LOCAL DATASET INPUTS'!$C$111/100*'USER INPUTS'!AJ251)+('LOCAL DATASET INPUTS'!$D$111/100*'USER INPUTS'!AJ252)</f>
        <v>115.19732504386252</v>
      </c>
      <c r="AK257" s="498">
        <f>('LOCAL DATASET INPUTS'!$C$111/100*'USER INPUTS'!AK251)+('LOCAL DATASET INPUTS'!$D$111/100*'USER INPUTS'!AK252)</f>
        <v>115.19672204690693</v>
      </c>
      <c r="AL257" s="498">
        <f>('LOCAL DATASET INPUTS'!$C$111/100*'USER INPUTS'!AL251)+('LOCAL DATASET INPUTS'!$D$111/100*'USER INPUTS'!AL252)</f>
        <v>115.19614196383566</v>
      </c>
      <c r="AM257" s="498">
        <f>('LOCAL DATASET INPUTS'!$C$111/100*'USER INPUTS'!AM251)+('LOCAL DATASET INPUTS'!$D$111/100*'USER INPUTS'!AM252)</f>
        <v>115.19558392392111</v>
      </c>
      <c r="AN257" s="498">
        <f>('LOCAL DATASET INPUTS'!$C$111/100*'USER INPUTS'!AN251)+('LOCAL DATASET INPUTS'!$D$111/100*'USER INPUTS'!AN252)</f>
        <v>115.19504708952329</v>
      </c>
      <c r="AO257" s="498">
        <f>('LOCAL DATASET INPUTS'!$C$111/100*'USER INPUTS'!AO251)+('LOCAL DATASET INPUTS'!$D$111/100*'USER INPUTS'!AO252)</f>
        <v>115.19453065483259</v>
      </c>
      <c r="AP257" s="498">
        <f>('LOCAL DATASET INPUTS'!$C$111/100*'USER INPUTS'!AP251)+('LOCAL DATASET INPUTS'!$D$111/100*'USER INPUTS'!AP252)</f>
        <v>115.19403384466015</v>
      </c>
      <c r="AQ257" s="498">
        <f>('LOCAL DATASET INPUTS'!$C$111/100*'USER INPUTS'!AQ251)+('LOCAL DATASET INPUTS'!$D$111/100*'USER INPUTS'!AQ252)</f>
        <v>115.19355591327425</v>
      </c>
      <c r="AR257" s="498">
        <f>('LOCAL DATASET INPUTS'!$C$111/100*'USER INPUTS'!AR251)+('LOCAL DATASET INPUTS'!$D$111/100*'USER INPUTS'!AR252)</f>
        <v>115.19309614328102</v>
      </c>
      <c r="AS257" s="498">
        <f>('LOCAL DATASET INPUTS'!$C$111/100*'USER INPUTS'!AS251)+('LOCAL DATASET INPUTS'!$D$111/100*'USER INPUTS'!AS252)</f>
        <v>115.19265384454755</v>
      </c>
    </row>
    <row r="258" spans="15:46">
      <c r="O258" s="475" t="s">
        <v>586</v>
      </c>
      <c r="P258" s="497">
        <f>('LOCAL DATASET INPUTS'!$B$108/'LOCAL DATASET INPUTS'!$B$115*'USER INPUTS'!P254)+('LOCAL DATASET INPUTS'!$B$109/'LOCAL DATASET INPUTS'!$B$115*'USER INPUTS'!P255)+('LOCAL DATASET INPUTS'!$B$110/'LOCAL DATASET INPUTS'!$B$115*'USER INPUTS'!P256)+('LOCAL DATASET INPUTS'!$B$111/'LOCAL DATASET INPUTS'!$B$115*'USER INPUTS'!P257)</f>
        <v>223.76313341403048</v>
      </c>
      <c r="Q258" s="497">
        <f>('LOCAL DATASET INPUTS'!$B$108/'LOCAL DATASET INPUTS'!$B$115*'USER INPUTS'!Q254)+('LOCAL DATASET INPUTS'!$B$109/'LOCAL DATASET INPUTS'!$B$115*'USER INPUTS'!Q255)+('LOCAL DATASET INPUTS'!$B$110/'LOCAL DATASET INPUTS'!$B$115*'USER INPUTS'!Q256)+('LOCAL DATASET INPUTS'!$B$111/'LOCAL DATASET INPUTS'!$B$115*'USER INPUTS'!Q257)</f>
        <v>223.76313341403048</v>
      </c>
      <c r="R258" s="497">
        <f>('LOCAL DATASET INPUTS'!$B$108/'LOCAL DATASET INPUTS'!$B$115*'USER INPUTS'!R254)+('LOCAL DATASET INPUTS'!$B$109/'LOCAL DATASET INPUTS'!$B$115*'USER INPUTS'!R255)+('LOCAL DATASET INPUTS'!$B$110/'LOCAL DATASET INPUTS'!$B$115*'USER INPUTS'!R256)+('LOCAL DATASET INPUTS'!$B$111/'LOCAL DATASET INPUTS'!$B$115*'USER INPUTS'!R257)</f>
        <v>223.76313341403048</v>
      </c>
      <c r="S258" s="497">
        <f>('LOCAL DATASET INPUTS'!$B$108/'LOCAL DATASET INPUTS'!$B$115*'USER INPUTS'!S254)+('LOCAL DATASET INPUTS'!$B$109/'LOCAL DATASET INPUTS'!$B$115*'USER INPUTS'!S255)+('LOCAL DATASET INPUTS'!$B$110/'LOCAL DATASET INPUTS'!$B$115*'USER INPUTS'!S256)+('LOCAL DATASET INPUTS'!$B$111/'LOCAL DATASET INPUTS'!$B$115*'USER INPUTS'!S257)</f>
        <v>223.76313341403048</v>
      </c>
      <c r="T258" s="497">
        <f>('LOCAL DATASET INPUTS'!$B$108/'LOCAL DATASET INPUTS'!$B$115*'USER INPUTS'!T254)+('LOCAL DATASET INPUTS'!$B$109/'LOCAL DATASET INPUTS'!$B$115*'USER INPUTS'!T255)+('LOCAL DATASET INPUTS'!$B$110/'LOCAL DATASET INPUTS'!$B$115*'USER INPUTS'!T256)+('LOCAL DATASET INPUTS'!$B$111/'LOCAL DATASET INPUTS'!$B$115*'USER INPUTS'!T257)</f>
        <v>179.76433194178617</v>
      </c>
      <c r="U258" s="497">
        <f>('LOCAL DATASET INPUTS'!$B$108/'LOCAL DATASET INPUTS'!$B$115*'USER INPUTS'!U254)+('LOCAL DATASET INPUTS'!$B$109/'LOCAL DATASET INPUTS'!$B$115*'USER INPUTS'!U255)+('LOCAL DATASET INPUTS'!$B$110/'LOCAL DATASET INPUTS'!$B$115*'USER INPUTS'!U256)+('LOCAL DATASET INPUTS'!$B$111/'LOCAL DATASET INPUTS'!$B$115*'USER INPUTS'!U257)</f>
        <v>179.76433194178617</v>
      </c>
      <c r="V258" s="497">
        <f>('LOCAL DATASET INPUTS'!$B$108/'LOCAL DATASET INPUTS'!$B$115*'USER INPUTS'!V254)+('LOCAL DATASET INPUTS'!$B$109/'LOCAL DATASET INPUTS'!$B$115*'USER INPUTS'!V255)+('LOCAL DATASET INPUTS'!$B$110/'LOCAL DATASET INPUTS'!$B$115*'USER INPUTS'!V256)+('LOCAL DATASET INPUTS'!$B$111/'LOCAL DATASET INPUTS'!$B$115*'USER INPUTS'!V257)</f>
        <v>179.76433194178617</v>
      </c>
      <c r="W258" s="497">
        <f>('LOCAL DATASET INPUTS'!$B$108/'LOCAL DATASET INPUTS'!$B$115*'USER INPUTS'!W254)+('LOCAL DATASET INPUTS'!$B$109/'LOCAL DATASET INPUTS'!$B$115*'USER INPUTS'!W255)+('LOCAL DATASET INPUTS'!$B$110/'LOCAL DATASET INPUTS'!$B$115*'USER INPUTS'!W256)+('LOCAL DATASET INPUTS'!$B$111/'LOCAL DATASET INPUTS'!$B$115*'USER INPUTS'!W257)</f>
        <v>179.76433194178617</v>
      </c>
      <c r="X258" s="497">
        <f>('LOCAL DATASET INPUTS'!$B$108/'LOCAL DATASET INPUTS'!$B$115*'USER INPUTS'!X254)+('LOCAL DATASET INPUTS'!$B$109/'LOCAL DATASET INPUTS'!$B$115*'USER INPUTS'!X255)+('LOCAL DATASET INPUTS'!$B$110/'LOCAL DATASET INPUTS'!$B$115*'USER INPUTS'!X256)+('LOCAL DATASET INPUTS'!$B$111/'LOCAL DATASET INPUTS'!$B$115*'USER INPUTS'!X257)</f>
        <v>179.76433194178617</v>
      </c>
      <c r="Y258" s="497">
        <f>('LOCAL DATASET INPUTS'!$B$108/'LOCAL DATASET INPUTS'!$B$115*'USER INPUTS'!Y254)+('LOCAL DATASET INPUTS'!$B$109/'LOCAL DATASET INPUTS'!$B$115*'USER INPUTS'!Y255)+('LOCAL DATASET INPUTS'!$B$110/'LOCAL DATASET INPUTS'!$B$115*'USER INPUTS'!Y256)+('LOCAL DATASET INPUTS'!$B$111/'LOCAL DATASET INPUTS'!$B$115*'USER INPUTS'!Y257)</f>
        <v>179.76433194178617</v>
      </c>
      <c r="Z258" s="497">
        <f>('LOCAL DATASET INPUTS'!$B$108/'LOCAL DATASET INPUTS'!$B$115*'USER INPUTS'!Z254)+('LOCAL DATASET INPUTS'!$B$109/'LOCAL DATASET INPUTS'!$B$115*'USER INPUTS'!Z255)+('LOCAL DATASET INPUTS'!$B$110/'LOCAL DATASET INPUTS'!$B$115*'USER INPUTS'!Z256)+('LOCAL DATASET INPUTS'!$B$111/'LOCAL DATASET INPUTS'!$B$115*'USER INPUTS'!Z257)</f>
        <v>179.76433194178617</v>
      </c>
      <c r="AA258" s="497">
        <f>('LOCAL DATASET INPUTS'!$B$108/'LOCAL DATASET INPUTS'!$B$115*'USER INPUTS'!AA254)+('LOCAL DATASET INPUTS'!$B$109/'LOCAL DATASET INPUTS'!$B$115*'USER INPUTS'!AA255)+('LOCAL DATASET INPUTS'!$B$110/'LOCAL DATASET INPUTS'!$B$115*'USER INPUTS'!AA256)+('LOCAL DATASET INPUTS'!$B$111/'LOCAL DATASET INPUTS'!$B$115*'USER INPUTS'!AA257)</f>
        <v>179.76433194178617</v>
      </c>
      <c r="AB258" s="497">
        <f>('LOCAL DATASET INPUTS'!$B$108/'LOCAL DATASET INPUTS'!$B$115*'USER INPUTS'!AB254)+('LOCAL DATASET INPUTS'!$B$109/'LOCAL DATASET INPUTS'!$B$115*'USER INPUTS'!AB255)+('LOCAL DATASET INPUTS'!$B$110/'LOCAL DATASET INPUTS'!$B$115*'USER INPUTS'!AB256)+('LOCAL DATASET INPUTS'!$B$111/'LOCAL DATASET INPUTS'!$B$115*'USER INPUTS'!AB257)</f>
        <v>179.76433194178617</v>
      </c>
      <c r="AC258" s="497">
        <f>('LOCAL DATASET INPUTS'!$B$108/'LOCAL DATASET INPUTS'!$B$115*'USER INPUTS'!AC254)+('LOCAL DATASET INPUTS'!$B$109/'LOCAL DATASET INPUTS'!$B$115*'USER INPUTS'!AC255)+('LOCAL DATASET INPUTS'!$B$110/'LOCAL DATASET INPUTS'!$B$115*'USER INPUTS'!AC256)+('LOCAL DATASET INPUTS'!$B$111/'LOCAL DATASET INPUTS'!$B$115*'USER INPUTS'!AC257)</f>
        <v>179.76433194178617</v>
      </c>
      <c r="AD258" s="497">
        <f>('LOCAL DATASET INPUTS'!$B$108/'LOCAL DATASET INPUTS'!$B$115*'USER INPUTS'!AD254)+('LOCAL DATASET INPUTS'!$B$109/'LOCAL DATASET INPUTS'!$B$115*'USER INPUTS'!AD255)+('LOCAL DATASET INPUTS'!$B$110/'LOCAL DATASET INPUTS'!$B$115*'USER INPUTS'!AD256)+('LOCAL DATASET INPUTS'!$B$111/'LOCAL DATASET INPUTS'!$B$115*'USER INPUTS'!AD257)</f>
        <v>169.92645031793194</v>
      </c>
      <c r="AE258" s="497">
        <f>('LOCAL DATASET INPUTS'!$B$108/'LOCAL DATASET INPUTS'!$B$115*'USER INPUTS'!AE254)+('LOCAL DATASET INPUTS'!$B$109/'LOCAL DATASET INPUTS'!$B$115*'USER INPUTS'!AE255)+('LOCAL DATASET INPUTS'!$B$110/'LOCAL DATASET INPUTS'!$B$115*'USER INPUTS'!AE256)+('LOCAL DATASET INPUTS'!$B$111/'LOCAL DATASET INPUTS'!$B$115*'USER INPUTS'!AE257)</f>
        <v>179.76433194178617</v>
      </c>
      <c r="AF258" s="497">
        <f>('LOCAL DATASET INPUTS'!$B$108/'LOCAL DATASET INPUTS'!$B$115*'USER INPUTS'!AF254)+('LOCAL DATASET INPUTS'!$B$109/'LOCAL DATASET INPUTS'!$B$115*'USER INPUTS'!AF255)+('LOCAL DATASET INPUTS'!$B$110/'LOCAL DATASET INPUTS'!$B$115*'USER INPUTS'!AF256)+('LOCAL DATASET INPUTS'!$B$111/'LOCAL DATASET INPUTS'!$B$115*'USER INPUTS'!AF257)</f>
        <v>179.76433194178617</v>
      </c>
      <c r="AG258" s="497">
        <f>('LOCAL DATASET INPUTS'!$B$108/'LOCAL DATASET INPUTS'!$B$115*'USER INPUTS'!AG254)+('LOCAL DATASET INPUTS'!$B$109/'LOCAL DATASET INPUTS'!$B$115*'USER INPUTS'!AG255)+('LOCAL DATASET INPUTS'!$B$110/'LOCAL DATASET INPUTS'!$B$115*'USER INPUTS'!AG256)+('LOCAL DATASET INPUTS'!$B$111/'LOCAL DATASET INPUTS'!$B$115*'USER INPUTS'!AG257)</f>
        <v>179.76433194178617</v>
      </c>
      <c r="AH258" s="497">
        <f>('LOCAL DATASET INPUTS'!$B$108/'LOCAL DATASET INPUTS'!$B$115*'USER INPUTS'!AH254)+('LOCAL DATASET INPUTS'!$B$109/'LOCAL DATASET INPUTS'!$B$115*'USER INPUTS'!AH255)+('LOCAL DATASET INPUTS'!$B$110/'LOCAL DATASET INPUTS'!$B$115*'USER INPUTS'!AH256)+('LOCAL DATASET INPUTS'!$B$111/'LOCAL DATASET INPUTS'!$B$115*'USER INPUTS'!AH257)</f>
        <v>179.76433194178617</v>
      </c>
      <c r="AI258" s="497">
        <f>('LOCAL DATASET INPUTS'!$B$108/'LOCAL DATASET INPUTS'!$B$115*'USER INPUTS'!AI254)+('LOCAL DATASET INPUTS'!$B$109/'LOCAL DATASET INPUTS'!$B$115*'USER INPUTS'!AI255)+('LOCAL DATASET INPUTS'!$B$110/'LOCAL DATASET INPUTS'!$B$115*'USER INPUTS'!AI256)+('LOCAL DATASET INPUTS'!$B$111/'LOCAL DATASET INPUTS'!$B$115*'USER INPUTS'!AI257)</f>
        <v>179.76377810231858</v>
      </c>
      <c r="AJ258" s="497">
        <f>('LOCAL DATASET INPUTS'!$B$108/'LOCAL DATASET INPUTS'!$B$115*'USER INPUTS'!AJ254)+('LOCAL DATASET INPUTS'!$B$109/'LOCAL DATASET INPUTS'!$B$115*'USER INPUTS'!AJ255)+('LOCAL DATASET INPUTS'!$B$110/'LOCAL DATASET INPUTS'!$B$115*'USER INPUTS'!AJ256)+('LOCAL DATASET INPUTS'!$B$111/'LOCAL DATASET INPUTS'!$B$115*'USER INPUTS'!AJ257)</f>
        <v>179.76324530875075</v>
      </c>
      <c r="AK258" s="497">
        <f>('LOCAL DATASET INPUTS'!$B$108/'LOCAL DATASET INPUTS'!$B$115*'USER INPUTS'!AK254)+('LOCAL DATASET INPUTS'!$B$109/'LOCAL DATASET INPUTS'!$B$115*'USER INPUTS'!AK255)+('LOCAL DATASET INPUTS'!$B$110/'LOCAL DATASET INPUTS'!$B$115*'USER INPUTS'!AK256)+('LOCAL DATASET INPUTS'!$B$111/'LOCAL DATASET INPUTS'!$B$115*'USER INPUTS'!AK257)</f>
        <v>179.7627327613385</v>
      </c>
      <c r="AL258" s="497">
        <f>('LOCAL DATASET INPUTS'!$B$108/'LOCAL DATASET INPUTS'!$B$115*'USER INPUTS'!AL254)+('LOCAL DATASET INPUTS'!$B$109/'LOCAL DATASET INPUTS'!$B$115*'USER INPUTS'!AL255)+('LOCAL DATASET INPUTS'!$B$110/'LOCAL DATASET INPUTS'!$B$115*'USER INPUTS'!AL256)+('LOCAL DATASET INPUTS'!$B$111/'LOCAL DATASET INPUTS'!$B$115*'USER INPUTS'!AL257)</f>
        <v>179.76223969072794</v>
      </c>
      <c r="AM258" s="497">
        <f>('LOCAL DATASET INPUTS'!$B$108/'LOCAL DATASET INPUTS'!$B$115*'USER INPUTS'!AM254)+('LOCAL DATASET INPUTS'!$B$109/'LOCAL DATASET INPUTS'!$B$115*'USER INPUTS'!AM255)+('LOCAL DATASET INPUTS'!$B$110/'LOCAL DATASET INPUTS'!$B$115*'USER INPUTS'!AM256)+('LOCAL DATASET INPUTS'!$B$111/'LOCAL DATASET INPUTS'!$B$115*'USER INPUTS'!AM257)</f>
        <v>179.76176535680054</v>
      </c>
      <c r="AN258" s="497">
        <f>('LOCAL DATASET INPUTS'!$B$108/'LOCAL DATASET INPUTS'!$B$115*'USER INPUTS'!AN254)+('LOCAL DATASET INPUTS'!$B$109/'LOCAL DATASET INPUTS'!$B$115*'USER INPUTS'!AN255)+('LOCAL DATASET INPUTS'!$B$110/'LOCAL DATASET INPUTS'!$B$115*'USER INPUTS'!AN256)+('LOCAL DATASET INPUTS'!$B$111/'LOCAL DATASET INPUTS'!$B$115*'USER INPUTS'!AN257)</f>
        <v>179.76130904756241</v>
      </c>
      <c r="AO258" s="497">
        <f>('LOCAL DATASET INPUTS'!$B$108/'LOCAL DATASET INPUTS'!$B$115*'USER INPUTS'!AO254)+('LOCAL DATASET INPUTS'!$B$109/'LOCAL DATASET INPUTS'!$B$115*'USER INPUTS'!AO255)+('LOCAL DATASET INPUTS'!$B$110/'LOCAL DATASET INPUTS'!$B$115*'USER INPUTS'!AO256)+('LOCAL DATASET INPUTS'!$B$111/'LOCAL DATASET INPUTS'!$B$115*'USER INPUTS'!AO257)</f>
        <v>179.76087007807533</v>
      </c>
      <c r="AP258" s="497">
        <f>('LOCAL DATASET INPUTS'!$B$108/'LOCAL DATASET INPUTS'!$B$115*'USER INPUTS'!AP254)+('LOCAL DATASET INPUTS'!$B$109/'LOCAL DATASET INPUTS'!$B$115*'USER INPUTS'!AP255)+('LOCAL DATASET INPUTS'!$B$110/'LOCAL DATASET INPUTS'!$B$115*'USER INPUTS'!AP256)+('LOCAL DATASET INPUTS'!$B$111/'LOCAL DATASET INPUTS'!$B$115*'USER INPUTS'!AP257)</f>
        <v>179.76044778942875</v>
      </c>
      <c r="AQ258" s="497">
        <f>('LOCAL DATASET INPUTS'!$B$108/'LOCAL DATASET INPUTS'!$B$115*'USER INPUTS'!AQ254)+('LOCAL DATASET INPUTS'!$B$109/'LOCAL DATASET INPUTS'!$B$115*'USER INPUTS'!AQ255)+('LOCAL DATASET INPUTS'!$B$110/'LOCAL DATASET INPUTS'!$B$115*'USER INPUTS'!AQ256)+('LOCAL DATASET INPUTS'!$B$111/'LOCAL DATASET INPUTS'!$B$115*'USER INPUTS'!AQ257)</f>
        <v>179.76004154775075</v>
      </c>
      <c r="AR258" s="497">
        <f>('LOCAL DATASET INPUTS'!$B$108/'LOCAL DATASET INPUTS'!$B$115*'USER INPUTS'!AR254)+('LOCAL DATASET INPUTS'!$B$109/'LOCAL DATASET INPUTS'!$B$115*'USER INPUTS'!AR255)+('LOCAL DATASET INPUTS'!$B$110/'LOCAL DATASET INPUTS'!$B$115*'USER INPUTS'!AR256)+('LOCAL DATASET INPUTS'!$B$111/'LOCAL DATASET INPUTS'!$B$115*'USER INPUTS'!AR257)</f>
        <v>179.75965074325649</v>
      </c>
      <c r="AS258" s="497">
        <f>('LOCAL DATASET INPUTS'!$B$108/'LOCAL DATASET INPUTS'!$B$115*'USER INPUTS'!AS254)+('LOCAL DATASET INPUTS'!$B$109/'LOCAL DATASET INPUTS'!$B$115*'USER INPUTS'!AS255)+('LOCAL DATASET INPUTS'!$B$110/'LOCAL DATASET INPUTS'!$B$115*'USER INPUTS'!AS256)+('LOCAL DATASET INPUTS'!$B$111/'LOCAL DATASET INPUTS'!$B$115*'USER INPUTS'!AS257)</f>
        <v>179.75927478933303</v>
      </c>
    </row>
    <row r="259" spans="15:46">
      <c r="O259" s="475" t="s">
        <v>587</v>
      </c>
      <c r="P259" s="497">
        <f>'LOCAL DATASET INPUTS'!E119</f>
        <v>223.42022663483621</v>
      </c>
      <c r="Q259" s="497">
        <f>'LOCAL DATASET INPUTS'!F119</f>
        <v>223.62545458368811</v>
      </c>
      <c r="R259" s="497">
        <f>'LOCAL DATASET INPUTS'!G119</f>
        <v>223.57956161741589</v>
      </c>
      <c r="S259" s="497">
        <f>'LOCAL DATASET INPUTS'!H119</f>
        <v>223.53366865114353</v>
      </c>
      <c r="T259" s="497">
        <f>'LOCAL DATASET INPUTS'!I119</f>
        <v>223.48777568487125</v>
      </c>
      <c r="U259" s="497">
        <f>'LOCAL DATASET INPUTS'!J119</f>
        <v>223.48777568487125</v>
      </c>
      <c r="V259" s="497">
        <f>'LOCAL DATASET INPUTS'!K119</f>
        <v>223.48777568487125</v>
      </c>
      <c r="W259" s="497">
        <f>'LOCAL DATASET INPUTS'!L119</f>
        <v>223.48777568487125</v>
      </c>
      <c r="X259" s="497">
        <f>'LOCAL DATASET INPUTS'!M119</f>
        <v>223.48777568487125</v>
      </c>
      <c r="Y259" s="497">
        <f>'LOCAL DATASET INPUTS'!N119</f>
        <v>223.48777568487125</v>
      </c>
      <c r="Z259" s="497">
        <f>'LOCAL DATASET INPUTS'!O119</f>
        <v>223.48777568487125</v>
      </c>
      <c r="AA259" s="497">
        <f>'LOCAL DATASET INPUTS'!P119</f>
        <v>223.48777568487125</v>
      </c>
      <c r="AB259" s="497">
        <f>'LOCAL DATASET INPUTS'!Q119</f>
        <v>223.48777568487125</v>
      </c>
      <c r="AC259" s="497">
        <f>'LOCAL DATASET INPUTS'!R119</f>
        <v>223.48777568487125</v>
      </c>
      <c r="AD259" s="497">
        <f>'LOCAL DATASET INPUTS'!S119</f>
        <v>223.48777568487125</v>
      </c>
      <c r="AE259" s="497">
        <f>'LOCAL DATASET INPUTS'!T119</f>
        <v>223.48777568487125</v>
      </c>
      <c r="AF259" s="497">
        <f>'LOCAL DATASET INPUTS'!U119</f>
        <v>223.48777568487125</v>
      </c>
      <c r="AG259" s="497">
        <f>'LOCAL DATASET INPUTS'!V119</f>
        <v>223.48777568487125</v>
      </c>
      <c r="AH259" s="497">
        <f>'LOCAL DATASET INPUTS'!W119</f>
        <v>223.48777568487125</v>
      </c>
      <c r="AI259" s="497">
        <f>'LOCAL DATASET INPUTS'!X119</f>
        <v>223.48776648787035</v>
      </c>
      <c r="AJ259" s="497">
        <f>'LOCAL DATASET INPUTS'!Y119</f>
        <v>223.48775764035545</v>
      </c>
      <c r="AK259" s="497">
        <f>'LOCAL DATASET INPUTS'!Z119</f>
        <v>223.48774912904619</v>
      </c>
      <c r="AL259" s="497">
        <f>'LOCAL DATASET INPUTS'!AA119</f>
        <v>223.48774094116663</v>
      </c>
      <c r="AM259" s="497">
        <f>'LOCAL DATASET INPUTS'!AB119</f>
        <v>223.48773306442649</v>
      </c>
      <c r="AN259" s="497">
        <f>'LOCAL DATASET INPUTS'!AC119</f>
        <v>223.48772548700251</v>
      </c>
      <c r="AO259" s="497">
        <f>'LOCAL DATASET INPUTS'!AD119</f>
        <v>223.48771819752062</v>
      </c>
      <c r="AP259" s="497">
        <f>'LOCAL DATASET INPUTS'!AE119</f>
        <v>223.48771118503902</v>
      </c>
      <c r="AQ259" s="497">
        <f>'LOCAL DATASET INPUTS'!AF119</f>
        <v>223.48770443903175</v>
      </c>
      <c r="AR259" s="497">
        <f>'LOCAL DATASET INPUTS'!AG119</f>
        <v>223.48769794937277</v>
      </c>
      <c r="AS259" s="497">
        <f>'LOCAL DATASET INPUTS'!AH119</f>
        <v>223.48769170632079</v>
      </c>
    </row>
    <row r="260" spans="15:46" ht="15.75">
      <c r="O260" s="612" t="s">
        <v>585</v>
      </c>
      <c r="P260" s="613">
        <f>'LOCAL DATASET INPUTS'!E120</f>
        <v>89.700418125242422</v>
      </c>
      <c r="Q260" s="613">
        <f>'LOCAL DATASET INPUTS'!F120</f>
        <v>91.315025651496782</v>
      </c>
      <c r="R260" s="613">
        <f>'LOCAL DATASET INPUTS'!G120</f>
        <v>92.958696113223724</v>
      </c>
      <c r="S260" s="613">
        <f>'LOCAL DATASET INPUTS'!H120</f>
        <v>94.631952643261755</v>
      </c>
      <c r="T260" s="613">
        <f>'LOCAL DATASET INPUTS'!I120</f>
        <v>96.335327790840481</v>
      </c>
      <c r="U260" s="613">
        <f>'LOCAL DATASET INPUTS'!J120</f>
        <v>98.069363691075594</v>
      </c>
      <c r="V260" s="613">
        <f>'LOCAL DATASET INPUTS'!K120</f>
        <v>99.834612237514975</v>
      </c>
      <c r="W260" s="613">
        <f>'LOCAL DATASET INPUTS'!L120</f>
        <v>101.63163525779025</v>
      </c>
      <c r="X260" s="613">
        <f>'LOCAL DATASET INPUTS'!M120</f>
        <v>103.46100469243048</v>
      </c>
      <c r="Y260" s="613">
        <f>'LOCAL DATASET INPUTS'!N120</f>
        <v>105.32330277689424</v>
      </c>
      <c r="Z260" s="613">
        <f>'LOCAL DATASET INPUTS'!O120</f>
        <v>107.21912222687833</v>
      </c>
      <c r="AA260" s="613">
        <f>'LOCAL DATASET INPUTS'!P120</f>
        <v>109.14906642696214</v>
      </c>
      <c r="AB260" s="613">
        <f>'LOCAL DATASET INPUTS'!Q120</f>
        <v>111.11374962264746</v>
      </c>
      <c r="AC260" s="613">
        <f>'LOCAL DATASET INPUTS'!R120</f>
        <v>113.11379711585512</v>
      </c>
      <c r="AD260" s="613">
        <f>'LOCAL DATASET INPUTS'!S120</f>
        <v>115.14984546394051</v>
      </c>
      <c r="AE260" s="613">
        <f>'LOCAL DATASET INPUTS'!T120</f>
        <v>117.22254268229143</v>
      </c>
      <c r="AF260" s="613">
        <f>'LOCAL DATASET INPUTS'!U120</f>
        <v>119.33254845057269</v>
      </c>
      <c r="AG260" s="613">
        <f>'LOCAL DATASET INPUTS'!V120</f>
        <v>121.480534322683</v>
      </c>
      <c r="AH260" s="613">
        <f>'LOCAL DATASET INPUTS'!W120</f>
        <v>123.66718394049128</v>
      </c>
      <c r="AI260" s="613">
        <f>'LOCAL DATASET INPUTS'!X120</f>
        <v>125.89319325142014</v>
      </c>
      <c r="AJ260" s="613">
        <f>'LOCAL DATASET INPUTS'!Y120</f>
        <v>128.15927072994572</v>
      </c>
      <c r="AK260" s="613">
        <f>'LOCAL DATASET INPUTS'!Z120</f>
        <v>130.46613760308475</v>
      </c>
      <c r="AL260" s="613">
        <f>'LOCAL DATASET INPUTS'!AA120</f>
        <v>132.81452807994029</v>
      </c>
      <c r="AM260" s="613">
        <f>'LOCAL DATASET INPUTS'!AB120</f>
        <v>135.2051895853792</v>
      </c>
      <c r="AN260" s="613">
        <f>'LOCAL DATASET INPUTS'!AC120</f>
        <v>137.63888299791606</v>
      </c>
      <c r="AO260" s="613">
        <f>'LOCAL DATASET INPUTS'!AD120</f>
        <v>140.11638289187854</v>
      </c>
      <c r="AP260" s="613">
        <f>'LOCAL DATASET INPUTS'!AE120</f>
        <v>142.63847778393236</v>
      </c>
      <c r="AQ260" s="613">
        <f>'LOCAL DATASET INPUTS'!AF120</f>
        <v>145.20597038404313</v>
      </c>
      <c r="AR260" s="613">
        <f>'LOCAL DATASET INPUTS'!AG120</f>
        <v>147.81967785095591</v>
      </c>
      <c r="AS260" s="613">
        <f>'LOCAL DATASET INPUTS'!AH120</f>
        <v>150.48043205227313</v>
      </c>
      <c r="AT260" s="614" t="s">
        <v>649</v>
      </c>
    </row>
    <row r="261" spans="15:46">
      <c r="O261" s="475" t="s">
        <v>595</v>
      </c>
      <c r="P261" s="499">
        <f t="shared" ref="P261:AS261" si="99">(($D$133/100*P258*P260)+((100-$D$133)/100*P259*P260))*1000</f>
        <v>20040887.74678123</v>
      </c>
      <c r="Q261" s="499">
        <f t="shared" si="99"/>
        <v>20420364.121637106</v>
      </c>
      <c r="R261" s="499">
        <f t="shared" si="99"/>
        <v>20783664.525521144</v>
      </c>
      <c r="S261" s="499">
        <f t="shared" si="99"/>
        <v>21153427.545969579</v>
      </c>
      <c r="T261" s="499">
        <f t="shared" si="99"/>
        <v>21529768.127847899</v>
      </c>
      <c r="U261" s="499">
        <f t="shared" si="99"/>
        <v>21917303.954149161</v>
      </c>
      <c r="V261" s="499">
        <f t="shared" si="99"/>
        <v>22311815.425323851</v>
      </c>
      <c r="W261" s="499">
        <f t="shared" si="99"/>
        <v>22713428.102979679</v>
      </c>
      <c r="X261" s="499">
        <f t="shared" si="99"/>
        <v>23122269.808833316</v>
      </c>
      <c r="Y261" s="499">
        <f t="shared" si="99"/>
        <v>23538470.665392317</v>
      </c>
      <c r="Z261" s="499">
        <f t="shared" si="99"/>
        <v>23962163.137369379</v>
      </c>
      <c r="AA261" s="499">
        <f t="shared" si="99"/>
        <v>24393482.073842023</v>
      </c>
      <c r="AB261" s="499">
        <f t="shared" si="99"/>
        <v>24832564.751171183</v>
      </c>
      <c r="AC261" s="499">
        <f t="shared" si="99"/>
        <v>25279550.916692268</v>
      </c>
      <c r="AD261" s="499">
        <f t="shared" si="99"/>
        <v>25734582.833192725</v>
      </c>
      <c r="AE261" s="499">
        <f t="shared" si="99"/>
        <v>26197805.324190196</v>
      </c>
      <c r="AF261" s="499">
        <f t="shared" si="99"/>
        <v>26669365.820025619</v>
      </c>
      <c r="AG261" s="499">
        <f t="shared" si="99"/>
        <v>27149414.404786084</v>
      </c>
      <c r="AH261" s="499">
        <f t="shared" si="99"/>
        <v>27638103.86407223</v>
      </c>
      <c r="AI261" s="499">
        <f t="shared" si="99"/>
        <v>28135588.575785723</v>
      </c>
      <c r="AJ261" s="499">
        <f t="shared" si="99"/>
        <v>28642028.036258809</v>
      </c>
      <c r="AK261" s="499">
        <f t="shared" si="99"/>
        <v>29157583.430473823</v>
      </c>
      <c r="AL261" s="499">
        <f t="shared" si="99"/>
        <v>29682418.844752997</v>
      </c>
      <c r="AM261" s="499">
        <f t="shared" si="99"/>
        <v>30216701.318982404</v>
      </c>
      <c r="AN261" s="499">
        <f t="shared" si="99"/>
        <v>30760600.899775919</v>
      </c>
      <c r="AO261" s="499">
        <f t="shared" si="99"/>
        <v>31314290.694596052</v>
      </c>
      <c r="AP261" s="499">
        <f t="shared" si="99"/>
        <v>31877946.926849078</v>
      </c>
      <c r="AQ261" s="499">
        <f t="shared" si="99"/>
        <v>32451748.991971828</v>
      </c>
      <c r="AR261" s="499">
        <f t="shared" si="99"/>
        <v>33035879.514528025</v>
      </c>
      <c r="AS261" s="499">
        <f t="shared" si="99"/>
        <v>33630524.406332366</v>
      </c>
    </row>
    <row r="262" spans="15:46">
      <c r="O262" s="475" t="s">
        <v>563</v>
      </c>
      <c r="P262" s="490">
        <f>(P258-P259)/P259*100</f>
        <v>0.15348063349462152</v>
      </c>
      <c r="Q262" s="490">
        <f t="shared" ref="Q262:AS262" si="100">(Q258-Q259)/Q259*100</f>
        <v>6.1566707868152187E-2</v>
      </c>
      <c r="R262" s="490">
        <f t="shared" si="100"/>
        <v>8.2105803986104148E-2</v>
      </c>
      <c r="S262" s="490">
        <f t="shared" si="100"/>
        <v>0.10265333373338993</v>
      </c>
      <c r="T262" s="490">
        <f t="shared" si="100"/>
        <v>-19.564132136129579</v>
      </c>
      <c r="U262" s="490">
        <f t="shared" si="100"/>
        <v>-19.564132136129579</v>
      </c>
      <c r="V262" s="490">
        <f t="shared" si="100"/>
        <v>-19.564132136129579</v>
      </c>
      <c r="W262" s="490">
        <f t="shared" si="100"/>
        <v>-19.564132136129579</v>
      </c>
      <c r="X262" s="490">
        <f t="shared" si="100"/>
        <v>-19.564132136129579</v>
      </c>
      <c r="Y262" s="490">
        <f t="shared" si="100"/>
        <v>-19.564132136129579</v>
      </c>
      <c r="Z262" s="490">
        <f t="shared" si="100"/>
        <v>-19.564132136129579</v>
      </c>
      <c r="AA262" s="490">
        <f t="shared" si="100"/>
        <v>-19.564132136129579</v>
      </c>
      <c r="AB262" s="490">
        <f t="shared" si="100"/>
        <v>-19.564132136129579</v>
      </c>
      <c r="AC262" s="490">
        <f t="shared" si="100"/>
        <v>-19.564132136129579</v>
      </c>
      <c r="AD262" s="490">
        <f t="shared" si="100"/>
        <v>-23.966109646401161</v>
      </c>
      <c r="AE262" s="490">
        <f t="shared" si="100"/>
        <v>-19.564132136129579</v>
      </c>
      <c r="AF262" s="490">
        <f t="shared" si="100"/>
        <v>-19.564132136129579</v>
      </c>
      <c r="AG262" s="490">
        <f t="shared" si="100"/>
        <v>-19.564132136129579</v>
      </c>
      <c r="AH262" s="490">
        <f t="shared" si="100"/>
        <v>-19.564132136129579</v>
      </c>
      <c r="AI262" s="490">
        <f t="shared" si="100"/>
        <v>-19.564376642479377</v>
      </c>
      <c r="AJ262" s="490">
        <f t="shared" si="100"/>
        <v>-19.564611857606877</v>
      </c>
      <c r="AK262" s="490">
        <f t="shared" si="100"/>
        <v>-19.56483813457713</v>
      </c>
      <c r="AL262" s="490">
        <f t="shared" si="100"/>
        <v>-19.565055813038747</v>
      </c>
      <c r="AM262" s="490">
        <f t="shared" si="100"/>
        <v>-19.565265219733892</v>
      </c>
      <c r="AN262" s="490">
        <f t="shared" si="100"/>
        <v>-19.565466668988549</v>
      </c>
      <c r="AO262" s="490">
        <f t="shared" si="100"/>
        <v>-19.565660463184415</v>
      </c>
      <c r="AP262" s="490">
        <f t="shared" si="100"/>
        <v>-19.565846893212761</v>
      </c>
      <c r="AQ262" s="490">
        <f t="shared" si="100"/>
        <v>-19.566026238911082</v>
      </c>
      <c r="AR262" s="490">
        <f t="shared" si="100"/>
        <v>-19.566198769483101</v>
      </c>
      <c r="AS262" s="490">
        <f t="shared" si="100"/>
        <v>-19.56636474390281</v>
      </c>
    </row>
    <row r="264" spans="15:46">
      <c r="O264" s="505" t="s">
        <v>591</v>
      </c>
      <c r="P264" s="501">
        <v>2021</v>
      </c>
      <c r="Q264" s="501">
        <f>P264+1</f>
        <v>2022</v>
      </c>
      <c r="R264" s="501">
        <f t="shared" ref="R264:AS264" si="101">Q264+1</f>
        <v>2023</v>
      </c>
      <c r="S264" s="501">
        <f t="shared" si="101"/>
        <v>2024</v>
      </c>
      <c r="T264" s="501">
        <f t="shared" si="101"/>
        <v>2025</v>
      </c>
      <c r="U264" s="501">
        <f t="shared" si="101"/>
        <v>2026</v>
      </c>
      <c r="V264" s="501">
        <f t="shared" si="101"/>
        <v>2027</v>
      </c>
      <c r="W264" s="501">
        <f t="shared" si="101"/>
        <v>2028</v>
      </c>
      <c r="X264" s="501">
        <f t="shared" si="101"/>
        <v>2029</v>
      </c>
      <c r="Y264" s="501">
        <f t="shared" si="101"/>
        <v>2030</v>
      </c>
      <c r="Z264" s="501">
        <f t="shared" si="101"/>
        <v>2031</v>
      </c>
      <c r="AA264" s="501">
        <f t="shared" si="101"/>
        <v>2032</v>
      </c>
      <c r="AB264" s="501">
        <f t="shared" si="101"/>
        <v>2033</v>
      </c>
      <c r="AC264" s="501">
        <f t="shared" si="101"/>
        <v>2034</v>
      </c>
      <c r="AD264" s="501">
        <f t="shared" si="101"/>
        <v>2035</v>
      </c>
      <c r="AE264" s="501">
        <f t="shared" si="101"/>
        <v>2036</v>
      </c>
      <c r="AF264" s="501">
        <f t="shared" si="101"/>
        <v>2037</v>
      </c>
      <c r="AG264" s="501">
        <f t="shared" si="101"/>
        <v>2038</v>
      </c>
      <c r="AH264" s="501">
        <f t="shared" si="101"/>
        <v>2039</v>
      </c>
      <c r="AI264" s="501">
        <f t="shared" si="101"/>
        <v>2040</v>
      </c>
      <c r="AJ264" s="501">
        <f t="shared" si="101"/>
        <v>2041</v>
      </c>
      <c r="AK264" s="501">
        <f t="shared" si="101"/>
        <v>2042</v>
      </c>
      <c r="AL264" s="501">
        <f t="shared" si="101"/>
        <v>2043</v>
      </c>
      <c r="AM264" s="501">
        <f t="shared" si="101"/>
        <v>2044</v>
      </c>
      <c r="AN264" s="501">
        <f t="shared" si="101"/>
        <v>2045</v>
      </c>
      <c r="AO264" s="501">
        <f t="shared" si="101"/>
        <v>2046</v>
      </c>
      <c r="AP264" s="501">
        <f t="shared" si="101"/>
        <v>2047</v>
      </c>
      <c r="AQ264" s="501">
        <f t="shared" si="101"/>
        <v>2048</v>
      </c>
      <c r="AR264" s="501">
        <f t="shared" si="101"/>
        <v>2049</v>
      </c>
      <c r="AS264" s="501">
        <f t="shared" si="101"/>
        <v>2050</v>
      </c>
    </row>
    <row r="265" spans="15:46">
      <c r="O265" s="527" t="str">
        <f>'LOCAL DATASET INPUTS'!A14</f>
        <v>Carbon intensity of grid electricity (gCO2e/kWh)</v>
      </c>
      <c r="P265" s="528">
        <f>'LOCAL DATASET INPUTS'!E14</f>
        <v>351.34391304347827</v>
      </c>
      <c r="Q265" s="528">
        <f>'LOCAL DATASET INPUTS'!F14</f>
        <v>351.34391304347827</v>
      </c>
      <c r="R265" s="528">
        <f>'LOCAL DATASET INPUTS'!G14</f>
        <v>351.34391304347827</v>
      </c>
      <c r="S265" s="528">
        <f>'LOCAL DATASET INPUTS'!H14</f>
        <v>351.34391304347827</v>
      </c>
      <c r="T265" s="528">
        <f>'LOCAL DATASET INPUTS'!I14</f>
        <v>351.34391304347827</v>
      </c>
      <c r="U265" s="528">
        <f>'LOCAL DATASET INPUTS'!J14</f>
        <v>351.34391304347827</v>
      </c>
      <c r="V265" s="528">
        <f>'LOCAL DATASET INPUTS'!K14</f>
        <v>351.34391304347827</v>
      </c>
      <c r="W265" s="528">
        <f>'LOCAL DATASET INPUTS'!L14</f>
        <v>351.34391304347827</v>
      </c>
      <c r="X265" s="528">
        <f>'LOCAL DATASET INPUTS'!M14</f>
        <v>351.34391304347827</v>
      </c>
      <c r="Y265" s="528">
        <f>'LOCAL DATASET INPUTS'!N14</f>
        <v>351.34391304347827</v>
      </c>
      <c r="Z265" s="528">
        <f>'LOCAL DATASET INPUTS'!O14</f>
        <v>351.34391304347827</v>
      </c>
      <c r="AA265" s="528">
        <f>'LOCAL DATASET INPUTS'!P14</f>
        <v>351.34391304347827</v>
      </c>
      <c r="AB265" s="528">
        <f>'LOCAL DATASET INPUTS'!Q14</f>
        <v>351.34391304347827</v>
      </c>
      <c r="AC265" s="528">
        <f>'LOCAL DATASET INPUTS'!R14</f>
        <v>351.34391304347827</v>
      </c>
      <c r="AD265" s="528">
        <f>'LOCAL DATASET INPUTS'!S14</f>
        <v>351.34391304347827</v>
      </c>
      <c r="AE265" s="528">
        <f>'LOCAL DATASET INPUTS'!T14</f>
        <v>351.34391304347827</v>
      </c>
      <c r="AF265" s="528">
        <f>'LOCAL DATASET INPUTS'!U14</f>
        <v>351.34391304347827</v>
      </c>
      <c r="AG265" s="528">
        <f>'LOCAL DATASET INPUTS'!V14</f>
        <v>351.34391304347827</v>
      </c>
      <c r="AH265" s="528">
        <f>'LOCAL DATASET INPUTS'!W14</f>
        <v>351.34391304347827</v>
      </c>
      <c r="AI265" s="528">
        <f>'LOCAL DATASET INPUTS'!X14</f>
        <v>337.99284434782612</v>
      </c>
      <c r="AJ265" s="528">
        <f>'LOCAL DATASET INPUTS'!Y14</f>
        <v>325.14911626260874</v>
      </c>
      <c r="AK265" s="528">
        <f>'LOCAL DATASET INPUTS'!Z14</f>
        <v>312.79344984462966</v>
      </c>
      <c r="AL265" s="528">
        <f>'LOCAL DATASET INPUTS'!AA14</f>
        <v>300.90729875053376</v>
      </c>
      <c r="AM265" s="528">
        <f>'LOCAL DATASET INPUTS'!AB14</f>
        <v>289.47282139801348</v>
      </c>
      <c r="AN265" s="528">
        <f>'LOCAL DATASET INPUTS'!AC14</f>
        <v>278.472854184889</v>
      </c>
      <c r="AO265" s="528">
        <f>'LOCAL DATASET INPUTS'!AD14</f>
        <v>267.89088572586326</v>
      </c>
      <c r="AP265" s="528">
        <f>'LOCAL DATASET INPUTS'!AE14</f>
        <v>257.71103206828047</v>
      </c>
      <c r="AQ265" s="528">
        <f>'LOCAL DATASET INPUTS'!AF14</f>
        <v>247.91801284968582</v>
      </c>
      <c r="AR265" s="528">
        <f>'LOCAL DATASET INPUTS'!AG14</f>
        <v>238.49712836139778</v>
      </c>
      <c r="AS265" s="528">
        <f>'LOCAL DATASET INPUTS'!AH14</f>
        <v>229.43423748366467</v>
      </c>
    </row>
    <row r="266" spans="15:46">
      <c r="O266" s="481" t="s">
        <v>600</v>
      </c>
      <c r="P266" s="529">
        <f>IF((P264-2020)=$B$156,(($C$154/100*$P$265)/($C$156-$B$156+1)),0)</f>
        <v>0</v>
      </c>
      <c r="Q266" s="529">
        <f t="shared" ref="Q266:AS266" si="102">IF((Q264-2020)=$B$156,(($C$154/100*P$265)/($C$156-$B$156+1)),P266)</f>
        <v>0</v>
      </c>
      <c r="R266" s="529">
        <f t="shared" si="102"/>
        <v>0</v>
      </c>
      <c r="S266" s="529">
        <f t="shared" si="102"/>
        <v>0</v>
      </c>
      <c r="T266" s="529">
        <f t="shared" si="102"/>
        <v>0</v>
      </c>
      <c r="U266" s="529">
        <f t="shared" si="102"/>
        <v>0</v>
      </c>
      <c r="V266" s="529">
        <f t="shared" si="102"/>
        <v>0</v>
      </c>
      <c r="W266" s="529">
        <f t="shared" si="102"/>
        <v>0</v>
      </c>
      <c r="X266" s="529">
        <f t="shared" si="102"/>
        <v>0</v>
      </c>
      <c r="Y266" s="529">
        <f t="shared" si="102"/>
        <v>0</v>
      </c>
      <c r="Z266" s="529">
        <f t="shared" si="102"/>
        <v>0</v>
      </c>
      <c r="AA266" s="529">
        <f t="shared" si="102"/>
        <v>0</v>
      </c>
      <c r="AB266" s="529">
        <f t="shared" si="102"/>
        <v>0</v>
      </c>
      <c r="AC266" s="529">
        <f t="shared" si="102"/>
        <v>0</v>
      </c>
      <c r="AD266" s="529">
        <f t="shared" si="102"/>
        <v>-316.20952173913042</v>
      </c>
      <c r="AE266" s="529">
        <f t="shared" si="102"/>
        <v>-316.20952173913042</v>
      </c>
      <c r="AF266" s="529">
        <f t="shared" si="102"/>
        <v>-316.20952173913042</v>
      </c>
      <c r="AG266" s="529">
        <f t="shared" si="102"/>
        <v>-316.20952173913042</v>
      </c>
      <c r="AH266" s="529">
        <f t="shared" si="102"/>
        <v>-316.20952173913042</v>
      </c>
      <c r="AI266" s="529">
        <f t="shared" si="102"/>
        <v>-316.20952173913042</v>
      </c>
      <c r="AJ266" s="529">
        <f t="shared" si="102"/>
        <v>-316.20952173913042</v>
      </c>
      <c r="AK266" s="529">
        <f t="shared" si="102"/>
        <v>-316.20952173913042</v>
      </c>
      <c r="AL266" s="529">
        <f t="shared" si="102"/>
        <v>-316.20952173913042</v>
      </c>
      <c r="AM266" s="529">
        <f t="shared" si="102"/>
        <v>-316.20952173913042</v>
      </c>
      <c r="AN266" s="529">
        <f t="shared" si="102"/>
        <v>-316.20952173913042</v>
      </c>
      <c r="AO266" s="529">
        <f t="shared" si="102"/>
        <v>-316.20952173913042</v>
      </c>
      <c r="AP266" s="529">
        <f t="shared" si="102"/>
        <v>-316.20952173913042</v>
      </c>
      <c r="AQ266" s="529">
        <f t="shared" si="102"/>
        <v>-316.20952173913042</v>
      </c>
      <c r="AR266" s="529">
        <f t="shared" si="102"/>
        <v>-316.20952173913042</v>
      </c>
      <c r="AS266" s="529">
        <f t="shared" si="102"/>
        <v>-316.20952173913042</v>
      </c>
    </row>
    <row r="267" spans="15:46">
      <c r="O267" s="530" t="s">
        <v>592</v>
      </c>
      <c r="P267" s="531">
        <f>IF(AND((P264-2019)&gt;$B$156,(P264-2021)&lt;$C$156),(P265+P266),P265)</f>
        <v>351.34391304347827</v>
      </c>
      <c r="Q267" s="531">
        <f>IF(AND((Q264-2019)&gt;$B$156,(Q264-2021)&lt;$C$156),((P267*Q265/P265)+Q266),(P267*(Q265/P265)))</f>
        <v>351.34391304347827</v>
      </c>
      <c r="R267" s="531">
        <f t="shared" ref="R267:AS267" si="103">IF(AND((R264-2019)&gt;$B$156,(R264-2021)&lt;$C$156),((Q267*R265/Q265)+R266),(Q267*(R265/Q265)))</f>
        <v>351.34391304347827</v>
      </c>
      <c r="S267" s="531">
        <f t="shared" si="103"/>
        <v>351.34391304347827</v>
      </c>
      <c r="T267" s="531">
        <f t="shared" si="103"/>
        <v>351.34391304347827</v>
      </c>
      <c r="U267" s="531">
        <f t="shared" si="103"/>
        <v>351.34391304347827</v>
      </c>
      <c r="V267" s="531">
        <f t="shared" si="103"/>
        <v>351.34391304347827</v>
      </c>
      <c r="W267" s="531">
        <f t="shared" si="103"/>
        <v>351.34391304347827</v>
      </c>
      <c r="X267" s="531">
        <f t="shared" si="103"/>
        <v>351.34391304347827</v>
      </c>
      <c r="Y267" s="531">
        <f t="shared" si="103"/>
        <v>351.34391304347827</v>
      </c>
      <c r="Z267" s="531">
        <f t="shared" si="103"/>
        <v>351.34391304347827</v>
      </c>
      <c r="AA267" s="531">
        <f t="shared" si="103"/>
        <v>351.34391304347827</v>
      </c>
      <c r="AB267" s="531">
        <f t="shared" si="103"/>
        <v>351.34391304347827</v>
      </c>
      <c r="AC267" s="531">
        <f t="shared" si="103"/>
        <v>351.34391304347827</v>
      </c>
      <c r="AD267" s="531">
        <f>IF(AND((AD264-2019)&gt;$B$156,(AD264-2021)&lt;$C$156),((AC267*AD265/AC265)+AD266),(AC267*(AD265/AC265)))</f>
        <v>35.134391304347844</v>
      </c>
      <c r="AE267" s="531">
        <f t="shared" si="103"/>
        <v>35.134391304347844</v>
      </c>
      <c r="AF267" s="531">
        <f t="shared" si="103"/>
        <v>35.134391304347844</v>
      </c>
      <c r="AG267" s="531">
        <f t="shared" si="103"/>
        <v>35.134391304347844</v>
      </c>
      <c r="AH267" s="531">
        <f t="shared" si="103"/>
        <v>35.134391304347844</v>
      </c>
      <c r="AI267" s="531">
        <f t="shared" si="103"/>
        <v>33.799284434782628</v>
      </c>
      <c r="AJ267" s="531">
        <f t="shared" si="103"/>
        <v>32.51491162626089</v>
      </c>
      <c r="AK267" s="531">
        <f t="shared" si="103"/>
        <v>31.279344984462981</v>
      </c>
      <c r="AL267" s="531">
        <f t="shared" si="103"/>
        <v>30.090729875053391</v>
      </c>
      <c r="AM267" s="531">
        <f t="shared" si="103"/>
        <v>28.947282139801363</v>
      </c>
      <c r="AN267" s="531">
        <f t="shared" si="103"/>
        <v>27.847285418488912</v>
      </c>
      <c r="AO267" s="531">
        <f t="shared" si="103"/>
        <v>26.789088572586337</v>
      </c>
      <c r="AP267" s="531">
        <f t="shared" si="103"/>
        <v>25.771103206828059</v>
      </c>
      <c r="AQ267" s="531">
        <f t="shared" si="103"/>
        <v>24.791801284968596</v>
      </c>
      <c r="AR267" s="531">
        <f t="shared" si="103"/>
        <v>23.849712836139791</v>
      </c>
      <c r="AS267" s="531">
        <f t="shared" si="103"/>
        <v>22.943423748366481</v>
      </c>
    </row>
    <row r="268" spans="15:46">
      <c r="O268" s="397" t="s">
        <v>625</v>
      </c>
      <c r="P268" s="580">
        <f t="shared" ref="P268:AS268" si="104">((100-$D$154)/100*P265)+($D$154/100*P267)</f>
        <v>351.34391304347827</v>
      </c>
      <c r="Q268" s="580">
        <f t="shared" si="104"/>
        <v>351.34391304347827</v>
      </c>
      <c r="R268" s="580">
        <f t="shared" si="104"/>
        <v>351.34391304347827</v>
      </c>
      <c r="S268" s="580">
        <f t="shared" si="104"/>
        <v>351.34391304347827</v>
      </c>
      <c r="T268" s="580">
        <f t="shared" si="104"/>
        <v>351.34391304347827</v>
      </c>
      <c r="U268" s="580">
        <f t="shared" si="104"/>
        <v>351.34391304347827</v>
      </c>
      <c r="V268" s="580">
        <f t="shared" si="104"/>
        <v>351.34391304347827</v>
      </c>
      <c r="W268" s="580">
        <f t="shared" si="104"/>
        <v>351.34391304347827</v>
      </c>
      <c r="X268" s="580">
        <f t="shared" si="104"/>
        <v>351.34391304347827</v>
      </c>
      <c r="Y268" s="580">
        <f t="shared" si="104"/>
        <v>351.34391304347827</v>
      </c>
      <c r="Z268" s="580">
        <f t="shared" si="104"/>
        <v>351.34391304347827</v>
      </c>
      <c r="AA268" s="580">
        <f t="shared" si="104"/>
        <v>351.34391304347827</v>
      </c>
      <c r="AB268" s="580">
        <f t="shared" si="104"/>
        <v>351.34391304347827</v>
      </c>
      <c r="AC268" s="580">
        <f t="shared" si="104"/>
        <v>351.34391304347827</v>
      </c>
      <c r="AD268" s="580">
        <f t="shared" si="104"/>
        <v>351.34391304347827</v>
      </c>
      <c r="AE268" s="580">
        <f t="shared" si="104"/>
        <v>351.34391304347827</v>
      </c>
      <c r="AF268" s="580">
        <f t="shared" si="104"/>
        <v>351.34391304347827</v>
      </c>
      <c r="AG268" s="580">
        <f t="shared" si="104"/>
        <v>351.34391304347827</v>
      </c>
      <c r="AH268" s="580">
        <f t="shared" si="104"/>
        <v>351.34391304347827</v>
      </c>
      <c r="AI268" s="580">
        <f t="shared" si="104"/>
        <v>337.99284434782612</v>
      </c>
      <c r="AJ268" s="580">
        <f t="shared" si="104"/>
        <v>325.14911626260874</v>
      </c>
      <c r="AK268" s="580">
        <f t="shared" si="104"/>
        <v>312.79344984462966</v>
      </c>
      <c r="AL268" s="580">
        <f t="shared" si="104"/>
        <v>300.90729875053376</v>
      </c>
      <c r="AM268" s="580">
        <f t="shared" si="104"/>
        <v>289.47282139801348</v>
      </c>
      <c r="AN268" s="580">
        <f t="shared" si="104"/>
        <v>278.472854184889</v>
      </c>
      <c r="AO268" s="580">
        <f t="shared" si="104"/>
        <v>267.89088572586326</v>
      </c>
      <c r="AP268" s="580">
        <f t="shared" si="104"/>
        <v>257.71103206828047</v>
      </c>
      <c r="AQ268" s="580">
        <f t="shared" si="104"/>
        <v>247.91801284968582</v>
      </c>
      <c r="AR268" s="580">
        <f t="shared" si="104"/>
        <v>238.49712836139778</v>
      </c>
      <c r="AS268" s="580">
        <f t="shared" si="104"/>
        <v>229.43423748366467</v>
      </c>
    </row>
    <row r="269" spans="15:46" s="7" customFormat="1">
      <c r="O269" s="475" t="s">
        <v>563</v>
      </c>
      <c r="P269" s="580">
        <f>(P268-P265)/P265*100</f>
        <v>0</v>
      </c>
      <c r="Q269" s="580">
        <f t="shared" ref="Q269:AS269" si="105">(Q268-Q265)/Q265*100</f>
        <v>0</v>
      </c>
      <c r="R269" s="580">
        <f t="shared" si="105"/>
        <v>0</v>
      </c>
      <c r="S269" s="580">
        <f t="shared" si="105"/>
        <v>0</v>
      </c>
      <c r="T269" s="580">
        <f t="shared" si="105"/>
        <v>0</v>
      </c>
      <c r="U269" s="580">
        <f t="shared" si="105"/>
        <v>0</v>
      </c>
      <c r="V269" s="580">
        <f t="shared" si="105"/>
        <v>0</v>
      </c>
      <c r="W269" s="580">
        <f t="shared" si="105"/>
        <v>0</v>
      </c>
      <c r="X269" s="580">
        <f t="shared" si="105"/>
        <v>0</v>
      </c>
      <c r="Y269" s="580">
        <f t="shared" si="105"/>
        <v>0</v>
      </c>
      <c r="Z269" s="580">
        <f t="shared" si="105"/>
        <v>0</v>
      </c>
      <c r="AA269" s="580">
        <f t="shared" si="105"/>
        <v>0</v>
      </c>
      <c r="AB269" s="580">
        <f t="shared" si="105"/>
        <v>0</v>
      </c>
      <c r="AC269" s="580">
        <f t="shared" si="105"/>
        <v>0</v>
      </c>
      <c r="AD269" s="580">
        <f t="shared" si="105"/>
        <v>0</v>
      </c>
      <c r="AE269" s="580">
        <f t="shared" si="105"/>
        <v>0</v>
      </c>
      <c r="AF269" s="580">
        <f t="shared" si="105"/>
        <v>0</v>
      </c>
      <c r="AG269" s="580">
        <f t="shared" si="105"/>
        <v>0</v>
      </c>
      <c r="AH269" s="580">
        <f t="shared" si="105"/>
        <v>0</v>
      </c>
      <c r="AI269" s="580">
        <f t="shared" si="105"/>
        <v>0</v>
      </c>
      <c r="AJ269" s="580">
        <f t="shared" si="105"/>
        <v>0</v>
      </c>
      <c r="AK269" s="580">
        <f t="shared" si="105"/>
        <v>0</v>
      </c>
      <c r="AL269" s="580">
        <f t="shared" si="105"/>
        <v>0</v>
      </c>
      <c r="AM269" s="580">
        <f t="shared" si="105"/>
        <v>0</v>
      </c>
      <c r="AN269" s="580">
        <f t="shared" si="105"/>
        <v>0</v>
      </c>
      <c r="AO269" s="580">
        <f t="shared" si="105"/>
        <v>0</v>
      </c>
      <c r="AP269" s="580">
        <f t="shared" si="105"/>
        <v>0</v>
      </c>
      <c r="AQ269" s="580">
        <f t="shared" si="105"/>
        <v>0</v>
      </c>
      <c r="AR269" s="580">
        <f t="shared" si="105"/>
        <v>0</v>
      </c>
      <c r="AS269" s="580">
        <f t="shared" si="105"/>
        <v>0</v>
      </c>
      <c r="AT269" s="467"/>
    </row>
    <row r="270" spans="15:46">
      <c r="AH270" s="7"/>
    </row>
    <row r="271" spans="15:46">
      <c r="O271" s="476" t="s">
        <v>594</v>
      </c>
      <c r="P271" s="7"/>
      <c r="Q271" s="7"/>
    </row>
    <row r="272" spans="15:46">
      <c r="P272" s="477">
        <v>2021</v>
      </c>
      <c r="Q272" s="477">
        <f t="shared" ref="Q272:AS272" si="106">P272+1</f>
        <v>2022</v>
      </c>
      <c r="R272" s="477">
        <f t="shared" si="106"/>
        <v>2023</v>
      </c>
      <c r="S272" s="477">
        <f t="shared" si="106"/>
        <v>2024</v>
      </c>
      <c r="T272" s="477">
        <f t="shared" si="106"/>
        <v>2025</v>
      </c>
      <c r="U272" s="477">
        <f t="shared" si="106"/>
        <v>2026</v>
      </c>
      <c r="V272" s="477">
        <f t="shared" si="106"/>
        <v>2027</v>
      </c>
      <c r="W272" s="477">
        <f t="shared" si="106"/>
        <v>2028</v>
      </c>
      <c r="X272" s="477">
        <f t="shared" si="106"/>
        <v>2029</v>
      </c>
      <c r="Y272" s="477">
        <f t="shared" si="106"/>
        <v>2030</v>
      </c>
      <c r="Z272" s="477">
        <f t="shared" si="106"/>
        <v>2031</v>
      </c>
      <c r="AA272" s="477">
        <f t="shared" si="106"/>
        <v>2032</v>
      </c>
      <c r="AB272" s="477">
        <f t="shared" si="106"/>
        <v>2033</v>
      </c>
      <c r="AC272" s="477">
        <f t="shared" si="106"/>
        <v>2034</v>
      </c>
      <c r="AD272" s="477">
        <f t="shared" si="106"/>
        <v>2035</v>
      </c>
      <c r="AE272" s="477">
        <f t="shared" si="106"/>
        <v>2036</v>
      </c>
      <c r="AF272" s="477">
        <f t="shared" si="106"/>
        <v>2037</v>
      </c>
      <c r="AG272" s="477">
        <f t="shared" si="106"/>
        <v>2038</v>
      </c>
      <c r="AH272" s="477">
        <f t="shared" si="106"/>
        <v>2039</v>
      </c>
      <c r="AI272" s="477">
        <f t="shared" si="106"/>
        <v>2040</v>
      </c>
      <c r="AJ272" s="477">
        <f t="shared" si="106"/>
        <v>2041</v>
      </c>
      <c r="AK272" s="477">
        <f t="shared" si="106"/>
        <v>2042</v>
      </c>
      <c r="AL272" s="477">
        <f t="shared" si="106"/>
        <v>2043</v>
      </c>
      <c r="AM272" s="477">
        <f t="shared" si="106"/>
        <v>2044</v>
      </c>
      <c r="AN272" s="477">
        <f t="shared" si="106"/>
        <v>2045</v>
      </c>
      <c r="AO272" s="477">
        <f t="shared" si="106"/>
        <v>2046</v>
      </c>
      <c r="AP272" s="477">
        <f t="shared" si="106"/>
        <v>2047</v>
      </c>
      <c r="AQ272" s="477">
        <f t="shared" si="106"/>
        <v>2048</v>
      </c>
      <c r="AR272" s="477">
        <f t="shared" si="106"/>
        <v>2049</v>
      </c>
      <c r="AS272" s="477">
        <f t="shared" si="106"/>
        <v>2050</v>
      </c>
    </row>
    <row r="273" spans="15:45">
      <c r="O273" s="478" t="str">
        <f t="shared" ref="O273:O280" si="107">O53</f>
        <v>Motor coaches, buses and trolley buses</v>
      </c>
      <c r="P273" s="487">
        <f t="shared" ref="P273:AS273" si="108">P200/P67</f>
        <v>76.549372212823627</v>
      </c>
      <c r="Q273" s="487" t="e">
        <f t="shared" si="108"/>
        <v>#DIV/0!</v>
      </c>
      <c r="R273" s="487" t="e">
        <f t="shared" si="108"/>
        <v>#DIV/0!</v>
      </c>
      <c r="S273" s="487" t="e">
        <f t="shared" si="108"/>
        <v>#DIV/0!</v>
      </c>
      <c r="T273" s="487" t="e">
        <f t="shared" si="108"/>
        <v>#DIV/0!</v>
      </c>
      <c r="U273" s="487" t="e">
        <f t="shared" si="108"/>
        <v>#DIV/0!</v>
      </c>
      <c r="V273" s="487" t="e">
        <f t="shared" si="108"/>
        <v>#DIV/0!</v>
      </c>
      <c r="W273" s="487" t="e">
        <f t="shared" si="108"/>
        <v>#DIV/0!</v>
      </c>
      <c r="X273" s="487" t="e">
        <f t="shared" si="108"/>
        <v>#DIV/0!</v>
      </c>
      <c r="Y273" s="487" t="e">
        <f t="shared" si="108"/>
        <v>#DIV/0!</v>
      </c>
      <c r="Z273" s="487" t="e">
        <f t="shared" si="108"/>
        <v>#DIV/0!</v>
      </c>
      <c r="AA273" s="487" t="e">
        <f t="shared" si="108"/>
        <v>#DIV/0!</v>
      </c>
      <c r="AB273" s="487" t="e">
        <f t="shared" si="108"/>
        <v>#DIV/0!</v>
      </c>
      <c r="AC273" s="487" t="e">
        <f t="shared" si="108"/>
        <v>#DIV/0!</v>
      </c>
      <c r="AD273" s="487" t="e">
        <f t="shared" si="108"/>
        <v>#DIV/0!</v>
      </c>
      <c r="AE273" s="487" t="e">
        <f t="shared" si="108"/>
        <v>#DIV/0!</v>
      </c>
      <c r="AF273" s="487" t="e">
        <f t="shared" si="108"/>
        <v>#DIV/0!</v>
      </c>
      <c r="AG273" s="487" t="e">
        <f t="shared" si="108"/>
        <v>#DIV/0!</v>
      </c>
      <c r="AH273" s="487" t="e">
        <f t="shared" si="108"/>
        <v>#DIV/0!</v>
      </c>
      <c r="AI273" s="487" t="e">
        <f t="shared" si="108"/>
        <v>#DIV/0!</v>
      </c>
      <c r="AJ273" s="487" t="e">
        <f t="shared" si="108"/>
        <v>#DIV/0!</v>
      </c>
      <c r="AK273" s="487" t="e">
        <f t="shared" si="108"/>
        <v>#DIV/0!</v>
      </c>
      <c r="AL273" s="487" t="e">
        <f t="shared" si="108"/>
        <v>#DIV/0!</v>
      </c>
      <c r="AM273" s="487" t="e">
        <f t="shared" si="108"/>
        <v>#DIV/0!</v>
      </c>
      <c r="AN273" s="487" t="e">
        <f t="shared" si="108"/>
        <v>#DIV/0!</v>
      </c>
      <c r="AO273" s="487" t="e">
        <f t="shared" si="108"/>
        <v>#DIV/0!</v>
      </c>
      <c r="AP273" s="487" t="e">
        <f t="shared" si="108"/>
        <v>#DIV/0!</v>
      </c>
      <c r="AQ273" s="487" t="e">
        <f t="shared" si="108"/>
        <v>#DIV/0!</v>
      </c>
      <c r="AR273" s="487" t="e">
        <f t="shared" si="108"/>
        <v>#DIV/0!</v>
      </c>
      <c r="AS273" s="487" t="e">
        <f t="shared" si="108"/>
        <v>#DIV/0!</v>
      </c>
    </row>
    <row r="274" spans="15:45">
      <c r="O274" s="478" t="str">
        <f t="shared" si="107"/>
        <v>Passenger cars</v>
      </c>
      <c r="P274" s="487">
        <f t="shared" ref="P274:AS274" si="109">P261/P67</f>
        <v>1336.0591831187487</v>
      </c>
      <c r="Q274" s="487">
        <f t="shared" si="109"/>
        <v>1361.3576081091403</v>
      </c>
      <c r="R274" s="487">
        <f t="shared" si="109"/>
        <v>1385.577635034743</v>
      </c>
      <c r="S274" s="487">
        <f t="shared" si="109"/>
        <v>1410.2285030646385</v>
      </c>
      <c r="T274" s="487">
        <f t="shared" si="109"/>
        <v>679.88741456361788</v>
      </c>
      <c r="U274" s="487">
        <f t="shared" si="109"/>
        <v>453.46146112032744</v>
      </c>
      <c r="V274" s="487">
        <f t="shared" si="109"/>
        <v>343.25869885113616</v>
      </c>
      <c r="W274" s="487">
        <f t="shared" si="109"/>
        <v>278.12360942424095</v>
      </c>
      <c r="X274" s="487">
        <f t="shared" si="109"/>
        <v>235.14172686949132</v>
      </c>
      <c r="Y274" s="487">
        <f t="shared" si="109"/>
        <v>204.68235361210708</v>
      </c>
      <c r="Z274" s="487">
        <f t="shared" si="109"/>
        <v>208.25797963992159</v>
      </c>
      <c r="AA274" s="487">
        <f t="shared" si="109"/>
        <v>211.89568466710995</v>
      </c>
      <c r="AB274" s="487">
        <f t="shared" si="109"/>
        <v>215.59653858908419</v>
      </c>
      <c r="AC274" s="487">
        <f t="shared" si="109"/>
        <v>219.36162957961355</v>
      </c>
      <c r="AD274" s="487">
        <f t="shared" si="109"/>
        <v>223.19206439987533</v>
      </c>
      <c r="AE274" s="487">
        <f t="shared" si="109"/>
        <v>227.08896871266782</v>
      </c>
      <c r="AF274" s="487">
        <f t="shared" si="109"/>
        <v>231.05348740186898</v>
      </c>
      <c r="AG274" s="487">
        <f t="shared" si="109"/>
        <v>235.08678489722956</v>
      </c>
      <c r="AH274" s="487">
        <f t="shared" si="109"/>
        <v>239.19004550458655</v>
      </c>
      <c r="AI274" s="487">
        <f t="shared" si="109"/>
        <v>243.36446372661769</v>
      </c>
      <c r="AJ274" s="487">
        <f t="shared" si="109"/>
        <v>247.61127468675292</v>
      </c>
      <c r="AK274" s="487">
        <f t="shared" si="109"/>
        <v>251.93172435213398</v>
      </c>
      <c r="AL274" s="487">
        <f t="shared" si="109"/>
        <v>256.32707994288711</v>
      </c>
      <c r="AM274" s="487">
        <f t="shared" si="109"/>
        <v>260.79863029080792</v>
      </c>
      <c r="AN274" s="487">
        <f t="shared" si="109"/>
        <v>265.34768620402366</v>
      </c>
      <c r="AO274" s="487">
        <f t="shared" si="109"/>
        <v>269.97558083773197</v>
      </c>
      <c r="AP274" s="487">
        <f t="shared" si="109"/>
        <v>274.68367007111624</v>
      </c>
      <c r="AQ274" s="487">
        <f t="shared" si="109"/>
        <v>279.47333289053825</v>
      </c>
      <c r="AR274" s="487">
        <f t="shared" si="109"/>
        <v>284.34597177911149</v>
      </c>
      <c r="AS274" s="487">
        <f t="shared" si="109"/>
        <v>289.30301311275934</v>
      </c>
    </row>
    <row r="275" spans="15:45">
      <c r="O275" s="478" t="str">
        <f t="shared" si="107"/>
        <v>Metro</v>
      </c>
      <c r="P275" s="487">
        <f>P162*(100+P269)/100</f>
        <v>0</v>
      </c>
      <c r="Q275" s="487" t="e">
        <f t="shared" ref="Q275:AS275" si="110">Q162*(100+Q269)/100</f>
        <v>#REF!</v>
      </c>
      <c r="R275" s="487" t="e">
        <f t="shared" si="110"/>
        <v>#REF!</v>
      </c>
      <c r="S275" s="487" t="e">
        <f t="shared" si="110"/>
        <v>#REF!</v>
      </c>
      <c r="T275" s="487" t="e">
        <f t="shared" si="110"/>
        <v>#REF!</v>
      </c>
      <c r="U275" s="487" t="e">
        <f t="shared" si="110"/>
        <v>#REF!</v>
      </c>
      <c r="V275" s="487" t="e">
        <f t="shared" si="110"/>
        <v>#REF!</v>
      </c>
      <c r="W275" s="487" t="e">
        <f t="shared" si="110"/>
        <v>#REF!</v>
      </c>
      <c r="X275" s="487" t="e">
        <f t="shared" si="110"/>
        <v>#REF!</v>
      </c>
      <c r="Y275" s="487" t="e">
        <f t="shared" si="110"/>
        <v>#REF!</v>
      </c>
      <c r="Z275" s="487" t="e">
        <f t="shared" si="110"/>
        <v>#REF!</v>
      </c>
      <c r="AA275" s="487" t="e">
        <f t="shared" si="110"/>
        <v>#REF!</v>
      </c>
      <c r="AB275" s="487" t="e">
        <f t="shared" si="110"/>
        <v>#REF!</v>
      </c>
      <c r="AC275" s="487" t="e">
        <f t="shared" si="110"/>
        <v>#REF!</v>
      </c>
      <c r="AD275" s="487" t="e">
        <f t="shared" si="110"/>
        <v>#REF!</v>
      </c>
      <c r="AE275" s="487" t="e">
        <f t="shared" si="110"/>
        <v>#REF!</v>
      </c>
      <c r="AF275" s="487" t="e">
        <f t="shared" si="110"/>
        <v>#REF!</v>
      </c>
      <c r="AG275" s="487" t="e">
        <f t="shared" si="110"/>
        <v>#REF!</v>
      </c>
      <c r="AH275" s="487" t="e">
        <f t="shared" si="110"/>
        <v>#REF!</v>
      </c>
      <c r="AI275" s="487" t="e">
        <f t="shared" si="110"/>
        <v>#REF!</v>
      </c>
      <c r="AJ275" s="487" t="e">
        <f t="shared" si="110"/>
        <v>#REF!</v>
      </c>
      <c r="AK275" s="487" t="e">
        <f t="shared" si="110"/>
        <v>#REF!</v>
      </c>
      <c r="AL275" s="487" t="e">
        <f t="shared" si="110"/>
        <v>#REF!</v>
      </c>
      <c r="AM275" s="487" t="e">
        <f t="shared" si="110"/>
        <v>#REF!</v>
      </c>
      <c r="AN275" s="487" t="e">
        <f t="shared" si="110"/>
        <v>#REF!</v>
      </c>
      <c r="AO275" s="487" t="e">
        <f t="shared" si="110"/>
        <v>#REF!</v>
      </c>
      <c r="AP275" s="487" t="e">
        <f t="shared" si="110"/>
        <v>#REF!</v>
      </c>
      <c r="AQ275" s="487" t="e">
        <f t="shared" si="110"/>
        <v>#REF!</v>
      </c>
      <c r="AR275" s="487" t="e">
        <f t="shared" si="110"/>
        <v>#REF!</v>
      </c>
      <c r="AS275" s="487" t="e">
        <f t="shared" si="110"/>
        <v>#REF!</v>
      </c>
    </row>
    <row r="276" spans="15:45">
      <c r="O276" s="478" t="str">
        <f t="shared" si="107"/>
        <v>Tram, light train</v>
      </c>
      <c r="P276" s="487">
        <f>P163*(100+P269)/100</f>
        <v>0</v>
      </c>
      <c r="Q276" s="487" t="e">
        <f t="shared" ref="Q276:AS276" si="111">Q163</f>
        <v>#REF!</v>
      </c>
      <c r="R276" s="487" t="e">
        <f t="shared" si="111"/>
        <v>#REF!</v>
      </c>
      <c r="S276" s="487" t="e">
        <f t="shared" si="111"/>
        <v>#REF!</v>
      </c>
      <c r="T276" s="487" t="e">
        <f t="shared" si="111"/>
        <v>#REF!</v>
      </c>
      <c r="U276" s="487" t="e">
        <f t="shared" si="111"/>
        <v>#REF!</v>
      </c>
      <c r="V276" s="487" t="e">
        <f t="shared" si="111"/>
        <v>#REF!</v>
      </c>
      <c r="W276" s="487" t="e">
        <f t="shared" si="111"/>
        <v>#REF!</v>
      </c>
      <c r="X276" s="487" t="e">
        <f t="shared" si="111"/>
        <v>#REF!</v>
      </c>
      <c r="Y276" s="487" t="e">
        <f t="shared" si="111"/>
        <v>#REF!</v>
      </c>
      <c r="Z276" s="487" t="e">
        <f t="shared" si="111"/>
        <v>#REF!</v>
      </c>
      <c r="AA276" s="487" t="e">
        <f t="shared" si="111"/>
        <v>#REF!</v>
      </c>
      <c r="AB276" s="487" t="e">
        <f t="shared" si="111"/>
        <v>#REF!</v>
      </c>
      <c r="AC276" s="487" t="e">
        <f t="shared" si="111"/>
        <v>#REF!</v>
      </c>
      <c r="AD276" s="487" t="e">
        <f t="shared" si="111"/>
        <v>#REF!</v>
      </c>
      <c r="AE276" s="487" t="e">
        <f t="shared" si="111"/>
        <v>#REF!</v>
      </c>
      <c r="AF276" s="487" t="e">
        <f t="shared" si="111"/>
        <v>#REF!</v>
      </c>
      <c r="AG276" s="487" t="e">
        <f t="shared" si="111"/>
        <v>#REF!</v>
      </c>
      <c r="AH276" s="487" t="e">
        <f t="shared" si="111"/>
        <v>#REF!</v>
      </c>
      <c r="AI276" s="487" t="e">
        <f t="shared" si="111"/>
        <v>#REF!</v>
      </c>
      <c r="AJ276" s="487" t="e">
        <f t="shared" si="111"/>
        <v>#REF!</v>
      </c>
      <c r="AK276" s="487" t="e">
        <f t="shared" si="111"/>
        <v>#REF!</v>
      </c>
      <c r="AL276" s="487" t="e">
        <f t="shared" si="111"/>
        <v>#REF!</v>
      </c>
      <c r="AM276" s="487" t="e">
        <f t="shared" si="111"/>
        <v>#REF!</v>
      </c>
      <c r="AN276" s="487" t="e">
        <f t="shared" si="111"/>
        <v>#REF!</v>
      </c>
      <c r="AO276" s="487" t="e">
        <f t="shared" si="111"/>
        <v>#REF!</v>
      </c>
      <c r="AP276" s="487" t="e">
        <f t="shared" si="111"/>
        <v>#REF!</v>
      </c>
      <c r="AQ276" s="487" t="e">
        <f t="shared" si="111"/>
        <v>#REF!</v>
      </c>
      <c r="AR276" s="487" t="e">
        <f t="shared" si="111"/>
        <v>#REF!</v>
      </c>
      <c r="AS276" s="487" t="e">
        <f t="shared" si="111"/>
        <v>#REF!</v>
      </c>
    </row>
    <row r="277" spans="15:45">
      <c r="O277" s="478" t="str">
        <f t="shared" si="107"/>
        <v>Passenger trains</v>
      </c>
      <c r="P277" s="487">
        <f>P164</f>
        <v>9.2101198979936127E-3</v>
      </c>
      <c r="Q277" s="487" t="e">
        <f t="shared" ref="Q277:AS277" si="112">Q164</f>
        <v>#REF!</v>
      </c>
      <c r="R277" s="487" t="e">
        <f t="shared" si="112"/>
        <v>#REF!</v>
      </c>
      <c r="S277" s="487" t="e">
        <f t="shared" si="112"/>
        <v>#REF!</v>
      </c>
      <c r="T277" s="487" t="e">
        <f t="shared" si="112"/>
        <v>#REF!</v>
      </c>
      <c r="U277" s="487" t="e">
        <f t="shared" si="112"/>
        <v>#REF!</v>
      </c>
      <c r="V277" s="487" t="e">
        <f t="shared" si="112"/>
        <v>#REF!</v>
      </c>
      <c r="W277" s="487" t="e">
        <f t="shared" si="112"/>
        <v>#REF!</v>
      </c>
      <c r="X277" s="487" t="e">
        <f t="shared" si="112"/>
        <v>#REF!</v>
      </c>
      <c r="Y277" s="487" t="e">
        <f t="shared" si="112"/>
        <v>#REF!</v>
      </c>
      <c r="Z277" s="487" t="e">
        <f t="shared" si="112"/>
        <v>#REF!</v>
      </c>
      <c r="AA277" s="487" t="e">
        <f t="shared" si="112"/>
        <v>#REF!</v>
      </c>
      <c r="AB277" s="487" t="e">
        <f t="shared" si="112"/>
        <v>#REF!</v>
      </c>
      <c r="AC277" s="487" t="e">
        <f t="shared" si="112"/>
        <v>#REF!</v>
      </c>
      <c r="AD277" s="487" t="e">
        <f t="shared" si="112"/>
        <v>#REF!</v>
      </c>
      <c r="AE277" s="487" t="e">
        <f t="shared" si="112"/>
        <v>#REF!</v>
      </c>
      <c r="AF277" s="487" t="e">
        <f t="shared" si="112"/>
        <v>#REF!</v>
      </c>
      <c r="AG277" s="487" t="e">
        <f t="shared" si="112"/>
        <v>#REF!</v>
      </c>
      <c r="AH277" s="487" t="e">
        <f t="shared" si="112"/>
        <v>#REF!</v>
      </c>
      <c r="AI277" s="487" t="e">
        <f t="shared" si="112"/>
        <v>#REF!</v>
      </c>
      <c r="AJ277" s="487" t="e">
        <f t="shared" si="112"/>
        <v>#REF!</v>
      </c>
      <c r="AK277" s="487" t="e">
        <f t="shared" si="112"/>
        <v>#REF!</v>
      </c>
      <c r="AL277" s="487" t="e">
        <f t="shared" si="112"/>
        <v>#REF!</v>
      </c>
      <c r="AM277" s="487" t="e">
        <f t="shared" si="112"/>
        <v>#REF!</v>
      </c>
      <c r="AN277" s="487" t="e">
        <f t="shared" si="112"/>
        <v>#REF!</v>
      </c>
      <c r="AO277" s="487" t="e">
        <f t="shared" si="112"/>
        <v>#REF!</v>
      </c>
      <c r="AP277" s="487" t="e">
        <f t="shared" si="112"/>
        <v>#REF!</v>
      </c>
      <c r="AQ277" s="487" t="e">
        <f t="shared" si="112"/>
        <v>#REF!</v>
      </c>
      <c r="AR277" s="487" t="e">
        <f t="shared" si="112"/>
        <v>#REF!</v>
      </c>
      <c r="AS277" s="487" t="e">
        <f t="shared" si="112"/>
        <v>#REF!</v>
      </c>
    </row>
    <row r="278" spans="15:45">
      <c r="O278" s="478" t="str">
        <f t="shared" si="107"/>
        <v>Rail freight</v>
      </c>
      <c r="P278" s="487" t="e">
        <f>P165</f>
        <v>#REF!</v>
      </c>
      <c r="Q278" s="487" t="e">
        <f t="shared" ref="Q278:AS278" si="113">Q165</f>
        <v>#REF!</v>
      </c>
      <c r="R278" s="487" t="e">
        <f t="shared" si="113"/>
        <v>#REF!</v>
      </c>
      <c r="S278" s="487" t="e">
        <f t="shared" si="113"/>
        <v>#REF!</v>
      </c>
      <c r="T278" s="487" t="e">
        <f t="shared" si="113"/>
        <v>#REF!</v>
      </c>
      <c r="U278" s="487" t="e">
        <f t="shared" si="113"/>
        <v>#REF!</v>
      </c>
      <c r="V278" s="487" t="e">
        <f t="shared" si="113"/>
        <v>#REF!</v>
      </c>
      <c r="W278" s="487" t="e">
        <f t="shared" si="113"/>
        <v>#REF!</v>
      </c>
      <c r="X278" s="487" t="e">
        <f t="shared" si="113"/>
        <v>#REF!</v>
      </c>
      <c r="Y278" s="487" t="e">
        <f t="shared" si="113"/>
        <v>#REF!</v>
      </c>
      <c r="Z278" s="487" t="e">
        <f t="shared" si="113"/>
        <v>#REF!</v>
      </c>
      <c r="AA278" s="487" t="e">
        <f t="shared" si="113"/>
        <v>#REF!</v>
      </c>
      <c r="AB278" s="487" t="e">
        <f t="shared" si="113"/>
        <v>#REF!</v>
      </c>
      <c r="AC278" s="487" t="e">
        <f t="shared" si="113"/>
        <v>#REF!</v>
      </c>
      <c r="AD278" s="487" t="e">
        <f t="shared" si="113"/>
        <v>#REF!</v>
      </c>
      <c r="AE278" s="487" t="e">
        <f t="shared" si="113"/>
        <v>#REF!</v>
      </c>
      <c r="AF278" s="487" t="e">
        <f t="shared" si="113"/>
        <v>#REF!</v>
      </c>
      <c r="AG278" s="487" t="e">
        <f t="shared" si="113"/>
        <v>#REF!</v>
      </c>
      <c r="AH278" s="487" t="e">
        <f t="shared" si="113"/>
        <v>#REF!</v>
      </c>
      <c r="AI278" s="487" t="e">
        <f t="shared" si="113"/>
        <v>#REF!</v>
      </c>
      <c r="AJ278" s="487" t="e">
        <f t="shared" si="113"/>
        <v>#REF!</v>
      </c>
      <c r="AK278" s="487" t="e">
        <f t="shared" si="113"/>
        <v>#REF!</v>
      </c>
      <c r="AL278" s="487" t="e">
        <f t="shared" si="113"/>
        <v>#REF!</v>
      </c>
      <c r="AM278" s="487" t="e">
        <f t="shared" si="113"/>
        <v>#REF!</v>
      </c>
      <c r="AN278" s="487" t="e">
        <f t="shared" si="113"/>
        <v>#REF!</v>
      </c>
      <c r="AO278" s="487" t="e">
        <f t="shared" si="113"/>
        <v>#REF!</v>
      </c>
      <c r="AP278" s="487" t="e">
        <f t="shared" si="113"/>
        <v>#REF!</v>
      </c>
      <c r="AQ278" s="487" t="e">
        <f t="shared" si="113"/>
        <v>#REF!</v>
      </c>
      <c r="AR278" s="487" t="e">
        <f t="shared" si="113"/>
        <v>#REF!</v>
      </c>
      <c r="AS278" s="487" t="e">
        <f t="shared" si="113"/>
        <v>#REF!</v>
      </c>
    </row>
    <row r="279" spans="15:45">
      <c r="O279" s="478" t="str">
        <f t="shared" si="107"/>
        <v>Road freight</v>
      </c>
      <c r="P279" s="487" t="e">
        <f>P166</f>
        <v>#REF!</v>
      </c>
      <c r="Q279" s="487" t="e">
        <f t="shared" ref="Q279:AS279" si="114">Q166</f>
        <v>#REF!</v>
      </c>
      <c r="R279" s="487" t="e">
        <f t="shared" si="114"/>
        <v>#REF!</v>
      </c>
      <c r="S279" s="487" t="e">
        <f t="shared" si="114"/>
        <v>#REF!</v>
      </c>
      <c r="T279" s="487" t="e">
        <f t="shared" si="114"/>
        <v>#REF!</v>
      </c>
      <c r="U279" s="487" t="e">
        <f t="shared" si="114"/>
        <v>#REF!</v>
      </c>
      <c r="V279" s="487" t="e">
        <f t="shared" si="114"/>
        <v>#REF!</v>
      </c>
      <c r="W279" s="487" t="e">
        <f t="shared" si="114"/>
        <v>#REF!</v>
      </c>
      <c r="X279" s="487" t="e">
        <f t="shared" si="114"/>
        <v>#REF!</v>
      </c>
      <c r="Y279" s="487" t="e">
        <f t="shared" si="114"/>
        <v>#REF!</v>
      </c>
      <c r="Z279" s="487" t="e">
        <f t="shared" si="114"/>
        <v>#REF!</v>
      </c>
      <c r="AA279" s="487" t="e">
        <f t="shared" si="114"/>
        <v>#REF!</v>
      </c>
      <c r="AB279" s="487" t="e">
        <f t="shared" si="114"/>
        <v>#REF!</v>
      </c>
      <c r="AC279" s="487" t="e">
        <f t="shared" si="114"/>
        <v>#REF!</v>
      </c>
      <c r="AD279" s="487" t="e">
        <f t="shared" si="114"/>
        <v>#REF!</v>
      </c>
      <c r="AE279" s="487" t="e">
        <f t="shared" si="114"/>
        <v>#REF!</v>
      </c>
      <c r="AF279" s="487" t="e">
        <f t="shared" si="114"/>
        <v>#REF!</v>
      </c>
      <c r="AG279" s="487" t="e">
        <f t="shared" si="114"/>
        <v>#REF!</v>
      </c>
      <c r="AH279" s="487" t="e">
        <f t="shared" si="114"/>
        <v>#REF!</v>
      </c>
      <c r="AI279" s="487" t="e">
        <f t="shared" si="114"/>
        <v>#REF!</v>
      </c>
      <c r="AJ279" s="487" t="e">
        <f t="shared" si="114"/>
        <v>#REF!</v>
      </c>
      <c r="AK279" s="487" t="e">
        <f t="shared" si="114"/>
        <v>#REF!</v>
      </c>
      <c r="AL279" s="487" t="e">
        <f t="shared" si="114"/>
        <v>#REF!</v>
      </c>
      <c r="AM279" s="487" t="e">
        <f t="shared" si="114"/>
        <v>#REF!</v>
      </c>
      <c r="AN279" s="487" t="e">
        <f t="shared" si="114"/>
        <v>#REF!</v>
      </c>
      <c r="AO279" s="487" t="e">
        <f t="shared" si="114"/>
        <v>#REF!</v>
      </c>
      <c r="AP279" s="487" t="e">
        <f t="shared" si="114"/>
        <v>#REF!</v>
      </c>
      <c r="AQ279" s="487" t="e">
        <f t="shared" si="114"/>
        <v>#REF!</v>
      </c>
      <c r="AR279" s="487" t="e">
        <f t="shared" si="114"/>
        <v>#REF!</v>
      </c>
      <c r="AS279" s="487" t="e">
        <f t="shared" si="114"/>
        <v>#REF!</v>
      </c>
    </row>
    <row r="280" spans="15:45">
      <c r="O280" s="478" t="str">
        <f t="shared" si="107"/>
        <v>Inland waterways freight</v>
      </c>
      <c r="P280" s="487" t="e">
        <f>P167</f>
        <v>#REF!</v>
      </c>
      <c r="Q280" s="487" t="e">
        <f t="shared" ref="Q280:AS280" si="115">Q167</f>
        <v>#REF!</v>
      </c>
      <c r="R280" s="487" t="e">
        <f t="shared" si="115"/>
        <v>#REF!</v>
      </c>
      <c r="S280" s="487" t="e">
        <f t="shared" si="115"/>
        <v>#REF!</v>
      </c>
      <c r="T280" s="487" t="e">
        <f t="shared" si="115"/>
        <v>#REF!</v>
      </c>
      <c r="U280" s="487" t="e">
        <f t="shared" si="115"/>
        <v>#REF!</v>
      </c>
      <c r="V280" s="487" t="e">
        <f t="shared" si="115"/>
        <v>#REF!</v>
      </c>
      <c r="W280" s="487" t="e">
        <f t="shared" si="115"/>
        <v>#REF!</v>
      </c>
      <c r="X280" s="487" t="e">
        <f t="shared" si="115"/>
        <v>#REF!</v>
      </c>
      <c r="Y280" s="487" t="e">
        <f t="shared" si="115"/>
        <v>#REF!</v>
      </c>
      <c r="Z280" s="487" t="e">
        <f t="shared" si="115"/>
        <v>#REF!</v>
      </c>
      <c r="AA280" s="487" t="e">
        <f t="shared" si="115"/>
        <v>#REF!</v>
      </c>
      <c r="AB280" s="487" t="e">
        <f t="shared" si="115"/>
        <v>#REF!</v>
      </c>
      <c r="AC280" s="487" t="e">
        <f t="shared" si="115"/>
        <v>#REF!</v>
      </c>
      <c r="AD280" s="487" t="e">
        <f t="shared" si="115"/>
        <v>#REF!</v>
      </c>
      <c r="AE280" s="487" t="e">
        <f t="shared" si="115"/>
        <v>#REF!</v>
      </c>
      <c r="AF280" s="487" t="e">
        <f t="shared" si="115"/>
        <v>#REF!</v>
      </c>
      <c r="AG280" s="487" t="e">
        <f t="shared" si="115"/>
        <v>#REF!</v>
      </c>
      <c r="AH280" s="487" t="e">
        <f t="shared" si="115"/>
        <v>#REF!</v>
      </c>
      <c r="AI280" s="487" t="e">
        <f t="shared" si="115"/>
        <v>#REF!</v>
      </c>
      <c r="AJ280" s="487" t="e">
        <f t="shared" si="115"/>
        <v>#REF!</v>
      </c>
      <c r="AK280" s="487" t="e">
        <f t="shared" si="115"/>
        <v>#REF!</v>
      </c>
      <c r="AL280" s="487" t="e">
        <f t="shared" si="115"/>
        <v>#REF!</v>
      </c>
      <c r="AM280" s="487" t="e">
        <f t="shared" si="115"/>
        <v>#REF!</v>
      </c>
      <c r="AN280" s="487" t="e">
        <f t="shared" si="115"/>
        <v>#REF!</v>
      </c>
      <c r="AO280" s="487" t="e">
        <f t="shared" si="115"/>
        <v>#REF!</v>
      </c>
      <c r="AP280" s="487" t="e">
        <f t="shared" si="115"/>
        <v>#REF!</v>
      </c>
      <c r="AQ280" s="487" t="e">
        <f t="shared" si="115"/>
        <v>#REF!</v>
      </c>
      <c r="AR280" s="487" t="e">
        <f t="shared" si="115"/>
        <v>#REF!</v>
      </c>
      <c r="AS280" s="487" t="e">
        <f t="shared" si="115"/>
        <v>#REF!</v>
      </c>
    </row>
    <row r="281" spans="15:45">
      <c r="O281" s="397" t="s">
        <v>601</v>
      </c>
      <c r="P281" s="488">
        <f t="shared" ref="P281:AS281" si="116">P61</f>
        <v>1.4127912121381327</v>
      </c>
      <c r="Q281" s="488">
        <f t="shared" si="116"/>
        <v>1.4386141096032012</v>
      </c>
      <c r="R281" s="488">
        <f t="shared" si="116"/>
        <v>1.4631310811807898</v>
      </c>
      <c r="S281" s="488">
        <f t="shared" si="116"/>
        <v>1.488234799999876</v>
      </c>
      <c r="T281" s="488">
        <f t="shared" si="116"/>
        <v>1.5137797263217707</v>
      </c>
      <c r="U281" s="488">
        <f t="shared" si="116"/>
        <v>1.539713575473471</v>
      </c>
      <c r="V281" s="488">
        <f t="shared" si="116"/>
        <v>1.5671304498993999</v>
      </c>
      <c r="W281" s="488">
        <f t="shared" si="116"/>
        <v>1.5940837232919742</v>
      </c>
      <c r="X281" s="488">
        <f t="shared" si="116"/>
        <v>1.6218376907676095</v>
      </c>
      <c r="Y281" s="488">
        <f t="shared" si="116"/>
        <v>1.6500053171292597</v>
      </c>
      <c r="Z281" s="488">
        <f t="shared" si="116"/>
        <v>1.6717599631585134</v>
      </c>
      <c r="AA281" s="488">
        <f t="shared" si="116"/>
        <v>1.6943002449639453</v>
      </c>
      <c r="AB281" s="488">
        <f t="shared" si="116"/>
        <v>1.7169906230752534</v>
      </c>
      <c r="AC281" s="488">
        <f t="shared" si="116"/>
        <v>1.7399951384759089</v>
      </c>
      <c r="AD281" s="488">
        <f t="shared" si="116"/>
        <v>1.7629142333027559</v>
      </c>
      <c r="AE281" s="488">
        <f t="shared" si="116"/>
        <v>1.7866398250799063</v>
      </c>
      <c r="AF281" s="488">
        <f t="shared" si="116"/>
        <v>1.8108550228777158</v>
      </c>
      <c r="AG281" s="488">
        <f t="shared" si="116"/>
        <v>1.8349976916868975</v>
      </c>
      <c r="AH281" s="488">
        <f t="shared" si="116"/>
        <v>1.8591512846826639</v>
      </c>
      <c r="AI281" s="488">
        <f t="shared" si="116"/>
        <v>1.8835654257279857</v>
      </c>
      <c r="AJ281" s="488">
        <f t="shared" si="116"/>
        <v>1.9083268990115856</v>
      </c>
      <c r="AK281" s="488">
        <f t="shared" si="116"/>
        <v>1.9334405164209156</v>
      </c>
      <c r="AL281" s="488">
        <f t="shared" si="116"/>
        <v>1.9589111570853017</v>
      </c>
      <c r="AM281" s="488">
        <f t="shared" si="116"/>
        <v>1.9847437683129039</v>
      </c>
      <c r="AN281" s="488">
        <f t="shared" si="116"/>
        <v>2.0109433665407384</v>
      </c>
      <c r="AO281" s="488">
        <f t="shared" si="116"/>
        <v>2.0375150382979377</v>
      </c>
      <c r="AP281" s="488">
        <f t="shared" si="116"/>
        <v>2.0644639411824497</v>
      </c>
      <c r="AQ281" s="488">
        <f t="shared" si="116"/>
        <v>2.0917953048513485</v>
      </c>
      <c r="AR281" s="488">
        <f t="shared" si="116"/>
        <v>2.1195144320249537</v>
      </c>
      <c r="AS281" s="488">
        <f t="shared" si="116"/>
        <v>2.1476266995049462</v>
      </c>
    </row>
    <row r="282" spans="15:45">
      <c r="O282" s="481" t="s">
        <v>602</v>
      </c>
      <c r="P282" s="493" t="e">
        <f>SUM(P273:P280)</f>
        <v>#REF!</v>
      </c>
      <c r="Q282" s="493" t="e">
        <f t="shared" ref="Q282:AS282" si="117">SUM(Q273:Q280)</f>
        <v>#DIV/0!</v>
      </c>
      <c r="R282" s="493" t="e">
        <f t="shared" si="117"/>
        <v>#DIV/0!</v>
      </c>
      <c r="S282" s="493" t="e">
        <f t="shared" si="117"/>
        <v>#DIV/0!</v>
      </c>
      <c r="T282" s="493" t="e">
        <f t="shared" si="117"/>
        <v>#DIV/0!</v>
      </c>
      <c r="U282" s="493" t="e">
        <f t="shared" si="117"/>
        <v>#DIV/0!</v>
      </c>
      <c r="V282" s="493" t="e">
        <f t="shared" si="117"/>
        <v>#DIV/0!</v>
      </c>
      <c r="W282" s="493" t="e">
        <f t="shared" si="117"/>
        <v>#DIV/0!</v>
      </c>
      <c r="X282" s="493" t="e">
        <f t="shared" si="117"/>
        <v>#DIV/0!</v>
      </c>
      <c r="Y282" s="493" t="e">
        <f t="shared" si="117"/>
        <v>#DIV/0!</v>
      </c>
      <c r="Z282" s="493" t="e">
        <f t="shared" si="117"/>
        <v>#DIV/0!</v>
      </c>
      <c r="AA282" s="493" t="e">
        <f t="shared" si="117"/>
        <v>#DIV/0!</v>
      </c>
      <c r="AB282" s="493" t="e">
        <f t="shared" si="117"/>
        <v>#DIV/0!</v>
      </c>
      <c r="AC282" s="493" t="e">
        <f t="shared" si="117"/>
        <v>#DIV/0!</v>
      </c>
      <c r="AD282" s="493" t="e">
        <f t="shared" si="117"/>
        <v>#DIV/0!</v>
      </c>
      <c r="AE282" s="493" t="e">
        <f t="shared" si="117"/>
        <v>#DIV/0!</v>
      </c>
      <c r="AF282" s="493" t="e">
        <f t="shared" si="117"/>
        <v>#DIV/0!</v>
      </c>
      <c r="AG282" s="493" t="e">
        <f t="shared" si="117"/>
        <v>#DIV/0!</v>
      </c>
      <c r="AH282" s="493" t="e">
        <f t="shared" si="117"/>
        <v>#DIV/0!</v>
      </c>
      <c r="AI282" s="493" t="e">
        <f t="shared" si="117"/>
        <v>#DIV/0!</v>
      </c>
      <c r="AJ282" s="493" t="e">
        <f t="shared" si="117"/>
        <v>#DIV/0!</v>
      </c>
      <c r="AK282" s="493" t="e">
        <f t="shared" si="117"/>
        <v>#DIV/0!</v>
      </c>
      <c r="AL282" s="493" t="e">
        <f t="shared" si="117"/>
        <v>#DIV/0!</v>
      </c>
      <c r="AM282" s="493" t="e">
        <f t="shared" si="117"/>
        <v>#DIV/0!</v>
      </c>
      <c r="AN282" s="493" t="e">
        <f t="shared" si="117"/>
        <v>#DIV/0!</v>
      </c>
      <c r="AO282" s="493" t="e">
        <f t="shared" si="117"/>
        <v>#DIV/0!</v>
      </c>
      <c r="AP282" s="493" t="e">
        <f t="shared" si="117"/>
        <v>#DIV/0!</v>
      </c>
      <c r="AQ282" s="493" t="e">
        <f t="shared" si="117"/>
        <v>#DIV/0!</v>
      </c>
      <c r="AR282" s="493" t="e">
        <f t="shared" si="117"/>
        <v>#DIV/0!</v>
      </c>
      <c r="AS282" s="493" t="e">
        <f t="shared" si="117"/>
        <v>#DIV/0!</v>
      </c>
    </row>
    <row r="283" spans="15:45">
      <c r="O283" s="481" t="s">
        <v>564</v>
      </c>
      <c r="P283" s="489" t="e">
        <f>(P282-P281)/P281*100</f>
        <v>#REF!</v>
      </c>
      <c r="Q283" s="489" t="e">
        <f t="shared" ref="Q283:AS283" si="118">(Q282-Q281)/Q281*100</f>
        <v>#DIV/0!</v>
      </c>
      <c r="R283" s="489" t="e">
        <f t="shared" si="118"/>
        <v>#DIV/0!</v>
      </c>
      <c r="S283" s="489" t="e">
        <f t="shared" si="118"/>
        <v>#DIV/0!</v>
      </c>
      <c r="T283" s="489" t="e">
        <f t="shared" si="118"/>
        <v>#DIV/0!</v>
      </c>
      <c r="U283" s="489" t="e">
        <f t="shared" si="118"/>
        <v>#DIV/0!</v>
      </c>
      <c r="V283" s="489" t="e">
        <f t="shared" si="118"/>
        <v>#DIV/0!</v>
      </c>
      <c r="W283" s="489" t="e">
        <f t="shared" si="118"/>
        <v>#DIV/0!</v>
      </c>
      <c r="X283" s="489" t="e">
        <f t="shared" si="118"/>
        <v>#DIV/0!</v>
      </c>
      <c r="Y283" s="489" t="e">
        <f t="shared" si="118"/>
        <v>#DIV/0!</v>
      </c>
      <c r="Z283" s="489" t="e">
        <f t="shared" si="118"/>
        <v>#DIV/0!</v>
      </c>
      <c r="AA283" s="489" t="e">
        <f t="shared" si="118"/>
        <v>#DIV/0!</v>
      </c>
      <c r="AB283" s="489" t="e">
        <f t="shared" si="118"/>
        <v>#DIV/0!</v>
      </c>
      <c r="AC283" s="489" t="e">
        <f t="shared" si="118"/>
        <v>#DIV/0!</v>
      </c>
      <c r="AD283" s="489" t="e">
        <f t="shared" si="118"/>
        <v>#DIV/0!</v>
      </c>
      <c r="AE283" s="489" t="e">
        <f t="shared" si="118"/>
        <v>#DIV/0!</v>
      </c>
      <c r="AF283" s="489" t="e">
        <f t="shared" si="118"/>
        <v>#DIV/0!</v>
      </c>
      <c r="AG283" s="489" t="e">
        <f t="shared" si="118"/>
        <v>#DIV/0!</v>
      </c>
      <c r="AH283" s="489" t="e">
        <f t="shared" si="118"/>
        <v>#DIV/0!</v>
      </c>
      <c r="AI283" s="489" t="e">
        <f t="shared" si="118"/>
        <v>#DIV/0!</v>
      </c>
      <c r="AJ283" s="489" t="e">
        <f t="shared" si="118"/>
        <v>#DIV/0!</v>
      </c>
      <c r="AK283" s="489" t="e">
        <f t="shared" si="118"/>
        <v>#DIV/0!</v>
      </c>
      <c r="AL283" s="489" t="e">
        <f t="shared" si="118"/>
        <v>#DIV/0!</v>
      </c>
      <c r="AM283" s="489" t="e">
        <f t="shared" si="118"/>
        <v>#DIV/0!</v>
      </c>
      <c r="AN283" s="489" t="e">
        <f t="shared" si="118"/>
        <v>#DIV/0!</v>
      </c>
      <c r="AO283" s="489" t="e">
        <f t="shared" si="118"/>
        <v>#DIV/0!</v>
      </c>
      <c r="AP283" s="489" t="e">
        <f t="shared" si="118"/>
        <v>#DIV/0!</v>
      </c>
      <c r="AQ283" s="489" t="e">
        <f t="shared" si="118"/>
        <v>#DIV/0!</v>
      </c>
      <c r="AR283" s="489" t="e">
        <f t="shared" si="118"/>
        <v>#DIV/0!</v>
      </c>
      <c r="AS283" s="489" t="e">
        <f t="shared" si="118"/>
        <v>#DIV/0!</v>
      </c>
    </row>
  </sheetData>
  <mergeCells count="5">
    <mergeCell ref="B80:C80"/>
    <mergeCell ref="A89:M89"/>
    <mergeCell ref="A1:M1"/>
    <mergeCell ref="A187:D187"/>
    <mergeCell ref="A73:M73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84" r:id="rId4" name="Drop Down 16">
              <controlPr defaultSize="0" autoLine="0" autoPict="0">
                <anchor moveWithCells="1">
                  <from>
                    <xdr:col>0</xdr:col>
                    <xdr:colOff>2838450</xdr:colOff>
                    <xdr:row>3</xdr:row>
                    <xdr:rowOff>0</xdr:rowOff>
                  </from>
                  <to>
                    <xdr:col>2</xdr:col>
                    <xdr:colOff>0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5" name="Drop Down 22">
              <controlPr defaultSize="0" autoLine="0" autoPict="0">
                <anchor moveWithCells="1">
                  <from>
                    <xdr:col>1</xdr:col>
                    <xdr:colOff>0</xdr:colOff>
                    <xdr:row>1</xdr:row>
                    <xdr:rowOff>0</xdr:rowOff>
                  </from>
                  <to>
                    <xdr:col>2</xdr:col>
                    <xdr:colOff>0</xdr:colOff>
                    <xdr:row>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6" name="Drop Down 24">
              <controlPr defaultSize="0" autoLine="0" autoPict="0">
                <anchor moveWithCells="1">
                  <from>
                    <xdr:col>1</xdr:col>
                    <xdr:colOff>9525</xdr:colOff>
                    <xdr:row>77</xdr:row>
                    <xdr:rowOff>0</xdr:rowOff>
                  </from>
                  <to>
                    <xdr:col>2</xdr:col>
                    <xdr:colOff>0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7" name="Drop Down 25">
              <controlPr defaultSize="0" autoLine="0" autoPict="0">
                <anchor moveWithCells="1">
                  <from>
                    <xdr:col>2</xdr:col>
                    <xdr:colOff>9525</xdr:colOff>
                    <xdr:row>77</xdr:row>
                    <xdr:rowOff>0</xdr:rowOff>
                  </from>
                  <to>
                    <xdr:col>3</xdr:col>
                    <xdr:colOff>0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8" name="Drop Down 27">
              <controlPr defaultSize="0" autoLine="0" autoPict="0">
                <anchor moveWithCells="1">
                  <from>
                    <xdr:col>1</xdr:col>
                    <xdr:colOff>9525</xdr:colOff>
                    <xdr:row>18</xdr:row>
                    <xdr:rowOff>9525</xdr:rowOff>
                  </from>
                  <to>
                    <xdr:col>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9" name="Drop Down 28">
              <controlPr defaultSize="0" autoLine="0" autoPict="0">
                <anchor moveWithCells="1">
                  <from>
                    <xdr:col>1</xdr:col>
                    <xdr:colOff>9525</xdr:colOff>
                    <xdr:row>19</xdr:row>
                    <xdr:rowOff>9525</xdr:rowOff>
                  </from>
                  <to>
                    <xdr:col>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10" name="Drop Down 29">
              <controlPr defaultSize="0" autoLine="0" autoPict="0">
                <anchor moveWithCells="1">
                  <from>
                    <xdr:col>1</xdr:col>
                    <xdr:colOff>9525</xdr:colOff>
                    <xdr:row>20</xdr:row>
                    <xdr:rowOff>9525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11" name="Drop Down 30">
              <controlPr defaultSize="0" autoLine="0" autoPict="0">
                <anchor moveWithCells="1">
                  <from>
                    <xdr:col>1</xdr:col>
                    <xdr:colOff>9525</xdr:colOff>
                    <xdr:row>21</xdr:row>
                    <xdr:rowOff>9525</xdr:rowOff>
                  </from>
                  <to>
                    <xdr:col>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12" name="Drop Down 37">
              <controlPr defaultSize="0" autoLine="0" autoPict="0">
                <anchor moveWithCells="1">
                  <from>
                    <xdr:col>1</xdr:col>
                    <xdr:colOff>9525</xdr:colOff>
                    <xdr:row>93</xdr:row>
                    <xdr:rowOff>0</xdr:rowOff>
                  </from>
                  <to>
                    <xdr:col>2</xdr:col>
                    <xdr:colOff>0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13" name="Drop Down 38">
              <controlPr defaultSize="0" autoLine="0" autoPict="0">
                <anchor moveWithCells="1">
                  <from>
                    <xdr:col>2</xdr:col>
                    <xdr:colOff>9525</xdr:colOff>
                    <xdr:row>93</xdr:row>
                    <xdr:rowOff>0</xdr:rowOff>
                  </from>
                  <to>
                    <xdr:col>3</xdr:col>
                    <xdr:colOff>0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14" name="Drop Down 39">
              <controlPr defaultSize="0" autoLine="0" autoPict="0">
                <anchor moveWithCells="1">
                  <from>
                    <xdr:col>1</xdr:col>
                    <xdr:colOff>9525</xdr:colOff>
                    <xdr:row>98</xdr:row>
                    <xdr:rowOff>0</xdr:rowOff>
                  </from>
                  <to>
                    <xdr:col>2</xdr:col>
                    <xdr:colOff>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15" name="Drop Down 40">
              <controlPr defaultSize="0" autoLine="0" autoPict="0">
                <anchor moveWithCells="1">
                  <from>
                    <xdr:col>2</xdr:col>
                    <xdr:colOff>9525</xdr:colOff>
                    <xdr:row>98</xdr:row>
                    <xdr:rowOff>0</xdr:rowOff>
                  </from>
                  <to>
                    <xdr:col>3</xdr:col>
                    <xdr:colOff>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16" name="Drop Down 41">
              <controlPr defaultSize="0" autoLine="0" autoPict="0">
                <anchor moveWithCells="1">
                  <from>
                    <xdr:col>1</xdr:col>
                    <xdr:colOff>9525</xdr:colOff>
                    <xdr:row>108</xdr:row>
                    <xdr:rowOff>0</xdr:rowOff>
                  </from>
                  <to>
                    <xdr:col>2</xdr:col>
                    <xdr:colOff>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17" name="Drop Down 42">
              <controlPr defaultSize="0" autoLine="0" autoPict="0">
                <anchor moveWithCells="1">
                  <from>
                    <xdr:col>2</xdr:col>
                    <xdr:colOff>9525</xdr:colOff>
                    <xdr:row>108</xdr:row>
                    <xdr:rowOff>0</xdr:rowOff>
                  </from>
                  <to>
                    <xdr:col>3</xdr:col>
                    <xdr:colOff>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18" name="Drop Down 43">
              <controlPr defaultSize="0" autoLine="0" autoPict="0">
                <anchor moveWithCells="1">
                  <from>
                    <xdr:col>1</xdr:col>
                    <xdr:colOff>9525</xdr:colOff>
                    <xdr:row>128</xdr:row>
                    <xdr:rowOff>0</xdr:rowOff>
                  </from>
                  <to>
                    <xdr:col>2</xdr:col>
                    <xdr:colOff>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19" name="Drop Down 44">
              <controlPr defaultSize="0" autoLine="0" autoPict="0">
                <anchor moveWithCells="1">
                  <from>
                    <xdr:col>2</xdr:col>
                    <xdr:colOff>9525</xdr:colOff>
                    <xdr:row>128</xdr:row>
                    <xdr:rowOff>0</xdr:rowOff>
                  </from>
                  <to>
                    <xdr:col>3</xdr:col>
                    <xdr:colOff>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20" name="Drop Down 45">
              <controlPr defaultSize="0" autoLine="0" autoPict="0">
                <anchor moveWithCells="1">
                  <from>
                    <xdr:col>1</xdr:col>
                    <xdr:colOff>9525</xdr:colOff>
                    <xdr:row>149</xdr:row>
                    <xdr:rowOff>0</xdr:rowOff>
                  </from>
                  <to>
                    <xdr:col>2</xdr:col>
                    <xdr:colOff>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4" r:id="rId21" name="Drop Down 46">
              <controlPr defaultSize="0" autoLine="0" autoPict="0">
                <anchor moveWithCells="1">
                  <from>
                    <xdr:col>2</xdr:col>
                    <xdr:colOff>9525</xdr:colOff>
                    <xdr:row>149</xdr:row>
                    <xdr:rowOff>0</xdr:rowOff>
                  </from>
                  <to>
                    <xdr:col>3</xdr:col>
                    <xdr:colOff>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22" name="Drop Down 47">
              <controlPr defaultSize="0" autoLine="0" autoPict="0">
                <anchor moveWithCells="1">
                  <from>
                    <xdr:col>1</xdr:col>
                    <xdr:colOff>9525</xdr:colOff>
                    <xdr:row>117</xdr:row>
                    <xdr:rowOff>0</xdr:rowOff>
                  </from>
                  <to>
                    <xdr:col>2</xdr:col>
                    <xdr:colOff>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6" r:id="rId23" name="Drop Down 48">
              <controlPr defaultSize="0" autoLine="0" autoPict="0">
                <anchor moveWithCells="1">
                  <from>
                    <xdr:col>2</xdr:col>
                    <xdr:colOff>9525</xdr:colOff>
                    <xdr:row>117</xdr:row>
                    <xdr:rowOff>0</xdr:rowOff>
                  </from>
                  <to>
                    <xdr:col>3</xdr:col>
                    <xdr:colOff>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7" r:id="rId24" name="Drop Down 49">
              <controlPr defaultSize="0" autoLine="0" autoPict="0">
                <anchor moveWithCells="1">
                  <from>
                    <xdr:col>1</xdr:col>
                    <xdr:colOff>9525</xdr:colOff>
                    <xdr:row>155</xdr:row>
                    <xdr:rowOff>0</xdr:rowOff>
                  </from>
                  <to>
                    <xdr:col>2</xdr:col>
                    <xdr:colOff>0</xdr:colOff>
                    <xdr:row>156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8" r:id="rId25" name="Drop Down 50">
              <controlPr defaultSize="0" autoLine="0" autoPict="0">
                <anchor moveWithCells="1">
                  <from>
                    <xdr:col>2</xdr:col>
                    <xdr:colOff>9525</xdr:colOff>
                    <xdr:row>155</xdr:row>
                    <xdr:rowOff>0</xdr:rowOff>
                  </from>
                  <to>
                    <xdr:col>3</xdr:col>
                    <xdr:colOff>0</xdr:colOff>
                    <xdr:row>156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9" r:id="rId26" name="Drop Down 51">
              <controlPr defaultSize="0" autoLine="0" autoPict="0">
                <anchor moveWithCells="1">
                  <from>
                    <xdr:col>1</xdr:col>
                    <xdr:colOff>9525</xdr:colOff>
                    <xdr:row>149</xdr:row>
                    <xdr:rowOff>0</xdr:rowOff>
                  </from>
                  <to>
                    <xdr:col>2</xdr:col>
                    <xdr:colOff>0</xdr:colOff>
                    <xdr:row>150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2">
    <tabColor theme="7" tint="0.59999389629810485"/>
  </sheetPr>
  <dimension ref="A1:AX611"/>
  <sheetViews>
    <sheetView showGridLines="0" tabSelected="1" topLeftCell="A400" zoomScale="80" zoomScaleNormal="80" zoomScaleSheetLayoutView="50" workbookViewId="0">
      <selection activeCell="A251" sqref="A251"/>
    </sheetView>
  </sheetViews>
  <sheetFormatPr defaultRowHeight="15"/>
  <cols>
    <col min="1" max="1" width="35.5703125" customWidth="1"/>
    <col min="2" max="32" width="10.5703125" style="6" customWidth="1"/>
    <col min="33" max="33" width="10.5703125" customWidth="1"/>
    <col min="34" max="40" width="10.5703125" style="6" customWidth="1"/>
  </cols>
  <sheetData>
    <row r="1" spans="1:42" ht="15.75" thickBot="1">
      <c r="A1" s="115" t="s">
        <v>99</v>
      </c>
    </row>
    <row r="2" spans="1:42" s="7" customFormat="1" ht="19.5" thickBot="1">
      <c r="A2" s="763" t="s">
        <v>477</v>
      </c>
      <c r="B2" s="764"/>
      <c r="C2" s="764"/>
      <c r="D2" s="764"/>
      <c r="E2" s="764"/>
      <c r="F2" s="764"/>
      <c r="G2" s="764"/>
      <c r="H2" s="764"/>
      <c r="I2" s="764"/>
      <c r="J2" s="764"/>
      <c r="K2" s="764"/>
      <c r="L2" s="764"/>
      <c r="M2" s="764"/>
      <c r="N2" s="764"/>
      <c r="O2" s="764"/>
      <c r="P2" s="764"/>
      <c r="Q2" s="764"/>
      <c r="R2" s="764"/>
      <c r="S2" s="764"/>
      <c r="T2" s="764"/>
      <c r="U2" s="764"/>
      <c r="V2" s="764"/>
      <c r="W2" s="764"/>
      <c r="X2" s="764"/>
      <c r="Y2" s="764"/>
      <c r="Z2" s="764"/>
      <c r="AA2" s="764"/>
      <c r="AB2" s="764"/>
      <c r="AC2" s="764"/>
      <c r="AD2" s="764"/>
      <c r="AE2" s="764"/>
      <c r="AF2" s="764"/>
      <c r="AG2" s="764"/>
      <c r="AH2" s="764"/>
      <c r="AI2" s="764"/>
      <c r="AJ2" s="764"/>
      <c r="AK2" s="764"/>
      <c r="AL2" s="764"/>
      <c r="AM2" s="765"/>
      <c r="AN2" s="6"/>
    </row>
    <row r="3" spans="1:42" s="7" customFormat="1">
      <c r="A3" s="199" t="s">
        <v>426</v>
      </c>
      <c r="B3" s="62"/>
      <c r="C3" s="62" t="s">
        <v>47</v>
      </c>
      <c r="D3" s="62" t="s">
        <v>48</v>
      </c>
      <c r="E3" s="341" t="s">
        <v>4</v>
      </c>
      <c r="F3" s="62" t="s">
        <v>5</v>
      </c>
      <c r="G3" s="62" t="s">
        <v>6</v>
      </c>
      <c r="H3" s="62" t="s">
        <v>15</v>
      </c>
      <c r="I3" s="62" t="s">
        <v>7</v>
      </c>
      <c r="J3" s="62" t="s">
        <v>8</v>
      </c>
      <c r="K3" s="62" t="s">
        <v>9</v>
      </c>
      <c r="L3" s="62" t="s">
        <v>10</v>
      </c>
      <c r="M3" s="62" t="s">
        <v>2</v>
      </c>
      <c r="N3" s="62" t="s">
        <v>12</v>
      </c>
      <c r="O3" s="62" t="s">
        <v>30</v>
      </c>
      <c r="P3" s="62" t="s">
        <v>13</v>
      </c>
      <c r="Q3" s="62" t="s">
        <v>14</v>
      </c>
      <c r="R3" s="62" t="s">
        <v>45</v>
      </c>
      <c r="S3" s="62" t="s">
        <v>16</v>
      </c>
      <c r="T3" s="62" t="s">
        <v>17</v>
      </c>
      <c r="U3" s="62" t="s">
        <v>20</v>
      </c>
      <c r="V3" s="62" t="s">
        <v>154</v>
      </c>
      <c r="W3" s="62" t="s">
        <v>18</v>
      </c>
      <c r="X3" s="62" t="s">
        <v>19</v>
      </c>
      <c r="Y3" s="62" t="s">
        <v>21</v>
      </c>
      <c r="Z3" s="62" t="s">
        <v>22</v>
      </c>
      <c r="AA3" s="62" t="s">
        <v>29</v>
      </c>
      <c r="AB3" s="62" t="s">
        <v>23</v>
      </c>
      <c r="AC3" s="62" t="s">
        <v>24</v>
      </c>
      <c r="AD3" s="62" t="s">
        <v>25</v>
      </c>
      <c r="AE3" s="62" t="s">
        <v>28</v>
      </c>
      <c r="AF3" s="62" t="s">
        <v>27</v>
      </c>
      <c r="AG3" s="62" t="s">
        <v>11</v>
      </c>
      <c r="AH3" s="62" t="s">
        <v>26</v>
      </c>
      <c r="AI3" s="62" t="s">
        <v>46</v>
      </c>
      <c r="AJ3" s="62" t="s">
        <v>31</v>
      </c>
      <c r="AK3" s="25"/>
      <c r="AL3" s="25"/>
      <c r="AM3" s="217"/>
    </row>
    <row r="4" spans="1:42" s="7" customFormat="1">
      <c r="A4" s="13"/>
      <c r="B4" s="28"/>
      <c r="C4" s="29">
        <v>447007596</v>
      </c>
      <c r="D4" s="30"/>
      <c r="E4" s="342">
        <v>8932664</v>
      </c>
      <c r="F4" s="29">
        <v>11566041</v>
      </c>
      <c r="G4" s="29">
        <v>6916548</v>
      </c>
      <c r="H4" s="29">
        <v>4036355</v>
      </c>
      <c r="I4" s="29">
        <v>896005</v>
      </c>
      <c r="J4" s="29">
        <v>10701777</v>
      </c>
      <c r="K4" s="29">
        <v>5840045</v>
      </c>
      <c r="L4" s="29">
        <v>1330068</v>
      </c>
      <c r="M4" s="29">
        <v>5533793</v>
      </c>
      <c r="N4" s="29">
        <v>67439599</v>
      </c>
      <c r="O4" s="29">
        <v>83155031</v>
      </c>
      <c r="P4" s="29">
        <v>10682547</v>
      </c>
      <c r="Q4" s="29">
        <v>9730772</v>
      </c>
      <c r="R4" s="29">
        <v>368792</v>
      </c>
      <c r="S4" s="29">
        <v>5006907</v>
      </c>
      <c r="T4" s="29">
        <v>59257566</v>
      </c>
      <c r="U4" s="29">
        <v>1893223</v>
      </c>
      <c r="V4" s="2"/>
      <c r="W4" s="29">
        <v>2795680</v>
      </c>
      <c r="X4" s="29">
        <v>634730</v>
      </c>
      <c r="Y4" s="29">
        <v>516100</v>
      </c>
      <c r="Z4" s="29">
        <v>17475415</v>
      </c>
      <c r="AA4" s="29">
        <v>5391369</v>
      </c>
      <c r="AB4" s="29">
        <v>37840001</v>
      </c>
      <c r="AC4" s="29">
        <v>10298252</v>
      </c>
      <c r="AD4" s="29">
        <v>19186201</v>
      </c>
      <c r="AE4" s="29">
        <v>5459781</v>
      </c>
      <c r="AF4" s="29">
        <v>2108977</v>
      </c>
      <c r="AG4" s="29">
        <v>47394223</v>
      </c>
      <c r="AH4" s="29">
        <v>10379295</v>
      </c>
      <c r="AI4" s="29">
        <v>8667088</v>
      </c>
      <c r="AJ4" s="260">
        <v>68336076</v>
      </c>
      <c r="AK4" s="29"/>
      <c r="AL4" s="29"/>
      <c r="AM4" s="33"/>
      <c r="AO4" s="22" t="s">
        <v>51</v>
      </c>
      <c r="AP4" s="22"/>
    </row>
    <row r="5" spans="1:42" s="7" customFormat="1">
      <c r="A5" s="13"/>
      <c r="B5" s="2"/>
      <c r="C5" s="29"/>
      <c r="D5" s="47" t="s">
        <v>42</v>
      </c>
      <c r="E5" s="370">
        <v>2021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33"/>
      <c r="AO5" s="22"/>
      <c r="AP5" s="22"/>
    </row>
    <row r="6" spans="1:42" s="7" customFormat="1">
      <c r="A6" s="13"/>
      <c r="B6" s="2"/>
      <c r="C6" s="29"/>
      <c r="D6" s="371" t="s">
        <v>1</v>
      </c>
      <c r="E6" s="370" t="s">
        <v>53</v>
      </c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33"/>
      <c r="AO6" s="22"/>
      <c r="AP6" s="22"/>
    </row>
    <row r="7" spans="1:42" s="7" customFormat="1">
      <c r="A7" s="107" t="s">
        <v>427</v>
      </c>
      <c r="B7" s="387"/>
      <c r="C7" s="741" t="s">
        <v>47</v>
      </c>
      <c r="D7" s="741" t="s">
        <v>48</v>
      </c>
      <c r="E7" s="313" t="s">
        <v>4</v>
      </c>
      <c r="F7" s="387" t="s">
        <v>5</v>
      </c>
      <c r="G7" s="387" t="s">
        <v>6</v>
      </c>
      <c r="H7" s="387" t="s">
        <v>15</v>
      </c>
      <c r="I7" s="387" t="s">
        <v>7</v>
      </c>
      <c r="J7" s="387" t="s">
        <v>8</v>
      </c>
      <c r="K7" s="387" t="s">
        <v>9</v>
      </c>
      <c r="L7" s="387" t="s">
        <v>10</v>
      </c>
      <c r="M7" s="387" t="s">
        <v>2</v>
      </c>
      <c r="N7" s="387" t="s">
        <v>12</v>
      </c>
      <c r="O7" s="387" t="s">
        <v>30</v>
      </c>
      <c r="P7" s="387" t="s">
        <v>13</v>
      </c>
      <c r="Q7" s="387" t="s">
        <v>14</v>
      </c>
      <c r="R7" s="387" t="s">
        <v>45</v>
      </c>
      <c r="S7" s="387" t="s">
        <v>16</v>
      </c>
      <c r="T7" s="387" t="s">
        <v>17</v>
      </c>
      <c r="U7" s="387" t="s">
        <v>20</v>
      </c>
      <c r="V7" s="387" t="s">
        <v>154</v>
      </c>
      <c r="W7" s="387" t="s">
        <v>18</v>
      </c>
      <c r="X7" s="387" t="s">
        <v>19</v>
      </c>
      <c r="Y7" s="387" t="s">
        <v>21</v>
      </c>
      <c r="Z7" s="387" t="s">
        <v>22</v>
      </c>
      <c r="AA7" s="387" t="s">
        <v>29</v>
      </c>
      <c r="AB7" s="387" t="s">
        <v>23</v>
      </c>
      <c r="AC7" s="387" t="s">
        <v>24</v>
      </c>
      <c r="AD7" s="387" t="s">
        <v>25</v>
      </c>
      <c r="AE7" s="387" t="s">
        <v>28</v>
      </c>
      <c r="AF7" s="387" t="s">
        <v>27</v>
      </c>
      <c r="AG7" s="387" t="s">
        <v>11</v>
      </c>
      <c r="AH7" s="387" t="s">
        <v>26</v>
      </c>
      <c r="AI7" s="387" t="s">
        <v>46</v>
      </c>
      <c r="AJ7" s="387" t="s">
        <v>31</v>
      </c>
      <c r="AK7" s="29"/>
      <c r="AL7" s="29"/>
      <c r="AM7" s="33"/>
      <c r="AO7" s="22"/>
      <c r="AP7" s="22"/>
    </row>
    <row r="8" spans="1:42" s="7" customFormat="1">
      <c r="A8" s="27" t="s">
        <v>85</v>
      </c>
      <c r="B8" s="28"/>
      <c r="C8" s="29"/>
      <c r="D8" s="216">
        <v>0.2</v>
      </c>
      <c r="E8" s="343">
        <v>0.5</v>
      </c>
      <c r="F8" s="45">
        <v>0.9</v>
      </c>
      <c r="G8" s="45">
        <v>-0.7</v>
      </c>
      <c r="H8" s="45">
        <v>-0.3</v>
      </c>
      <c r="I8" s="45">
        <v>0.9</v>
      </c>
      <c r="J8" s="45">
        <v>0.2</v>
      </c>
      <c r="K8" s="45">
        <v>0.4</v>
      </c>
      <c r="L8" s="45">
        <v>-0.4</v>
      </c>
      <c r="M8" s="45">
        <v>0.5</v>
      </c>
      <c r="N8" s="45">
        <v>0.5</v>
      </c>
      <c r="O8" s="45">
        <v>-0.1</v>
      </c>
      <c r="P8" s="45">
        <v>-0.5</v>
      </c>
      <c r="Q8" s="45">
        <v>-0.2</v>
      </c>
      <c r="R8" s="218">
        <v>0.2</v>
      </c>
      <c r="S8" s="45">
        <v>0.8</v>
      </c>
      <c r="T8" s="45">
        <v>0.5</v>
      </c>
      <c r="U8" s="45">
        <v>-1</v>
      </c>
      <c r="V8" s="218">
        <v>0.2</v>
      </c>
      <c r="W8" s="45">
        <v>-1</v>
      </c>
      <c r="X8" s="45">
        <v>2.5</v>
      </c>
      <c r="Y8" s="45">
        <v>0.6</v>
      </c>
      <c r="Z8" s="45">
        <v>0.3</v>
      </c>
      <c r="AA8" s="218">
        <v>0.2</v>
      </c>
      <c r="AB8" s="45">
        <v>0.1</v>
      </c>
      <c r="AC8" s="45">
        <v>-0.4</v>
      </c>
      <c r="AD8" s="45">
        <v>-0.3</v>
      </c>
      <c r="AE8" s="45">
        <v>0</v>
      </c>
      <c r="AF8" s="45">
        <v>0.2</v>
      </c>
      <c r="AG8" s="45">
        <v>-0.2</v>
      </c>
      <c r="AH8" s="45">
        <v>0.9</v>
      </c>
      <c r="AI8" s="218">
        <v>0.2</v>
      </c>
      <c r="AJ8" s="45">
        <v>0.7</v>
      </c>
      <c r="AK8" s="29"/>
      <c r="AL8" s="29"/>
      <c r="AM8" s="33"/>
      <c r="AO8" s="22"/>
      <c r="AP8" s="22"/>
    </row>
    <row r="9" spans="1:42" s="7" customFormat="1">
      <c r="A9" s="27" t="s">
        <v>83</v>
      </c>
      <c r="B9" s="28"/>
      <c r="C9" s="29"/>
      <c r="D9" s="216">
        <v>0.1</v>
      </c>
      <c r="E9" s="343">
        <v>0.5</v>
      </c>
      <c r="F9" s="45">
        <v>0.9</v>
      </c>
      <c r="G9" s="45">
        <v>-0.7</v>
      </c>
      <c r="H9" s="45">
        <v>-0.3</v>
      </c>
      <c r="I9" s="45">
        <v>0.3</v>
      </c>
      <c r="J9" s="45">
        <v>0.1</v>
      </c>
      <c r="K9" s="45">
        <v>0.5</v>
      </c>
      <c r="L9" s="45">
        <v>-0.6</v>
      </c>
      <c r="M9" s="45">
        <v>0.5</v>
      </c>
      <c r="N9" s="45">
        <v>0.4</v>
      </c>
      <c r="O9" s="45">
        <v>-0.1</v>
      </c>
      <c r="P9" s="45">
        <v>-0.6</v>
      </c>
      <c r="Q9" s="45">
        <v>-0.1</v>
      </c>
      <c r="R9" s="218">
        <v>0.1</v>
      </c>
      <c r="S9" s="45">
        <v>0</v>
      </c>
      <c r="T9" s="45">
        <v>0.3</v>
      </c>
      <c r="U9" s="45">
        <v>-1.4</v>
      </c>
      <c r="V9" s="218">
        <v>0.1</v>
      </c>
      <c r="W9" s="45">
        <v>-1.8</v>
      </c>
      <c r="X9" s="45">
        <v>2.2000000000000002</v>
      </c>
      <c r="Y9" s="45">
        <v>0.4</v>
      </c>
      <c r="Z9" s="45">
        <v>0.2</v>
      </c>
      <c r="AA9" s="218">
        <v>0.1</v>
      </c>
      <c r="AB9" s="45">
        <v>-0.2</v>
      </c>
      <c r="AC9" s="45">
        <v>-0.4</v>
      </c>
      <c r="AD9" s="45">
        <v>-0.4</v>
      </c>
      <c r="AE9" s="45">
        <v>-0.2</v>
      </c>
      <c r="AF9" s="45">
        <v>0</v>
      </c>
      <c r="AG9" s="45">
        <v>-0.3</v>
      </c>
      <c r="AH9" s="45">
        <v>0.8</v>
      </c>
      <c r="AI9" s="218">
        <v>0.1</v>
      </c>
      <c r="AJ9" s="45">
        <v>0.5</v>
      </c>
      <c r="AK9" s="29"/>
      <c r="AL9" s="29"/>
      <c r="AM9" s="33"/>
      <c r="AO9" s="22"/>
      <c r="AP9" s="22"/>
    </row>
    <row r="10" spans="1:42" s="7" customFormat="1">
      <c r="A10" s="27" t="s">
        <v>87</v>
      </c>
      <c r="B10" s="28"/>
      <c r="C10" s="29"/>
      <c r="D10" s="216">
        <v>0.1</v>
      </c>
      <c r="E10" s="343">
        <v>0.2</v>
      </c>
      <c r="F10" s="45">
        <v>0.7</v>
      </c>
      <c r="G10" s="45">
        <v>-0.6</v>
      </c>
      <c r="H10" s="45">
        <v>-0.3</v>
      </c>
      <c r="I10" s="45">
        <v>0.6</v>
      </c>
      <c r="J10" s="45">
        <v>0.1</v>
      </c>
      <c r="K10" s="45">
        <v>0.3</v>
      </c>
      <c r="L10" s="45">
        <v>-0.3</v>
      </c>
      <c r="M10" s="45">
        <v>0.2</v>
      </c>
      <c r="N10" s="45">
        <v>0.3</v>
      </c>
      <c r="O10" s="45">
        <v>-0.3</v>
      </c>
      <c r="P10" s="45">
        <v>-0.5</v>
      </c>
      <c r="Q10" s="45">
        <v>-0.2</v>
      </c>
      <c r="R10" s="218">
        <v>0.1</v>
      </c>
      <c r="S10" s="45">
        <v>0.4</v>
      </c>
      <c r="T10" s="45">
        <v>0.2</v>
      </c>
      <c r="U10" s="45">
        <v>-0.6</v>
      </c>
      <c r="V10" s="218">
        <v>0.1</v>
      </c>
      <c r="W10" s="45">
        <v>-0.7</v>
      </c>
      <c r="X10" s="45">
        <v>1.4</v>
      </c>
      <c r="Y10" s="45">
        <v>0.1</v>
      </c>
      <c r="Z10" s="45">
        <v>-0.1</v>
      </c>
      <c r="AA10" s="218">
        <v>0.1</v>
      </c>
      <c r="AB10" s="45">
        <v>-0.4</v>
      </c>
      <c r="AC10" s="45">
        <v>-0.4</v>
      </c>
      <c r="AD10" s="45">
        <v>-0.3</v>
      </c>
      <c r="AE10" s="45">
        <v>-0.4</v>
      </c>
      <c r="AF10" s="45">
        <v>0</v>
      </c>
      <c r="AG10" s="45">
        <v>0.1</v>
      </c>
      <c r="AH10" s="45">
        <v>0.6</v>
      </c>
      <c r="AI10" s="218">
        <v>0.1</v>
      </c>
      <c r="AJ10" s="45">
        <v>0.5</v>
      </c>
      <c r="AK10" s="29"/>
      <c r="AL10" s="29"/>
      <c r="AM10" s="33"/>
      <c r="AO10" s="22"/>
      <c r="AP10" s="22"/>
    </row>
    <row r="11" spans="1:42" s="7" customFormat="1">
      <c r="A11" s="27" t="s">
        <v>88</v>
      </c>
      <c r="B11" s="28"/>
      <c r="C11" s="29"/>
      <c r="D11" s="216">
        <v>0.1</v>
      </c>
      <c r="E11" s="343">
        <v>0.2</v>
      </c>
      <c r="F11" s="45">
        <v>0.7</v>
      </c>
      <c r="G11" s="45">
        <v>-0.6</v>
      </c>
      <c r="H11" s="45">
        <v>-0.3</v>
      </c>
      <c r="I11" s="45">
        <v>0.6</v>
      </c>
      <c r="J11" s="45">
        <v>0.1</v>
      </c>
      <c r="K11" s="45">
        <v>0.3</v>
      </c>
      <c r="L11" s="45">
        <v>-0.3</v>
      </c>
      <c r="M11" s="45">
        <v>0.2</v>
      </c>
      <c r="N11" s="45">
        <v>0.3</v>
      </c>
      <c r="O11" s="45">
        <v>-0.3</v>
      </c>
      <c r="P11" s="45">
        <v>-0.5</v>
      </c>
      <c r="Q11" s="45">
        <v>-0.2</v>
      </c>
      <c r="R11" s="218">
        <v>0.1</v>
      </c>
      <c r="S11" s="45">
        <v>0.4</v>
      </c>
      <c r="T11" s="45">
        <v>0.2</v>
      </c>
      <c r="U11" s="45">
        <v>-0.6</v>
      </c>
      <c r="V11" s="218">
        <v>0.1</v>
      </c>
      <c r="W11" s="45">
        <v>-0.7</v>
      </c>
      <c r="X11" s="45">
        <v>1.4</v>
      </c>
      <c r="Y11" s="45">
        <v>0.1</v>
      </c>
      <c r="Z11" s="45">
        <v>-0.1</v>
      </c>
      <c r="AA11" s="218">
        <v>0.1</v>
      </c>
      <c r="AB11" s="45">
        <v>-0.4</v>
      </c>
      <c r="AC11" s="45">
        <v>-0.5</v>
      </c>
      <c r="AD11" s="45">
        <v>-0.3</v>
      </c>
      <c r="AE11" s="45">
        <v>-0.4</v>
      </c>
      <c r="AF11" s="45">
        <v>0</v>
      </c>
      <c r="AG11" s="45">
        <v>0.1</v>
      </c>
      <c r="AH11" s="45">
        <v>0.6</v>
      </c>
      <c r="AI11" s="218">
        <v>0.1</v>
      </c>
      <c r="AJ11" s="45">
        <v>0.5</v>
      </c>
      <c r="AK11" s="29"/>
      <c r="AL11" s="29"/>
      <c r="AM11" s="33"/>
      <c r="AO11" s="22"/>
      <c r="AP11" s="22"/>
    </row>
    <row r="12" spans="1:42" s="7" customFormat="1">
      <c r="A12" s="13"/>
      <c r="B12" s="2"/>
      <c r="C12" s="31"/>
      <c r="D12" s="47" t="s">
        <v>42</v>
      </c>
      <c r="E12" s="370">
        <v>2015</v>
      </c>
      <c r="F12" s="32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117" t="s">
        <v>82</v>
      </c>
      <c r="S12" s="31"/>
      <c r="T12" s="31"/>
      <c r="U12" s="31"/>
      <c r="V12" s="117" t="s">
        <v>82</v>
      </c>
      <c r="W12" s="31"/>
      <c r="X12" s="31"/>
      <c r="Y12" s="31"/>
      <c r="Z12" s="31"/>
      <c r="AA12" s="117" t="s">
        <v>82</v>
      </c>
      <c r="AB12" s="31"/>
      <c r="AC12" s="31"/>
      <c r="AD12" s="31"/>
      <c r="AE12" s="31"/>
      <c r="AF12" s="31"/>
      <c r="AG12" s="31"/>
      <c r="AH12" s="31"/>
      <c r="AI12" s="117" t="s">
        <v>82</v>
      </c>
      <c r="AJ12" s="31"/>
      <c r="AK12" s="31"/>
      <c r="AL12" s="31"/>
      <c r="AM12" s="33"/>
      <c r="AO12" s="23"/>
      <c r="AP12" s="22"/>
    </row>
    <row r="13" spans="1:42" s="7" customFormat="1">
      <c r="A13" s="13"/>
      <c r="B13" s="2"/>
      <c r="C13" s="34"/>
      <c r="D13" s="371" t="s">
        <v>1</v>
      </c>
      <c r="E13" s="372" t="s">
        <v>86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5"/>
      <c r="AN13" s="85"/>
      <c r="AO13" s="86"/>
    </row>
    <row r="14" spans="1:42" s="7" customFormat="1">
      <c r="A14" s="47"/>
      <c r="B14" s="48"/>
      <c r="C14" s="34"/>
      <c r="D14" s="426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5"/>
      <c r="AN14" s="85"/>
      <c r="AO14" s="86"/>
    </row>
    <row r="15" spans="1:42" s="7" customFormat="1">
      <c r="A15" s="107" t="s">
        <v>478</v>
      </c>
      <c r="B15" s="147"/>
      <c r="C15" s="175"/>
      <c r="D15" s="175"/>
      <c r="E15" s="313" t="s">
        <v>4</v>
      </c>
      <c r="F15" s="387" t="s">
        <v>5</v>
      </c>
      <c r="G15" s="387" t="s">
        <v>6</v>
      </c>
      <c r="H15" s="387" t="s">
        <v>15</v>
      </c>
      <c r="I15" s="387" t="s">
        <v>7</v>
      </c>
      <c r="J15" s="387" t="s">
        <v>8</v>
      </c>
      <c r="K15" s="387" t="s">
        <v>9</v>
      </c>
      <c r="L15" s="387" t="s">
        <v>10</v>
      </c>
      <c r="M15" s="387" t="s">
        <v>2</v>
      </c>
      <c r="N15" s="387" t="s">
        <v>12</v>
      </c>
      <c r="O15" s="387" t="s">
        <v>30</v>
      </c>
      <c r="P15" s="387" t="s">
        <v>13</v>
      </c>
      <c r="Q15" s="387" t="s">
        <v>14</v>
      </c>
      <c r="R15" s="387" t="s">
        <v>45</v>
      </c>
      <c r="S15" s="387" t="s">
        <v>16</v>
      </c>
      <c r="T15" s="387" t="s">
        <v>17</v>
      </c>
      <c r="U15" s="387" t="s">
        <v>20</v>
      </c>
      <c r="V15" s="387" t="s">
        <v>154</v>
      </c>
      <c r="W15" s="387" t="s">
        <v>18</v>
      </c>
      <c r="X15" s="387" t="s">
        <v>19</v>
      </c>
      <c r="Y15" s="387" t="s">
        <v>21</v>
      </c>
      <c r="Z15" s="387" t="s">
        <v>22</v>
      </c>
      <c r="AA15" s="387" t="s">
        <v>29</v>
      </c>
      <c r="AB15" s="387" t="s">
        <v>23</v>
      </c>
      <c r="AC15" s="387" t="s">
        <v>24</v>
      </c>
      <c r="AD15" s="387" t="s">
        <v>25</v>
      </c>
      <c r="AE15" s="387" t="s">
        <v>28</v>
      </c>
      <c r="AF15" s="387" t="s">
        <v>27</v>
      </c>
      <c r="AG15" s="387" t="s">
        <v>11</v>
      </c>
      <c r="AH15" s="387" t="s">
        <v>26</v>
      </c>
      <c r="AI15" s="387" t="s">
        <v>46</v>
      </c>
      <c r="AJ15" s="387" t="s">
        <v>31</v>
      </c>
      <c r="AK15" s="34"/>
      <c r="AL15" s="34"/>
      <c r="AM15" s="35"/>
      <c r="AN15" s="85"/>
      <c r="AO15" s="86"/>
    </row>
    <row r="16" spans="1:42" s="7" customFormat="1">
      <c r="A16" s="36" t="s">
        <v>692</v>
      </c>
      <c r="B16" s="2"/>
      <c r="C16" s="127"/>
      <c r="D16" s="669"/>
      <c r="E16" s="667">
        <v>263.02752293577981</v>
      </c>
      <c r="F16" s="667">
        <v>204.06282722513089</v>
      </c>
      <c r="G16" s="667">
        <v>560.63201663201664</v>
      </c>
      <c r="H16" s="667">
        <v>375.34466019417476</v>
      </c>
      <c r="I16" s="667">
        <v>684.41441441441441</v>
      </c>
      <c r="J16" s="667">
        <v>582.33962264150944</v>
      </c>
      <c r="K16" s="667">
        <v>118.12218649517685</v>
      </c>
      <c r="L16" s="667">
        <v>710.87615148413511</v>
      </c>
      <c r="M16" s="667">
        <v>100.05590062111801</v>
      </c>
      <c r="N16" s="667">
        <v>87.843137254901961</v>
      </c>
      <c r="O16" s="667">
        <v>389.82035928143716</v>
      </c>
      <c r="P16" s="667">
        <v>542.25</v>
      </c>
      <c r="Q16" s="667">
        <v>286.42361111111109</v>
      </c>
      <c r="R16" s="670">
        <v>0</v>
      </c>
      <c r="S16" s="667">
        <v>364.08695652173913</v>
      </c>
      <c r="T16" s="667">
        <v>308.95970695970692</v>
      </c>
      <c r="U16" s="667">
        <v>1357.1428571428571</v>
      </c>
      <c r="V16" s="670">
        <v>0</v>
      </c>
      <c r="W16" s="667">
        <v>134.67156862745097</v>
      </c>
      <c r="X16" s="667">
        <v>204.61340206185568</v>
      </c>
      <c r="Y16" s="667">
        <v>443.44186046511624</v>
      </c>
      <c r="Z16" s="667">
        <v>408.17796610169495</v>
      </c>
      <c r="AA16" s="550">
        <v>0</v>
      </c>
      <c r="AB16" s="667">
        <v>794.75624256837102</v>
      </c>
      <c r="AC16" s="667">
        <v>272.64150943396226</v>
      </c>
      <c r="AD16" s="667">
        <v>364.21917808219177</v>
      </c>
      <c r="AE16" s="667">
        <v>348.18181818181819</v>
      </c>
      <c r="AF16" s="667">
        <v>226.96116504854368</v>
      </c>
      <c r="AG16" s="667">
        <v>223.22222222222223</v>
      </c>
      <c r="AH16" s="668">
        <v>28.8</v>
      </c>
      <c r="AI16" s="670">
        <v>0</v>
      </c>
      <c r="AJ16" s="550">
        <v>259.61373390557941</v>
      </c>
      <c r="AK16" s="34"/>
      <c r="AL16" s="34"/>
      <c r="AM16" s="35"/>
      <c r="AN16" s="85"/>
      <c r="AO16" s="86"/>
    </row>
    <row r="17" spans="1:42" s="7" customFormat="1">
      <c r="A17" s="13"/>
      <c r="B17" s="2"/>
      <c r="C17" s="2"/>
      <c r="D17" s="429" t="s">
        <v>42</v>
      </c>
      <c r="E17" s="48">
        <v>2013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27"/>
      <c r="AL17" s="127"/>
      <c r="AM17" s="154"/>
      <c r="AN17" s="85"/>
      <c r="AO17" s="86"/>
    </row>
    <row r="18" spans="1:42" s="7" customFormat="1">
      <c r="A18" s="13"/>
      <c r="B18" s="2"/>
      <c r="C18" s="2"/>
      <c r="D18" s="371" t="s">
        <v>1</v>
      </c>
      <c r="E18" s="372" t="s">
        <v>101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27"/>
      <c r="AL18" s="127"/>
      <c r="AM18" s="154"/>
      <c r="AN18" s="85"/>
      <c r="AO18" s="86"/>
    </row>
    <row r="19" spans="1:42" s="7" customFormat="1">
      <c r="A19" s="13"/>
      <c r="B19" s="2"/>
      <c r="C19" s="37"/>
      <c r="D19" s="371"/>
      <c r="E19" s="372"/>
      <c r="F19" s="49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27"/>
      <c r="Z19" s="117"/>
      <c r="AA19" s="127"/>
      <c r="AB19" s="117"/>
      <c r="AC19" s="117"/>
      <c r="AD19" s="117"/>
      <c r="AE19" s="117"/>
      <c r="AF19" s="127"/>
      <c r="AG19" s="117"/>
      <c r="AH19" s="117"/>
      <c r="AI19" s="117"/>
      <c r="AJ19" s="117"/>
      <c r="AK19" s="127"/>
      <c r="AL19" s="127"/>
      <c r="AM19" s="154"/>
      <c r="AN19" s="85"/>
      <c r="AO19" s="86"/>
    </row>
    <row r="20" spans="1:42" s="7" customFormat="1">
      <c r="A20" s="128" t="s">
        <v>479</v>
      </c>
      <c r="B20" s="3"/>
      <c r="C20" s="741" t="s">
        <v>47</v>
      </c>
      <c r="D20" s="741" t="s">
        <v>48</v>
      </c>
      <c r="E20" s="313" t="s">
        <v>4</v>
      </c>
      <c r="F20" s="387" t="s">
        <v>5</v>
      </c>
      <c r="G20" s="387" t="s">
        <v>6</v>
      </c>
      <c r="H20" s="387" t="s">
        <v>15</v>
      </c>
      <c r="I20" s="387" t="s">
        <v>7</v>
      </c>
      <c r="J20" s="387" t="s">
        <v>8</v>
      </c>
      <c r="K20" s="387" t="s">
        <v>9</v>
      </c>
      <c r="L20" s="387" t="s">
        <v>10</v>
      </c>
      <c r="M20" s="387" t="s">
        <v>2</v>
      </c>
      <c r="N20" s="387" t="s">
        <v>12</v>
      </c>
      <c r="O20" s="387" t="s">
        <v>30</v>
      </c>
      <c r="P20" s="387" t="s">
        <v>13</v>
      </c>
      <c r="Q20" s="387" t="s">
        <v>14</v>
      </c>
      <c r="R20" s="387" t="s">
        <v>45</v>
      </c>
      <c r="S20" s="387" t="s">
        <v>16</v>
      </c>
      <c r="T20" s="387" t="s">
        <v>17</v>
      </c>
      <c r="U20" s="387" t="s">
        <v>20</v>
      </c>
      <c r="V20" s="387" t="s">
        <v>154</v>
      </c>
      <c r="W20" s="387" t="s">
        <v>18</v>
      </c>
      <c r="X20" s="387" t="s">
        <v>19</v>
      </c>
      <c r="Y20" s="387" t="s">
        <v>21</v>
      </c>
      <c r="Z20" s="387" t="s">
        <v>22</v>
      </c>
      <c r="AA20" s="387" t="s">
        <v>29</v>
      </c>
      <c r="AB20" s="387" t="s">
        <v>23</v>
      </c>
      <c r="AC20" s="387" t="s">
        <v>24</v>
      </c>
      <c r="AD20" s="387" t="s">
        <v>25</v>
      </c>
      <c r="AE20" s="387" t="s">
        <v>28</v>
      </c>
      <c r="AF20" s="387" t="s">
        <v>27</v>
      </c>
      <c r="AG20" s="387" t="s">
        <v>11</v>
      </c>
      <c r="AH20" s="387" t="s">
        <v>26</v>
      </c>
      <c r="AI20" s="387" t="s">
        <v>46</v>
      </c>
      <c r="AJ20" s="387" t="s">
        <v>31</v>
      </c>
      <c r="AK20" s="127"/>
      <c r="AL20" s="127"/>
      <c r="AM20" s="154"/>
      <c r="AN20" s="85"/>
      <c r="AO20" s="86"/>
    </row>
    <row r="21" spans="1:42" s="7" customFormat="1">
      <c r="A21" s="27" t="s">
        <v>85</v>
      </c>
      <c r="B21" s="2"/>
      <c r="C21" s="155"/>
      <c r="D21" s="161">
        <v>-2.2999999999999998</v>
      </c>
      <c r="E21" s="346">
        <v>-1.7</v>
      </c>
      <c r="F21" s="117">
        <v>-6.1</v>
      </c>
      <c r="G21" s="117">
        <v>-2.7</v>
      </c>
      <c r="H21" s="117">
        <v>-0.5</v>
      </c>
      <c r="I21" s="117">
        <v>-7.8</v>
      </c>
      <c r="J21" s="117">
        <v>-1.4</v>
      </c>
      <c r="K21" s="117">
        <v>-8.3000000000000007</v>
      </c>
      <c r="L21" s="117">
        <v>-0.7</v>
      </c>
      <c r="M21" s="117">
        <v>-5.5</v>
      </c>
      <c r="N21" s="117">
        <v>-8.1</v>
      </c>
      <c r="O21" s="117">
        <v>-0.1</v>
      </c>
      <c r="P21" s="117">
        <v>-2.7</v>
      </c>
      <c r="Q21" s="117">
        <v>-2.9</v>
      </c>
      <c r="R21" s="161">
        <v>-2.2999999999999998</v>
      </c>
      <c r="S21" s="117">
        <v>-3.5</v>
      </c>
      <c r="T21" s="117">
        <v>-1.7</v>
      </c>
      <c r="U21" s="117">
        <v>-6.5</v>
      </c>
      <c r="V21" s="161">
        <v>-2.2999999999999998</v>
      </c>
      <c r="W21" s="117">
        <v>-5.6</v>
      </c>
      <c r="X21" s="117">
        <v>-3.3</v>
      </c>
      <c r="Y21" s="117">
        <v>-9.5</v>
      </c>
      <c r="Z21" s="117">
        <v>-3.1</v>
      </c>
      <c r="AA21" s="161">
        <v>-2.2999999999999998</v>
      </c>
      <c r="AB21" s="117">
        <v>-1.2</v>
      </c>
      <c r="AC21" s="117">
        <v>-5.0999999999999996</v>
      </c>
      <c r="AD21" s="117">
        <v>-2.5</v>
      </c>
      <c r="AE21" s="160">
        <v>-5</v>
      </c>
      <c r="AF21" s="117">
        <v>-1.2</v>
      </c>
      <c r="AG21" s="117">
        <v>1.6</v>
      </c>
      <c r="AH21" s="67">
        <v>-4.2</v>
      </c>
      <c r="AI21" s="161">
        <v>-2.2999999999999998</v>
      </c>
      <c r="AJ21" s="67">
        <v>-8</v>
      </c>
      <c r="AK21" s="127"/>
      <c r="AL21" s="127"/>
      <c r="AM21" s="154"/>
      <c r="AN21" s="85"/>
      <c r="AO21" s="86"/>
    </row>
    <row r="22" spans="1:42" s="7" customFormat="1">
      <c r="A22" s="27" t="s">
        <v>83</v>
      </c>
      <c r="B22" s="2"/>
      <c r="C22" s="155"/>
      <c r="D22" s="161">
        <v>-3.5</v>
      </c>
      <c r="E22" s="346">
        <v>-0.9</v>
      </c>
      <c r="F22" s="117">
        <v>6.7</v>
      </c>
      <c r="G22" s="117">
        <v>-2.7</v>
      </c>
      <c r="H22" s="160">
        <v>-4</v>
      </c>
      <c r="I22" s="117">
        <v>-3.2</v>
      </c>
      <c r="J22" s="117">
        <v>-0.5</v>
      </c>
      <c r="K22" s="117">
        <v>-2.2999999999999998</v>
      </c>
      <c r="L22" s="117">
        <v>-1.3</v>
      </c>
      <c r="M22" s="160">
        <v>-1</v>
      </c>
      <c r="N22" s="160">
        <v>-8</v>
      </c>
      <c r="O22" s="117">
        <v>-1.2</v>
      </c>
      <c r="P22" s="160">
        <v>-6</v>
      </c>
      <c r="Q22" s="117">
        <v>-9.4</v>
      </c>
      <c r="R22" s="161">
        <v>-3.5</v>
      </c>
      <c r="S22" s="117">
        <v>-1.5</v>
      </c>
      <c r="T22" s="117">
        <v>-2.7</v>
      </c>
      <c r="U22" s="117">
        <v>1.6</v>
      </c>
      <c r="V22" s="161">
        <v>-3.5</v>
      </c>
      <c r="W22" s="117">
        <v>-5.4</v>
      </c>
      <c r="X22" s="117">
        <v>0.9</v>
      </c>
      <c r="Y22" s="117">
        <v>-1.2</v>
      </c>
      <c r="Z22" s="117">
        <v>-1.1000000000000001</v>
      </c>
      <c r="AA22" s="161">
        <v>-3.5</v>
      </c>
      <c r="AB22" s="117">
        <v>-1.6</v>
      </c>
      <c r="AC22" s="117">
        <v>-9.5</v>
      </c>
      <c r="AD22" s="117">
        <v>-7.6</v>
      </c>
      <c r="AE22" s="160">
        <v>-4.8</v>
      </c>
      <c r="AF22" s="117">
        <v>-0.9</v>
      </c>
      <c r="AG22" s="117">
        <v>-7.6</v>
      </c>
      <c r="AH22" s="67">
        <v>-0.5</v>
      </c>
      <c r="AI22" s="161">
        <v>-3.5</v>
      </c>
      <c r="AJ22" s="67">
        <v>-5.8</v>
      </c>
      <c r="AK22" s="127"/>
      <c r="AL22" s="127"/>
      <c r="AM22" s="154"/>
      <c r="AN22" s="85"/>
      <c r="AO22" s="86"/>
    </row>
    <row r="23" spans="1:42" s="7" customFormat="1">
      <c r="A23" s="27" t="s">
        <v>87</v>
      </c>
      <c r="B23" s="49"/>
      <c r="C23" s="84"/>
      <c r="D23" s="196">
        <v>-4.5</v>
      </c>
      <c r="E23" s="347">
        <v>-2.5</v>
      </c>
      <c r="F23" s="67">
        <v>-0.5</v>
      </c>
      <c r="G23" s="67">
        <v>-7.7</v>
      </c>
      <c r="H23" s="197">
        <v>-3.1</v>
      </c>
      <c r="I23" s="67">
        <v>-1.3</v>
      </c>
      <c r="J23" s="67">
        <v>-7.9</v>
      </c>
      <c r="K23" s="67">
        <v>-4.8</v>
      </c>
      <c r="L23" s="67">
        <v>-6.1</v>
      </c>
      <c r="M23" s="197">
        <v>-5.5</v>
      </c>
      <c r="N23" s="67">
        <v>1.7</v>
      </c>
      <c r="O23" s="67">
        <v>-4.7</v>
      </c>
      <c r="P23" s="197">
        <v>-7.5</v>
      </c>
      <c r="Q23" s="67">
        <v>-0.9</v>
      </c>
      <c r="R23" s="196">
        <v>-4.5</v>
      </c>
      <c r="S23" s="67">
        <v>-3.8</v>
      </c>
      <c r="T23" s="67">
        <v>-3.9</v>
      </c>
      <c r="U23" s="67">
        <v>-2.1</v>
      </c>
      <c r="V23" s="196">
        <v>-4.5</v>
      </c>
      <c r="W23" s="67">
        <v>-1.4</v>
      </c>
      <c r="X23" s="67">
        <v>0</v>
      </c>
      <c r="Y23" s="67">
        <v>-0.5</v>
      </c>
      <c r="Z23" s="67">
        <v>-2.2000000000000002</v>
      </c>
      <c r="AA23" s="196">
        <v>-4.5</v>
      </c>
      <c r="AB23" s="67">
        <v>-7.6</v>
      </c>
      <c r="AC23" s="67">
        <v>-5.8</v>
      </c>
      <c r="AD23" s="67">
        <v>-6.5</v>
      </c>
      <c r="AE23" s="197">
        <v>-2.8</v>
      </c>
      <c r="AF23" s="67">
        <v>-8.9</v>
      </c>
      <c r="AG23" s="67">
        <v>-4.5</v>
      </c>
      <c r="AH23" s="67">
        <v>-2.1</v>
      </c>
      <c r="AI23" s="196">
        <v>-4.5</v>
      </c>
      <c r="AJ23" s="67">
        <v>-1.5</v>
      </c>
      <c r="AK23" s="127"/>
      <c r="AL23" s="127"/>
      <c r="AM23" s="154"/>
      <c r="AN23" s="85"/>
      <c r="AO23" s="86"/>
    </row>
    <row r="24" spans="1:42" s="7" customFormat="1">
      <c r="A24" s="27" t="s">
        <v>88</v>
      </c>
      <c r="B24" s="49"/>
      <c r="C24" s="84"/>
      <c r="D24" s="196">
        <v>-4.5</v>
      </c>
      <c r="E24" s="347">
        <v>-2.5</v>
      </c>
      <c r="F24" s="67">
        <v>-0.5</v>
      </c>
      <c r="G24" s="67">
        <v>-7.7</v>
      </c>
      <c r="H24" s="197">
        <v>-3.1</v>
      </c>
      <c r="I24" s="67">
        <v>-1.3</v>
      </c>
      <c r="J24" s="67">
        <v>-7.9</v>
      </c>
      <c r="K24" s="67">
        <v>-4.8</v>
      </c>
      <c r="L24" s="67">
        <v>-6.1</v>
      </c>
      <c r="M24" s="197">
        <v>-5.5</v>
      </c>
      <c r="N24" s="67">
        <v>1.7</v>
      </c>
      <c r="O24" s="67">
        <v>-4.7</v>
      </c>
      <c r="P24" s="197">
        <v>-7.5</v>
      </c>
      <c r="Q24" s="67">
        <v>-0.9</v>
      </c>
      <c r="R24" s="196">
        <v>-4.5</v>
      </c>
      <c r="S24" s="67">
        <v>-3.8</v>
      </c>
      <c r="T24" s="67">
        <v>-3.9</v>
      </c>
      <c r="U24" s="67">
        <v>-2.1</v>
      </c>
      <c r="V24" s="196">
        <v>-4.5</v>
      </c>
      <c r="W24" s="67">
        <v>-1.4</v>
      </c>
      <c r="X24" s="67">
        <v>0</v>
      </c>
      <c r="Y24" s="67">
        <v>-0.5</v>
      </c>
      <c r="Z24" s="67">
        <v>-2.2000000000000002</v>
      </c>
      <c r="AA24" s="196">
        <v>-4.5</v>
      </c>
      <c r="AB24" s="67">
        <v>-7.6</v>
      </c>
      <c r="AC24" s="67">
        <v>-5.8</v>
      </c>
      <c r="AD24" s="67">
        <v>-6.5</v>
      </c>
      <c r="AE24" s="197">
        <v>-2.8</v>
      </c>
      <c r="AF24" s="67">
        <v>-8.9</v>
      </c>
      <c r="AG24" s="67">
        <v>-4.5</v>
      </c>
      <c r="AH24" s="67">
        <v>-2.1</v>
      </c>
      <c r="AI24" s="196">
        <v>-4.5</v>
      </c>
      <c r="AJ24" s="67">
        <v>-1.5</v>
      </c>
      <c r="AK24" s="127"/>
      <c r="AL24" s="127"/>
      <c r="AM24" s="154"/>
      <c r="AN24" s="85"/>
      <c r="AO24" s="86"/>
    </row>
    <row r="25" spans="1:42" s="7" customFormat="1">
      <c r="A25" s="13"/>
      <c r="B25" s="2"/>
      <c r="C25" s="84"/>
      <c r="D25" s="117" t="s">
        <v>82</v>
      </c>
      <c r="E25" s="348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117" t="s">
        <v>82</v>
      </c>
      <c r="S25" s="84"/>
      <c r="T25" s="84"/>
      <c r="U25" s="84"/>
      <c r="V25" s="117" t="s">
        <v>82</v>
      </c>
      <c r="W25" s="84"/>
      <c r="X25" s="84"/>
      <c r="Y25" s="127"/>
      <c r="Z25" s="84"/>
      <c r="AA25" s="117" t="s">
        <v>82</v>
      </c>
      <c r="AB25" s="84"/>
      <c r="AC25" s="84"/>
      <c r="AD25" s="84"/>
      <c r="AE25" s="84"/>
      <c r="AF25" s="84"/>
      <c r="AG25" s="84"/>
      <c r="AH25" s="84"/>
      <c r="AI25" s="117" t="s">
        <v>82</v>
      </c>
      <c r="AJ25" s="84"/>
      <c r="AK25" s="127"/>
      <c r="AL25" s="127"/>
      <c r="AM25" s="87"/>
      <c r="AN25" s="85"/>
      <c r="AO25" s="86"/>
    </row>
    <row r="26" spans="1:42" s="7" customFormat="1">
      <c r="A26" s="47"/>
      <c r="B26" s="48"/>
      <c r="C26" s="84"/>
      <c r="D26" s="371" t="s">
        <v>42</v>
      </c>
      <c r="E26" s="370">
        <v>2015</v>
      </c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117"/>
      <c r="S26" s="84"/>
      <c r="T26" s="84"/>
      <c r="U26" s="84"/>
      <c r="V26" s="117"/>
      <c r="W26" s="84"/>
      <c r="X26" s="84"/>
      <c r="Y26" s="127"/>
      <c r="Z26" s="84"/>
      <c r="AA26" s="117"/>
      <c r="AB26" s="84"/>
      <c r="AC26" s="84"/>
      <c r="AD26" s="84"/>
      <c r="AE26" s="84"/>
      <c r="AF26" s="84"/>
      <c r="AG26" s="84"/>
      <c r="AH26" s="84"/>
      <c r="AI26" s="117"/>
      <c r="AJ26" s="84"/>
      <c r="AK26" s="127"/>
      <c r="AL26" s="127"/>
      <c r="AM26" s="87"/>
      <c r="AN26" s="85"/>
      <c r="AO26" s="86"/>
    </row>
    <row r="27" spans="1:42" s="7" customFormat="1">
      <c r="A27" s="13"/>
      <c r="B27" s="2"/>
      <c r="C27" s="2"/>
      <c r="D27" s="371" t="s">
        <v>1</v>
      </c>
      <c r="E27" s="372" t="s">
        <v>86</v>
      </c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127"/>
      <c r="AG27" s="84"/>
      <c r="AH27" s="84"/>
      <c r="AI27" s="84"/>
      <c r="AJ27" s="84"/>
      <c r="AK27" s="84"/>
      <c r="AL27" s="84"/>
      <c r="AM27" s="87"/>
      <c r="AN27" s="85"/>
      <c r="AO27" s="86"/>
    </row>
    <row r="28" spans="1:42" s="7" customFormat="1" ht="15.75" thickBot="1">
      <c r="A28" s="39"/>
      <c r="B28" s="40"/>
      <c r="C28" s="88"/>
      <c r="D28" s="88"/>
      <c r="E28" s="349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9"/>
      <c r="AN28" s="86"/>
      <c r="AO28" s="86"/>
      <c r="AP28" s="86"/>
    </row>
    <row r="29" spans="1:42" ht="19.5" thickBot="1">
      <c r="A29" s="18"/>
      <c r="AG29" s="6"/>
      <c r="AO29" s="86"/>
      <c r="AP29" s="86"/>
    </row>
    <row r="30" spans="1:42" ht="19.5" thickBot="1">
      <c r="A30" s="769" t="s">
        <v>480</v>
      </c>
      <c r="B30" s="770"/>
      <c r="C30" s="770"/>
      <c r="D30" s="770"/>
      <c r="E30" s="770"/>
      <c r="F30" s="770"/>
      <c r="G30" s="770"/>
      <c r="H30" s="770"/>
      <c r="I30" s="770"/>
      <c r="J30" s="770"/>
      <c r="K30" s="770"/>
      <c r="L30" s="770"/>
      <c r="M30" s="770"/>
      <c r="N30" s="770"/>
      <c r="O30" s="770"/>
      <c r="P30" s="770"/>
      <c r="Q30" s="770"/>
      <c r="R30" s="770"/>
      <c r="S30" s="770"/>
      <c r="T30" s="770"/>
      <c r="U30" s="770"/>
      <c r="V30" s="770"/>
      <c r="W30" s="770"/>
      <c r="X30" s="770"/>
      <c r="Y30" s="770"/>
      <c r="Z30" s="770"/>
      <c r="AA30" s="770"/>
      <c r="AB30" s="770"/>
      <c r="AC30" s="770"/>
      <c r="AD30" s="770"/>
      <c r="AE30" s="770"/>
      <c r="AF30" s="770"/>
      <c r="AG30" s="770"/>
      <c r="AH30" s="770"/>
      <c r="AI30" s="770"/>
      <c r="AJ30" s="770"/>
      <c r="AK30" s="770"/>
      <c r="AL30" s="770"/>
      <c r="AM30" s="771"/>
      <c r="AN30" s="85"/>
      <c r="AO30" s="86"/>
    </row>
    <row r="31" spans="1:42">
      <c r="A31" s="57" t="s">
        <v>78</v>
      </c>
      <c r="B31" s="25"/>
      <c r="C31" s="25"/>
      <c r="D31" s="25"/>
      <c r="E31" s="350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6"/>
      <c r="AN31" s="113"/>
      <c r="AO31" s="73"/>
    </row>
    <row r="32" spans="1:42">
      <c r="A32" s="128" t="s">
        <v>481</v>
      </c>
      <c r="B32" s="176"/>
      <c r="C32" s="741" t="s">
        <v>47</v>
      </c>
      <c r="D32" s="741" t="s">
        <v>48</v>
      </c>
      <c r="E32" s="313" t="s">
        <v>4</v>
      </c>
      <c r="F32" s="64" t="s">
        <v>5</v>
      </c>
      <c r="G32" s="64" t="s">
        <v>6</v>
      </c>
      <c r="H32" s="64" t="s">
        <v>15</v>
      </c>
      <c r="I32" s="64" t="s">
        <v>7</v>
      </c>
      <c r="J32" s="64" t="s">
        <v>8</v>
      </c>
      <c r="K32" s="64" t="s">
        <v>9</v>
      </c>
      <c r="L32" s="64" t="s">
        <v>10</v>
      </c>
      <c r="M32" s="64" t="s">
        <v>2</v>
      </c>
      <c r="N32" s="64" t="s">
        <v>12</v>
      </c>
      <c r="O32" s="64" t="s">
        <v>30</v>
      </c>
      <c r="P32" s="64" t="s">
        <v>13</v>
      </c>
      <c r="Q32" s="64" t="s">
        <v>14</v>
      </c>
      <c r="R32" s="64" t="s">
        <v>45</v>
      </c>
      <c r="S32" s="64" t="s">
        <v>16</v>
      </c>
      <c r="T32" s="64" t="s">
        <v>17</v>
      </c>
      <c r="U32" s="64" t="s">
        <v>20</v>
      </c>
      <c r="V32" s="194" t="s">
        <v>154</v>
      </c>
      <c r="W32" s="64" t="s">
        <v>18</v>
      </c>
      <c r="X32" s="64" t="s">
        <v>19</v>
      </c>
      <c r="Y32" s="64" t="s">
        <v>21</v>
      </c>
      <c r="Z32" s="64" t="s">
        <v>22</v>
      </c>
      <c r="AA32" s="64" t="s">
        <v>29</v>
      </c>
      <c r="AB32" s="64" t="s">
        <v>23</v>
      </c>
      <c r="AC32" s="64" t="s">
        <v>24</v>
      </c>
      <c r="AD32" s="64" t="s">
        <v>25</v>
      </c>
      <c r="AE32" s="64" t="s">
        <v>28</v>
      </c>
      <c r="AF32" s="64" t="s">
        <v>27</v>
      </c>
      <c r="AG32" s="64" t="s">
        <v>11</v>
      </c>
      <c r="AH32" s="64" t="s">
        <v>26</v>
      </c>
      <c r="AI32" s="64" t="s">
        <v>46</v>
      </c>
      <c r="AJ32" s="194" t="s">
        <v>31</v>
      </c>
      <c r="AK32" s="5"/>
      <c r="AL32" s="41"/>
      <c r="AM32" s="38"/>
      <c r="AN32" s="113"/>
      <c r="AO32" s="73"/>
    </row>
    <row r="33" spans="1:42" s="7" customFormat="1">
      <c r="A33" s="27" t="s">
        <v>44</v>
      </c>
      <c r="B33" s="28"/>
      <c r="C33" s="110">
        <f>D33-AJ33</f>
        <v>486.16189188772523</v>
      </c>
      <c r="D33" s="110">
        <f>SUM(E33:AL33)</f>
        <v>522.92189188772522</v>
      </c>
      <c r="E33" s="351">
        <v>10.260541995017567</v>
      </c>
      <c r="F33" s="112">
        <v>13.522318041974065</v>
      </c>
      <c r="G33" s="112">
        <v>9.8859999999999992</v>
      </c>
      <c r="H33" s="112">
        <v>3.843</v>
      </c>
      <c r="I33" s="112">
        <v>1.5848710590959747</v>
      </c>
      <c r="J33" s="112">
        <v>18.121600000000001</v>
      </c>
      <c r="K33" s="112">
        <v>7.1079999999999997</v>
      </c>
      <c r="L33" s="112">
        <v>2.7869999999999999</v>
      </c>
      <c r="M33" s="112">
        <v>8</v>
      </c>
      <c r="N33" s="112">
        <v>57.567</v>
      </c>
      <c r="O33" s="112">
        <v>62.5</v>
      </c>
      <c r="P33" s="112">
        <v>20.548762808713402</v>
      </c>
      <c r="Q33" s="112">
        <v>18.8675</v>
      </c>
      <c r="R33" s="112">
        <v>0.91510215704133424</v>
      </c>
      <c r="S33" s="112">
        <v>10.4992</v>
      </c>
      <c r="T33" s="112">
        <v>102.965</v>
      </c>
      <c r="U33" s="112">
        <v>2.1560000000000001</v>
      </c>
      <c r="V33" s="399"/>
      <c r="W33" s="112">
        <v>2.839</v>
      </c>
      <c r="X33" s="112">
        <v>1.1703687012049782</v>
      </c>
      <c r="Y33" s="112">
        <v>0.56805733495906574</v>
      </c>
      <c r="Z33" s="112">
        <v>5.258</v>
      </c>
      <c r="AA33" s="112">
        <v>4.3650000000000002</v>
      </c>
      <c r="AB33" s="112">
        <v>34.543999999999997</v>
      </c>
      <c r="AC33" s="112">
        <v>7.9260000000000002</v>
      </c>
      <c r="AD33" s="112">
        <v>19.937000000000001</v>
      </c>
      <c r="AE33" s="112">
        <v>6.2389999999999999</v>
      </c>
      <c r="AF33" s="112">
        <v>3.7515697897189018</v>
      </c>
      <c r="AG33" s="112">
        <v>32.188000000000002</v>
      </c>
      <c r="AH33" s="112">
        <v>9.984</v>
      </c>
      <c r="AI33" s="112">
        <v>6.26</v>
      </c>
      <c r="AJ33" s="112">
        <v>36.76</v>
      </c>
      <c r="AK33" s="2"/>
      <c r="AL33" s="112"/>
      <c r="AM33" s="42"/>
      <c r="AN33" s="113"/>
      <c r="AO33" s="73"/>
    </row>
    <row r="34" spans="1:42" s="7" customFormat="1">
      <c r="A34" s="27" t="s">
        <v>43</v>
      </c>
      <c r="B34" s="28"/>
      <c r="C34" s="110">
        <f>D34-AJ34</f>
        <v>4413.3523254104421</v>
      </c>
      <c r="D34" s="111">
        <f>SUM(E34:AL34)</f>
        <v>5086.0623254104421</v>
      </c>
      <c r="E34" s="351">
        <v>78.545000000000002</v>
      </c>
      <c r="F34" s="110">
        <v>107.31994254833911</v>
      </c>
      <c r="G34" s="112">
        <v>57.248256975896965</v>
      </c>
      <c r="H34" s="112">
        <v>25.594000000000001</v>
      </c>
      <c r="I34" s="112">
        <v>6.7999745805257668</v>
      </c>
      <c r="J34" s="112">
        <v>77.971000000000004</v>
      </c>
      <c r="K34" s="110">
        <v>60.733000000000004</v>
      </c>
      <c r="L34" s="112">
        <v>13.340182522661715</v>
      </c>
      <c r="M34" s="112">
        <v>66.8</v>
      </c>
      <c r="N34" s="112">
        <v>757.077</v>
      </c>
      <c r="O34" s="112">
        <v>920.2</v>
      </c>
      <c r="P34" s="112">
        <v>103.3953545725447</v>
      </c>
      <c r="Q34" s="112">
        <v>63.947000000000003</v>
      </c>
      <c r="R34" s="112">
        <v>5.8018123352381767</v>
      </c>
      <c r="S34" s="110">
        <v>57.163062450440485</v>
      </c>
      <c r="T34" s="112">
        <v>722.89400000000001</v>
      </c>
      <c r="U34" s="112">
        <v>15.256</v>
      </c>
      <c r="V34" s="127"/>
      <c r="W34" s="112">
        <v>30.119</v>
      </c>
      <c r="X34" s="112">
        <v>7.8337138706263563</v>
      </c>
      <c r="Y34" s="112">
        <v>2.6719139301479649</v>
      </c>
      <c r="Z34" s="112">
        <v>144.69999999999999</v>
      </c>
      <c r="AA34" s="112">
        <v>66.834999999999994</v>
      </c>
      <c r="AB34" s="112">
        <v>212.41594119605935</v>
      </c>
      <c r="AC34" s="112">
        <v>95.460477535216867</v>
      </c>
      <c r="AD34" s="112">
        <v>103.80336173644331</v>
      </c>
      <c r="AE34" s="112">
        <v>28.46</v>
      </c>
      <c r="AF34" s="112">
        <v>27.514331156301186</v>
      </c>
      <c r="AG34" s="112">
        <v>340.55599999999998</v>
      </c>
      <c r="AH34" s="112">
        <v>116</v>
      </c>
      <c r="AI34" s="112">
        <v>96.897000000000006</v>
      </c>
      <c r="AJ34" s="112">
        <v>672.71</v>
      </c>
      <c r="AK34" s="2"/>
      <c r="AL34" s="112"/>
      <c r="AM34" s="42"/>
      <c r="AN34" s="113"/>
      <c r="AO34" s="73"/>
    </row>
    <row r="35" spans="1:42" s="7" customFormat="1">
      <c r="A35" s="27" t="s">
        <v>98</v>
      </c>
      <c r="B35" s="28"/>
      <c r="C35" s="110">
        <f>D35-AJ35</f>
        <v>91.616286414140859</v>
      </c>
      <c r="D35" s="111">
        <f>SUM(E35:AL35)</f>
        <v>105.67918641414086</v>
      </c>
      <c r="E35" s="351">
        <v>7.1919542940482737</v>
      </c>
      <c r="F35" s="112">
        <v>1.3964367384663054</v>
      </c>
      <c r="G35" s="112">
        <v>1.085</v>
      </c>
      <c r="H35" s="112">
        <v>0.57616500000000004</v>
      </c>
      <c r="I35" s="112" t="s">
        <v>97</v>
      </c>
      <c r="J35" s="112">
        <v>10.7348</v>
      </c>
      <c r="K35" s="112">
        <v>0.35199999999999998</v>
      </c>
      <c r="L35" s="112">
        <v>0.13693620000000006</v>
      </c>
      <c r="M35" s="112">
        <v>0.65472129783693855</v>
      </c>
      <c r="N35" s="112">
        <v>10.799413390449658</v>
      </c>
      <c r="O35" s="112">
        <v>17.600000000000001</v>
      </c>
      <c r="P35" s="112">
        <v>1.6885481805298737</v>
      </c>
      <c r="Q35" s="112">
        <v>2.7077</v>
      </c>
      <c r="R35" s="112" t="s">
        <v>97</v>
      </c>
      <c r="S35" s="112">
        <v>0.317</v>
      </c>
      <c r="T35" s="112">
        <v>6.8650000000000002</v>
      </c>
      <c r="U35" s="112">
        <v>0.12674400000000002</v>
      </c>
      <c r="V35" s="127"/>
      <c r="W35" s="112" t="s">
        <v>97</v>
      </c>
      <c r="X35" s="112">
        <v>0.192</v>
      </c>
      <c r="Y35" s="112" t="s">
        <v>97</v>
      </c>
      <c r="Z35" s="112">
        <v>1.0409999999999999</v>
      </c>
      <c r="AA35" s="112">
        <v>0.996</v>
      </c>
      <c r="AB35" s="112">
        <v>4.3522747351298046</v>
      </c>
      <c r="AC35" s="112">
        <v>1.1759999999999999</v>
      </c>
      <c r="AD35" s="112">
        <v>8.7048435776799984</v>
      </c>
      <c r="AE35" s="112">
        <v>0.28074900000000003</v>
      </c>
      <c r="AF35" s="112" t="s">
        <v>97</v>
      </c>
      <c r="AG35" s="112">
        <v>8.7289999999999992</v>
      </c>
      <c r="AH35" s="112">
        <v>2.7370000000000001</v>
      </c>
      <c r="AI35" s="112">
        <v>1.175</v>
      </c>
      <c r="AJ35" s="198">
        <v>14.062900000000001</v>
      </c>
      <c r="AK35" s="2"/>
      <c r="AL35" s="112"/>
      <c r="AM35" s="42"/>
      <c r="AN35" s="113"/>
      <c r="AO35" s="73"/>
    </row>
    <row r="36" spans="1:42" s="7" customFormat="1">
      <c r="A36" s="63" t="s">
        <v>32</v>
      </c>
      <c r="B36" s="176"/>
      <c r="C36" s="599">
        <f>D36-AJ36</f>
        <v>431.53499999999997</v>
      </c>
      <c r="D36" s="600">
        <f>SUM(E36:AL36)</f>
        <v>501.24099999999999</v>
      </c>
      <c r="E36" s="313">
        <v>13.205</v>
      </c>
      <c r="F36" s="585">
        <v>10.71</v>
      </c>
      <c r="G36" s="585">
        <v>1.476</v>
      </c>
      <c r="H36" s="585">
        <v>0.747</v>
      </c>
      <c r="I36" s="585" t="s">
        <v>97</v>
      </c>
      <c r="J36" s="585">
        <v>10.220000000000001</v>
      </c>
      <c r="K36" s="585">
        <v>6.1950000000000003</v>
      </c>
      <c r="L36" s="585">
        <v>0.41699999999999998</v>
      </c>
      <c r="M36" s="585">
        <v>4.5350000000000001</v>
      </c>
      <c r="N36" s="585">
        <v>97.1</v>
      </c>
      <c r="O36" s="585">
        <v>98.1</v>
      </c>
      <c r="P36" s="585">
        <v>1.1040000000000001</v>
      </c>
      <c r="Q36" s="585">
        <v>7.77</v>
      </c>
      <c r="R36" s="72"/>
      <c r="S36" s="585">
        <v>2.2810000000000001</v>
      </c>
      <c r="T36" s="585">
        <v>55.493000000000002</v>
      </c>
      <c r="U36" s="585">
        <v>0.624</v>
      </c>
      <c r="V36" s="598"/>
      <c r="W36" s="585">
        <v>0.35399999999999998</v>
      </c>
      <c r="X36" s="585">
        <v>0.443</v>
      </c>
      <c r="Y36" s="585" t="s">
        <v>97</v>
      </c>
      <c r="Z36" s="585">
        <v>18.895</v>
      </c>
      <c r="AA36" s="585">
        <v>3.7589999999999999</v>
      </c>
      <c r="AB36" s="585">
        <v>21.042999999999999</v>
      </c>
      <c r="AC36" s="585">
        <v>4.57</v>
      </c>
      <c r="AD36" s="585">
        <v>5.577</v>
      </c>
      <c r="AE36" s="585">
        <v>3.7919999999999998</v>
      </c>
      <c r="AF36" s="585">
        <v>0.56799999999999995</v>
      </c>
      <c r="AG36" s="585">
        <v>28.42</v>
      </c>
      <c r="AH36" s="585">
        <v>13.547000000000001</v>
      </c>
      <c r="AI36" s="585">
        <v>20.59</v>
      </c>
      <c r="AJ36" s="585">
        <v>69.706000000000003</v>
      </c>
      <c r="AK36" s="2"/>
      <c r="AL36" s="41"/>
      <c r="AM36" s="42"/>
      <c r="AN36" s="113"/>
      <c r="AP36" s="21"/>
    </row>
    <row r="37" spans="1:42" s="7" customFormat="1">
      <c r="A37" s="27" t="s">
        <v>100</v>
      </c>
      <c r="B37" s="28"/>
      <c r="C37" s="110">
        <f>SUM(C33:C36)</f>
        <v>5422.6655037123073</v>
      </c>
      <c r="D37" s="110">
        <f t="shared" ref="D37:Z37" si="0">SUM(D33:D36)</f>
        <v>6215.9044037123076</v>
      </c>
      <c r="E37" s="353">
        <f t="shared" si="0"/>
        <v>109.20249628906583</v>
      </c>
      <c r="F37" s="110">
        <f t="shared" si="0"/>
        <v>132.94869732877947</v>
      </c>
      <c r="G37" s="110">
        <f t="shared" si="0"/>
        <v>69.695256975896953</v>
      </c>
      <c r="H37" s="110">
        <f t="shared" si="0"/>
        <v>30.760165000000001</v>
      </c>
      <c r="I37" s="110">
        <f t="shared" si="0"/>
        <v>8.3848456396217408</v>
      </c>
      <c r="J37" s="110">
        <f t="shared" si="0"/>
        <v>117.04740000000001</v>
      </c>
      <c r="K37" s="110">
        <f t="shared" si="0"/>
        <v>74.388000000000005</v>
      </c>
      <c r="L37" s="110">
        <f t="shared" si="0"/>
        <v>16.681118722661719</v>
      </c>
      <c r="M37" s="110">
        <f t="shared" si="0"/>
        <v>79.989721297836937</v>
      </c>
      <c r="N37" s="110">
        <f t="shared" si="0"/>
        <v>922.5434133904497</v>
      </c>
      <c r="O37" s="110">
        <f t="shared" si="0"/>
        <v>1098.4000000000001</v>
      </c>
      <c r="P37" s="110">
        <f t="shared" si="0"/>
        <v>126.73666556178799</v>
      </c>
      <c r="Q37" s="110">
        <f t="shared" si="0"/>
        <v>93.292200000000008</v>
      </c>
      <c r="R37" s="110">
        <f t="shared" si="0"/>
        <v>6.7169144922795105</v>
      </c>
      <c r="S37" s="110">
        <f t="shared" si="0"/>
        <v>70.260262450440479</v>
      </c>
      <c r="T37" s="110">
        <f t="shared" si="0"/>
        <v>888.2170000000001</v>
      </c>
      <c r="U37" s="110">
        <f t="shared" si="0"/>
        <v>18.162743999999996</v>
      </c>
      <c r="V37" s="127"/>
      <c r="W37" s="110">
        <f>SUM(W33:W36)</f>
        <v>33.311999999999998</v>
      </c>
      <c r="X37" s="110">
        <f>SUM(X33:X36)</f>
        <v>9.6390825718313344</v>
      </c>
      <c r="Y37" s="110">
        <f>SUM(Y33:Y36)</f>
        <v>3.2399712651070307</v>
      </c>
      <c r="Z37" s="110">
        <f t="shared" si="0"/>
        <v>169.89400000000001</v>
      </c>
      <c r="AA37" s="110">
        <f t="shared" ref="AA37:AJ37" si="1">SUM(AA33:AA36)</f>
        <v>75.954999999999984</v>
      </c>
      <c r="AB37" s="110">
        <f t="shared" si="1"/>
        <v>272.35521593118915</v>
      </c>
      <c r="AC37" s="110">
        <f t="shared" si="1"/>
        <v>109.13247753521688</v>
      </c>
      <c r="AD37" s="110">
        <f t="shared" si="1"/>
        <v>138.02220531412331</v>
      </c>
      <c r="AE37" s="110">
        <f t="shared" si="1"/>
        <v>38.771749</v>
      </c>
      <c r="AF37" s="110">
        <f t="shared" si="1"/>
        <v>31.833900946020091</v>
      </c>
      <c r="AG37" s="110">
        <f t="shared" si="1"/>
        <v>409.89299999999997</v>
      </c>
      <c r="AH37" s="110">
        <f t="shared" si="1"/>
        <v>142.268</v>
      </c>
      <c r="AI37" s="110">
        <f t="shared" si="1"/>
        <v>124.92200000000001</v>
      </c>
      <c r="AJ37" s="110">
        <f t="shared" si="1"/>
        <v>793.23890000000006</v>
      </c>
      <c r="AK37" s="2"/>
      <c r="AL37" s="110"/>
      <c r="AM37" s="42"/>
      <c r="AN37" s="113"/>
      <c r="AP37" s="21"/>
    </row>
    <row r="38" spans="1:42" s="7" customFormat="1">
      <c r="A38" s="1"/>
      <c r="B38" s="1"/>
      <c r="C38" s="37"/>
      <c r="D38" s="379" t="s">
        <v>425</v>
      </c>
      <c r="E38" s="370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127"/>
      <c r="W38" s="37"/>
      <c r="X38" s="2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2"/>
      <c r="AN38" s="113"/>
    </row>
    <row r="39" spans="1:42" s="7" customFormat="1">
      <c r="A39" s="1"/>
      <c r="B39" s="1"/>
      <c r="C39" s="37"/>
      <c r="D39" s="47" t="s">
        <v>42</v>
      </c>
      <c r="E39" s="370">
        <v>2020</v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402"/>
      <c r="W39" s="37"/>
      <c r="X39" s="2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42"/>
      <c r="AN39" s="113"/>
    </row>
    <row r="40" spans="1:42" s="7" customFormat="1">
      <c r="A40" s="1"/>
      <c r="B40" s="1"/>
      <c r="C40" s="37"/>
      <c r="D40" s="371" t="s">
        <v>1</v>
      </c>
      <c r="E40" s="372" t="s">
        <v>96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2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2"/>
      <c r="AN40" s="113"/>
    </row>
    <row r="41" spans="1:42" s="7" customFormat="1">
      <c r="A41" s="1"/>
      <c r="B41" s="1"/>
      <c r="C41" s="37"/>
      <c r="D41" s="371"/>
      <c r="E41" s="372">
        <f>INDEX(DEFAULT!E124:AJ124,1)</f>
        <v>0.1</v>
      </c>
      <c r="F41" s="584"/>
      <c r="G41" s="1"/>
      <c r="H41" s="584"/>
      <c r="I41" s="584"/>
      <c r="J41" s="584"/>
      <c r="K41" s="584"/>
      <c r="L41" s="584"/>
      <c r="M41" s="584"/>
      <c r="N41" s="584"/>
      <c r="O41" s="584"/>
      <c r="P41" s="584"/>
      <c r="Q41" s="584"/>
      <c r="R41" s="584"/>
      <c r="S41" s="584"/>
      <c r="T41" s="584"/>
      <c r="U41" s="584"/>
      <c r="V41" s="584"/>
      <c r="W41" s="584"/>
      <c r="X41" s="2"/>
      <c r="Y41" s="584"/>
      <c r="Z41" s="584"/>
      <c r="AA41" s="584"/>
      <c r="AB41" s="584"/>
      <c r="AC41" s="584"/>
      <c r="AD41" s="584"/>
      <c r="AE41" s="584"/>
      <c r="AF41" s="584"/>
      <c r="AG41" s="584"/>
      <c r="AH41" s="584"/>
      <c r="AI41" s="584"/>
      <c r="AJ41" s="584"/>
      <c r="AK41" s="584"/>
      <c r="AL41" s="584"/>
      <c r="AM41" s="42"/>
      <c r="AN41" s="113"/>
    </row>
    <row r="42" spans="1:42" s="7" customFormat="1">
      <c r="A42" s="609" t="s">
        <v>644</v>
      </c>
      <c r="B42" s="3"/>
      <c r="C42" s="72"/>
      <c r="D42" s="77" t="s">
        <v>95</v>
      </c>
      <c r="E42" s="565" t="s">
        <v>4</v>
      </c>
      <c r="F42" s="565" t="s">
        <v>5</v>
      </c>
      <c r="G42" s="565" t="s">
        <v>6</v>
      </c>
      <c r="H42" s="565" t="s">
        <v>15</v>
      </c>
      <c r="I42" s="565" t="s">
        <v>7</v>
      </c>
      <c r="J42" s="565" t="s">
        <v>8</v>
      </c>
      <c r="K42" s="565" t="s">
        <v>9</v>
      </c>
      <c r="L42" s="565" t="s">
        <v>10</v>
      </c>
      <c r="M42" s="565" t="s">
        <v>2</v>
      </c>
      <c r="N42" s="565" t="s">
        <v>12</v>
      </c>
      <c r="O42" s="565" t="s">
        <v>30</v>
      </c>
      <c r="P42" s="565" t="s">
        <v>13</v>
      </c>
      <c r="Q42" s="565" t="s">
        <v>14</v>
      </c>
      <c r="R42" s="565" t="s">
        <v>45</v>
      </c>
      <c r="S42" s="565" t="s">
        <v>16</v>
      </c>
      <c r="T42" s="565" t="s">
        <v>17</v>
      </c>
      <c r="U42" s="565" t="s">
        <v>20</v>
      </c>
      <c r="V42" s="585" t="s">
        <v>154</v>
      </c>
      <c r="W42" s="565" t="s">
        <v>18</v>
      </c>
      <c r="X42" s="565" t="s">
        <v>19</v>
      </c>
      <c r="Y42" s="565" t="s">
        <v>21</v>
      </c>
      <c r="Z42" s="603" t="s">
        <v>22</v>
      </c>
      <c r="AA42" s="565" t="s">
        <v>29</v>
      </c>
      <c r="AB42" s="565" t="s">
        <v>23</v>
      </c>
      <c r="AC42" s="565" t="s">
        <v>24</v>
      </c>
      <c r="AD42" s="565" t="s">
        <v>25</v>
      </c>
      <c r="AE42" s="565" t="s">
        <v>28</v>
      </c>
      <c r="AF42" s="565" t="s">
        <v>27</v>
      </c>
      <c r="AG42" s="565" t="s">
        <v>11</v>
      </c>
      <c r="AH42" s="565" t="s">
        <v>26</v>
      </c>
      <c r="AI42" s="565" t="s">
        <v>46</v>
      </c>
      <c r="AJ42" s="565" t="s">
        <v>31</v>
      </c>
      <c r="AK42" s="584"/>
      <c r="AL42" s="584"/>
      <c r="AM42" s="42"/>
      <c r="AN42" s="113"/>
    </row>
    <row r="43" spans="1:42" s="7" customFormat="1">
      <c r="A43" s="1"/>
      <c r="B43" s="1"/>
      <c r="C43" s="37"/>
      <c r="D43" s="586">
        <v>11912</v>
      </c>
      <c r="E43" s="553">
        <v>11958</v>
      </c>
      <c r="F43" s="604">
        <v>12108</v>
      </c>
      <c r="G43" s="553">
        <v>10187</v>
      </c>
      <c r="H43" s="553">
        <v>12517</v>
      </c>
      <c r="I43" s="553">
        <v>9573</v>
      </c>
      <c r="J43" s="553">
        <v>11022</v>
      </c>
      <c r="K43" s="553">
        <v>12927</v>
      </c>
      <c r="L43" s="553">
        <v>12397</v>
      </c>
      <c r="M43" s="553">
        <v>14756</v>
      </c>
      <c r="N43" s="553">
        <v>12984</v>
      </c>
      <c r="O43" s="553">
        <v>13510</v>
      </c>
      <c r="P43" s="553">
        <v>11939</v>
      </c>
      <c r="Q43" s="553">
        <v>9590</v>
      </c>
      <c r="R43" s="399">
        <v>11912</v>
      </c>
      <c r="S43" s="553">
        <v>14466</v>
      </c>
      <c r="T43" s="553">
        <v>15077</v>
      </c>
      <c r="U43" s="553">
        <v>12253</v>
      </c>
      <c r="V43" s="399">
        <v>11912</v>
      </c>
      <c r="W43" s="553">
        <v>11900</v>
      </c>
      <c r="X43" s="553">
        <v>15405</v>
      </c>
      <c r="Y43" s="604">
        <v>9573</v>
      </c>
      <c r="Z43" s="589">
        <v>10075</v>
      </c>
      <c r="AA43" s="553">
        <v>15142</v>
      </c>
      <c r="AB43" s="553">
        <v>7013</v>
      </c>
      <c r="AC43" s="553">
        <v>10884</v>
      </c>
      <c r="AD43" s="553">
        <v>7224</v>
      </c>
      <c r="AE43" s="553">
        <v>7307</v>
      </c>
      <c r="AF43" s="553">
        <v>15077</v>
      </c>
      <c r="AG43" s="553">
        <v>9333</v>
      </c>
      <c r="AH43" s="553">
        <v>14271</v>
      </c>
      <c r="AI43" s="553">
        <v>14217</v>
      </c>
      <c r="AJ43" s="553">
        <v>12010</v>
      </c>
      <c r="AK43" s="584"/>
      <c r="AL43" s="584"/>
      <c r="AM43" s="42"/>
      <c r="AN43" s="113"/>
    </row>
    <row r="44" spans="1:42" s="7" customFormat="1">
      <c r="A44" s="1"/>
      <c r="B44" s="1"/>
      <c r="C44" s="37"/>
      <c r="D44" s="325"/>
      <c r="E44" s="371"/>
      <c r="F44" s="604">
        <v>2014</v>
      </c>
      <c r="G44" s="584"/>
      <c r="H44" s="584"/>
      <c r="I44" s="584"/>
      <c r="J44" s="584"/>
      <c r="K44" s="584"/>
      <c r="L44" s="584"/>
      <c r="M44" s="584"/>
      <c r="N44" s="584"/>
      <c r="O44" s="584"/>
      <c r="P44" s="584"/>
      <c r="Q44" s="584"/>
      <c r="R44" s="399" t="s">
        <v>95</v>
      </c>
      <c r="S44" s="584"/>
      <c r="T44" s="584"/>
      <c r="U44" s="584"/>
      <c r="V44" s="399" t="s">
        <v>95</v>
      </c>
      <c r="W44" s="584"/>
      <c r="X44" s="1"/>
      <c r="Y44" s="604" t="s">
        <v>7</v>
      </c>
      <c r="Z44" s="584"/>
      <c r="AA44" s="584"/>
      <c r="AB44" s="584"/>
      <c r="AC44" s="584"/>
      <c r="AD44" s="584"/>
      <c r="AE44" s="584"/>
      <c r="AF44" s="584"/>
      <c r="AG44" s="584"/>
      <c r="AH44" s="584"/>
      <c r="AI44" s="584"/>
      <c r="AJ44" s="584"/>
      <c r="AK44" s="584"/>
      <c r="AL44" s="584"/>
      <c r="AM44" s="42"/>
      <c r="AN44" s="113"/>
    </row>
    <row r="45" spans="1:42" s="86" customFormat="1">
      <c r="A45" s="1"/>
      <c r="B45" s="1"/>
      <c r="C45" s="1"/>
      <c r="D45" s="429" t="s">
        <v>42</v>
      </c>
      <c r="E45" s="253">
        <v>2018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584"/>
      <c r="AJ45" s="584"/>
      <c r="AK45" s="584"/>
      <c r="AL45" s="584"/>
      <c r="AM45" s="42"/>
      <c r="AN45" s="113"/>
    </row>
    <row r="46" spans="1:42" s="7" customFormat="1">
      <c r="A46" s="1"/>
      <c r="B46" s="1"/>
      <c r="C46" s="37"/>
      <c r="D46" s="380" t="s">
        <v>1</v>
      </c>
      <c r="E46" s="186" t="s">
        <v>643</v>
      </c>
      <c r="F46" s="465"/>
      <c r="G46" s="608" t="s">
        <v>645</v>
      </c>
      <c r="H46" s="465"/>
      <c r="I46" s="465"/>
      <c r="J46" s="465"/>
      <c r="K46" s="465"/>
      <c r="L46" s="465"/>
      <c r="M46" s="465"/>
      <c r="N46" s="465"/>
      <c r="O46" s="465"/>
      <c r="P46" s="465"/>
      <c r="Q46" s="465"/>
      <c r="R46" s="465"/>
      <c r="S46" s="584"/>
      <c r="T46" s="584"/>
      <c r="U46" s="584"/>
      <c r="V46" s="584"/>
      <c r="W46" s="584"/>
      <c r="X46" s="2"/>
      <c r="Y46" s="584"/>
      <c r="Z46" s="584"/>
      <c r="AA46" s="584"/>
      <c r="AB46" s="584"/>
      <c r="AC46" s="584"/>
      <c r="AD46" s="584"/>
      <c r="AE46" s="584"/>
      <c r="AF46" s="584"/>
      <c r="AG46" s="584"/>
      <c r="AH46" s="584"/>
      <c r="AI46" s="584"/>
      <c r="AJ46" s="584"/>
      <c r="AK46" s="584"/>
      <c r="AL46" s="584"/>
      <c r="AM46" s="42"/>
      <c r="AN46" s="113"/>
    </row>
    <row r="47" spans="1:42" s="7" customFormat="1">
      <c r="A47" s="1"/>
      <c r="B47" s="1"/>
      <c r="C47" s="37"/>
      <c r="D47" s="380"/>
      <c r="E47" s="186"/>
      <c r="F47" s="465"/>
      <c r="G47" s="608"/>
      <c r="H47" s="465"/>
      <c r="I47" s="465"/>
      <c r="J47" s="465"/>
      <c r="K47" s="465"/>
      <c r="L47" s="465"/>
      <c r="M47" s="465"/>
      <c r="N47" s="465"/>
      <c r="O47" s="465"/>
      <c r="P47" s="465"/>
      <c r="Q47" s="465"/>
      <c r="R47" s="465"/>
      <c r="S47" s="640"/>
      <c r="T47" s="640"/>
      <c r="U47" s="640"/>
      <c r="V47" s="640"/>
      <c r="W47" s="640"/>
      <c r="X47" s="2"/>
      <c r="Y47" s="640"/>
      <c r="Z47" s="640"/>
      <c r="AA47" s="640"/>
      <c r="AB47" s="640"/>
      <c r="AC47" s="640"/>
      <c r="AD47" s="640"/>
      <c r="AE47" s="640"/>
      <c r="AF47" s="640"/>
      <c r="AG47" s="640"/>
      <c r="AH47" s="640"/>
      <c r="AI47" s="640"/>
      <c r="AJ47" s="640"/>
      <c r="AK47" s="640"/>
      <c r="AL47" s="640"/>
      <c r="AM47" s="42"/>
      <c r="AN47" s="113"/>
    </row>
    <row r="48" spans="1:42" s="7" customFormat="1">
      <c r="A48" s="1"/>
      <c r="B48" s="1"/>
      <c r="C48" s="37"/>
      <c r="D48" s="380" t="s">
        <v>671</v>
      </c>
      <c r="E48" s="641">
        <f t="shared" ref="E48:AJ48" si="2">E37*1000000000/E4</f>
        <v>12225.076000739067</v>
      </c>
      <c r="F48" s="641">
        <f t="shared" si="2"/>
        <v>11494.745464656356</v>
      </c>
      <c r="G48" s="641">
        <f t="shared" si="2"/>
        <v>10076.595575697147</v>
      </c>
      <c r="H48" s="641">
        <f t="shared" si="2"/>
        <v>7620.7779048175889</v>
      </c>
      <c r="I48" s="641">
        <f t="shared" si="2"/>
        <v>9358.0344301892746</v>
      </c>
      <c r="J48" s="641">
        <f t="shared" si="2"/>
        <v>10937.192954029972</v>
      </c>
      <c r="K48" s="641">
        <f t="shared" si="2"/>
        <v>12737.573083769046</v>
      </c>
      <c r="L48" s="641">
        <f t="shared" si="2"/>
        <v>12541.553306042788</v>
      </c>
      <c r="M48" s="641">
        <f t="shared" si="2"/>
        <v>14454.772937447593</v>
      </c>
      <c r="N48" s="641">
        <f t="shared" si="2"/>
        <v>13679.550695288828</v>
      </c>
      <c r="O48" s="641">
        <f t="shared" si="2"/>
        <v>13209.062479935821</v>
      </c>
      <c r="P48" s="641">
        <f t="shared" si="2"/>
        <v>11863.899645074156</v>
      </c>
      <c r="Q48" s="641">
        <f t="shared" si="2"/>
        <v>9587.3379830500617</v>
      </c>
      <c r="R48" s="641">
        <f t="shared" si="2"/>
        <v>18213.286872490484</v>
      </c>
      <c r="S48" s="641">
        <f t="shared" si="2"/>
        <v>14032.667762840507</v>
      </c>
      <c r="T48" s="641">
        <f t="shared" si="2"/>
        <v>14989.090169515233</v>
      </c>
      <c r="U48" s="641">
        <f t="shared" si="2"/>
        <v>9593.5576527434932</v>
      </c>
      <c r="V48" s="641" t="e">
        <f t="shared" si="2"/>
        <v>#DIV/0!</v>
      </c>
      <c r="W48" s="641">
        <f t="shared" si="2"/>
        <v>11915.526812796885</v>
      </c>
      <c r="X48" s="641">
        <f t="shared" si="2"/>
        <v>15186.114681567493</v>
      </c>
      <c r="Y48" s="641">
        <f t="shared" si="2"/>
        <v>6277.7974522515615</v>
      </c>
      <c r="Z48" s="641">
        <f t="shared" si="2"/>
        <v>9721.8864330260549</v>
      </c>
      <c r="AA48" s="641">
        <f t="shared" si="2"/>
        <v>14088.258473868138</v>
      </c>
      <c r="AB48" s="641">
        <f t="shared" si="2"/>
        <v>7197.5477995148349</v>
      </c>
      <c r="AC48" s="641">
        <f t="shared" si="2"/>
        <v>10597.184603291595</v>
      </c>
      <c r="AD48" s="641">
        <f t="shared" si="2"/>
        <v>7193.8267150502243</v>
      </c>
      <c r="AE48" s="641">
        <f t="shared" si="2"/>
        <v>7101.3377642802889</v>
      </c>
      <c r="AF48" s="641">
        <f t="shared" si="2"/>
        <v>15094.475163086223</v>
      </c>
      <c r="AG48" s="641">
        <f t="shared" si="2"/>
        <v>8648.5857147610586</v>
      </c>
      <c r="AH48" s="641">
        <f t="shared" si="2"/>
        <v>13706.903985289946</v>
      </c>
      <c r="AI48" s="641">
        <f t="shared" si="2"/>
        <v>14413.376211248809</v>
      </c>
      <c r="AJ48" s="641">
        <f t="shared" si="2"/>
        <v>11607.908244541288</v>
      </c>
      <c r="AK48" s="640"/>
      <c r="AL48" s="640"/>
      <c r="AM48" s="42"/>
      <c r="AN48" s="113"/>
    </row>
    <row r="49" spans="1:40" s="7" customFormat="1">
      <c r="A49" s="1"/>
      <c r="B49" s="1"/>
      <c r="C49" s="37"/>
      <c r="D49" s="380"/>
      <c r="E49" s="186"/>
      <c r="F49" s="465"/>
      <c r="G49" s="608"/>
      <c r="H49" s="465"/>
      <c r="I49" s="465"/>
      <c r="J49" s="465"/>
      <c r="K49" s="465"/>
      <c r="L49" s="465"/>
      <c r="M49" s="465"/>
      <c r="N49" s="465"/>
      <c r="O49" s="465"/>
      <c r="P49" s="465"/>
      <c r="Q49" s="465"/>
      <c r="R49" s="465"/>
      <c r="S49" s="640"/>
      <c r="T49" s="640"/>
      <c r="U49" s="640"/>
      <c r="V49" s="640"/>
      <c r="W49" s="640"/>
      <c r="X49" s="2"/>
      <c r="Y49" s="640"/>
      <c r="Z49" s="640"/>
      <c r="AA49" s="640"/>
      <c r="AB49" s="640"/>
      <c r="AC49" s="640"/>
      <c r="AD49" s="640"/>
      <c r="AE49" s="640"/>
      <c r="AF49" s="640"/>
      <c r="AG49" s="640"/>
      <c r="AH49" s="640"/>
      <c r="AI49" s="640"/>
      <c r="AJ49" s="640"/>
      <c r="AK49" s="640"/>
      <c r="AL49" s="640"/>
      <c r="AM49" s="42"/>
      <c r="AN49" s="113"/>
    </row>
    <row r="50" spans="1:40" s="7" customFormat="1">
      <c r="A50" s="1"/>
      <c r="B50" s="1"/>
      <c r="C50" s="37"/>
      <c r="D50" s="371"/>
      <c r="E50" s="372"/>
      <c r="F50" s="584"/>
      <c r="G50" s="584"/>
      <c r="H50" s="584"/>
      <c r="I50" s="584"/>
      <c r="J50" s="584"/>
      <c r="K50" s="584"/>
      <c r="L50" s="584"/>
      <c r="M50" s="584"/>
      <c r="N50" s="584"/>
      <c r="O50" s="584"/>
      <c r="P50" s="584"/>
      <c r="Q50" s="584"/>
      <c r="R50" s="584"/>
      <c r="S50" s="584"/>
      <c r="T50" s="584"/>
      <c r="U50" s="584"/>
      <c r="V50" s="584"/>
      <c r="W50" s="584"/>
      <c r="X50" s="2"/>
      <c r="Y50" s="584"/>
      <c r="Z50" s="584"/>
      <c r="AA50" s="584"/>
      <c r="AB50" s="584"/>
      <c r="AC50" s="584"/>
      <c r="AD50" s="584"/>
      <c r="AE50" s="584"/>
      <c r="AF50" s="584"/>
      <c r="AG50" s="584"/>
      <c r="AH50" s="584"/>
      <c r="AI50" s="584"/>
      <c r="AJ50" s="584"/>
      <c r="AK50" s="584"/>
      <c r="AL50" s="584"/>
      <c r="AM50" s="42"/>
      <c r="AN50" s="113"/>
    </row>
    <row r="51" spans="1:40" s="7" customFormat="1">
      <c r="A51" s="610" t="s">
        <v>646</v>
      </c>
      <c r="B51" s="3"/>
      <c r="C51" s="3"/>
      <c r="D51" s="72"/>
      <c r="E51" s="597" t="s">
        <v>4</v>
      </c>
      <c r="F51" s="565" t="s">
        <v>5</v>
      </c>
      <c r="G51" s="585" t="s">
        <v>6</v>
      </c>
      <c r="H51" s="585" t="s">
        <v>15</v>
      </c>
      <c r="I51" s="585" t="s">
        <v>7</v>
      </c>
      <c r="J51" s="585" t="s">
        <v>8</v>
      </c>
      <c r="K51" s="585" t="s">
        <v>9</v>
      </c>
      <c r="L51" s="585" t="s">
        <v>10</v>
      </c>
      <c r="M51" s="585" t="s">
        <v>2</v>
      </c>
      <c r="N51" s="585" t="s">
        <v>12</v>
      </c>
      <c r="O51" s="585" t="s">
        <v>30</v>
      </c>
      <c r="P51" s="585" t="s">
        <v>13</v>
      </c>
      <c r="Q51" s="585" t="s">
        <v>14</v>
      </c>
      <c r="R51" s="585" t="s">
        <v>45</v>
      </c>
      <c r="S51" s="585" t="s">
        <v>16</v>
      </c>
      <c r="T51" s="585" t="s">
        <v>17</v>
      </c>
      <c r="U51" s="585" t="s">
        <v>20</v>
      </c>
      <c r="V51" s="585" t="s">
        <v>154</v>
      </c>
      <c r="W51" s="585" t="s">
        <v>18</v>
      </c>
      <c r="X51" s="585" t="s">
        <v>19</v>
      </c>
      <c r="Y51" s="585" t="s">
        <v>21</v>
      </c>
      <c r="Z51" s="585" t="s">
        <v>22</v>
      </c>
      <c r="AA51" s="585" t="s">
        <v>29</v>
      </c>
      <c r="AB51" s="585" t="s">
        <v>23</v>
      </c>
      <c r="AC51" s="585" t="s">
        <v>24</v>
      </c>
      <c r="AD51" s="585" t="s">
        <v>25</v>
      </c>
      <c r="AE51" s="585" t="s">
        <v>28</v>
      </c>
      <c r="AF51" s="585" t="s">
        <v>27</v>
      </c>
      <c r="AG51" s="585" t="s">
        <v>11</v>
      </c>
      <c r="AH51" s="585" t="s">
        <v>26</v>
      </c>
      <c r="AI51" s="585" t="s">
        <v>46</v>
      </c>
      <c r="AJ51" s="585" t="s">
        <v>31</v>
      </c>
      <c r="AK51" s="584"/>
      <c r="AL51" s="584"/>
      <c r="AM51" s="42"/>
      <c r="AN51" s="113"/>
    </row>
    <row r="52" spans="1:40" s="7" customFormat="1">
      <c r="A52" s="101" t="s">
        <v>637</v>
      </c>
      <c r="B52" s="1"/>
      <c r="C52" s="1"/>
      <c r="D52" s="37"/>
      <c r="E52" s="593">
        <v>11.958300000000001</v>
      </c>
      <c r="F52" s="594">
        <v>7.5263999999999998</v>
      </c>
      <c r="G52" s="594">
        <v>2.0416000000000003</v>
      </c>
      <c r="H52" s="594">
        <v>2.2416</v>
      </c>
      <c r="I52" s="594">
        <v>0</v>
      </c>
      <c r="J52" s="594">
        <v>9.2070000000000007</v>
      </c>
      <c r="K52" s="594">
        <v>7.2487999999999992</v>
      </c>
      <c r="L52" s="594">
        <v>2.0174000000000003</v>
      </c>
      <c r="M52" s="594">
        <v>5.9458000000000002</v>
      </c>
      <c r="N52" s="594">
        <v>9.4120000000000008</v>
      </c>
      <c r="O52" s="594">
        <v>8.5069999999999997</v>
      </c>
      <c r="P52" s="594">
        <v>0.93700000000000006</v>
      </c>
      <c r="Q52" s="594">
        <v>7.7023999999999999</v>
      </c>
      <c r="R52" s="594">
        <v>0</v>
      </c>
      <c r="S52" s="594">
        <v>2.97</v>
      </c>
      <c r="T52" s="594">
        <v>5.67</v>
      </c>
      <c r="U52" s="594">
        <v>3.1178000000000003</v>
      </c>
      <c r="V52" s="606">
        <v>8.5069999999999997</v>
      </c>
      <c r="W52" s="594">
        <v>0.91700000000000004</v>
      </c>
      <c r="X52" s="594">
        <v>4.32</v>
      </c>
      <c r="Y52" s="594">
        <v>0</v>
      </c>
      <c r="Z52" s="595">
        <v>8.9157000000000011</v>
      </c>
      <c r="AA52" s="594">
        <v>4.6991000000000005</v>
      </c>
      <c r="AB52" s="594">
        <v>6.8254999999999999</v>
      </c>
      <c r="AC52" s="594">
        <v>4.3102</v>
      </c>
      <c r="AD52" s="594">
        <v>3.8976000000000002</v>
      </c>
      <c r="AE52" s="594">
        <v>9.2004000000000001</v>
      </c>
      <c r="AF52" s="594">
        <v>1.6236000000000002</v>
      </c>
      <c r="AG52" s="594">
        <v>6.6526999999999994</v>
      </c>
      <c r="AH52" s="594">
        <v>10.0695</v>
      </c>
      <c r="AI52" s="594">
        <v>18</v>
      </c>
      <c r="AJ52" s="594">
        <v>7.65</v>
      </c>
      <c r="AK52" s="584"/>
      <c r="AL52" s="584"/>
      <c r="AM52" s="42"/>
      <c r="AN52" s="113"/>
    </row>
    <row r="53" spans="1:40" s="7" customFormat="1">
      <c r="A53" s="101" t="s">
        <v>638</v>
      </c>
      <c r="B53" s="1"/>
      <c r="C53" s="1"/>
      <c r="D53" s="37"/>
      <c r="E53" s="593">
        <v>9.3627000000000002</v>
      </c>
      <c r="F53" s="594">
        <v>9.2287999999999997</v>
      </c>
      <c r="G53" s="594">
        <v>12.064</v>
      </c>
      <c r="H53" s="594">
        <v>12.515600000000001</v>
      </c>
      <c r="I53" s="594">
        <v>17.334500000000002</v>
      </c>
      <c r="J53" s="594">
        <v>15.159000000000001</v>
      </c>
      <c r="K53" s="594">
        <v>8.1327999999999996</v>
      </c>
      <c r="L53" s="594">
        <v>16.139200000000002</v>
      </c>
      <c r="M53" s="594">
        <v>9.4941000000000013</v>
      </c>
      <c r="N53" s="594">
        <v>5.7919999999999998</v>
      </c>
      <c r="O53" s="594">
        <v>5.2489999999999997</v>
      </c>
      <c r="P53" s="594">
        <v>14.992000000000001</v>
      </c>
      <c r="Q53" s="594">
        <v>18.652799999999999</v>
      </c>
      <c r="R53" s="594">
        <v>10.079999999999998</v>
      </c>
      <c r="S53" s="594">
        <v>13.41</v>
      </c>
      <c r="T53" s="594">
        <v>10.35</v>
      </c>
      <c r="U53" s="594">
        <v>12.562899999999999</v>
      </c>
      <c r="V53" s="606">
        <v>5.2489999999999997</v>
      </c>
      <c r="W53" s="594">
        <v>7.7028000000000008</v>
      </c>
      <c r="X53" s="594">
        <v>11.34</v>
      </c>
      <c r="Y53" s="594">
        <v>15.39</v>
      </c>
      <c r="Z53" s="595">
        <v>2.4459</v>
      </c>
      <c r="AA53" s="594">
        <v>5.7540000000000004</v>
      </c>
      <c r="AB53" s="594">
        <v>11.219999999999999</v>
      </c>
      <c r="AC53" s="594">
        <v>6.7464000000000013</v>
      </c>
      <c r="AD53" s="594">
        <v>15.683199999999998</v>
      </c>
      <c r="AE53" s="594">
        <v>14.432</v>
      </c>
      <c r="AF53" s="594">
        <v>10.5534</v>
      </c>
      <c r="AG53" s="594">
        <v>7.6833999999999989</v>
      </c>
      <c r="AH53" s="594">
        <v>6.9048000000000016</v>
      </c>
      <c r="AI53" s="594">
        <v>5.49</v>
      </c>
      <c r="AJ53" s="594">
        <v>3.6</v>
      </c>
      <c r="AK53" s="584"/>
      <c r="AL53" s="584"/>
      <c r="AM53" s="42"/>
      <c r="AN53" s="113"/>
    </row>
    <row r="54" spans="1:40" s="7" customFormat="1">
      <c r="A54" s="101" t="s">
        <v>639</v>
      </c>
      <c r="B54" s="1"/>
      <c r="C54" s="1"/>
      <c r="D54" s="37"/>
      <c r="E54" s="593">
        <v>71.379000000000005</v>
      </c>
      <c r="F54" s="594">
        <v>72.844799999999992</v>
      </c>
      <c r="G54" s="594">
        <v>78.694400000000002</v>
      </c>
      <c r="H54" s="594">
        <v>78.642800000000008</v>
      </c>
      <c r="I54" s="594">
        <v>76.365499999999997</v>
      </c>
      <c r="J54" s="594">
        <v>68.634</v>
      </c>
      <c r="K54" s="594">
        <v>73.0184</v>
      </c>
      <c r="L54" s="594">
        <v>73.543400000000005</v>
      </c>
      <c r="M54" s="594">
        <v>80.460100000000011</v>
      </c>
      <c r="N54" s="594">
        <v>75.296000000000006</v>
      </c>
      <c r="O54" s="594">
        <v>76.744</v>
      </c>
      <c r="P54" s="594">
        <v>77.771000000000001</v>
      </c>
      <c r="Q54" s="594">
        <v>66.444800000000001</v>
      </c>
      <c r="R54" s="594">
        <v>79.92</v>
      </c>
      <c r="S54" s="594">
        <v>73.61999999999999</v>
      </c>
      <c r="T54" s="594">
        <v>73.98</v>
      </c>
      <c r="U54" s="594">
        <v>76.019300000000015</v>
      </c>
      <c r="V54" s="606">
        <v>76.744</v>
      </c>
      <c r="W54" s="594">
        <v>83.080199999999991</v>
      </c>
      <c r="X54" s="594">
        <v>74.339999999999989</v>
      </c>
      <c r="Y54" s="594">
        <v>74.61</v>
      </c>
      <c r="Z54" s="595">
        <v>67.53840000000001</v>
      </c>
      <c r="AA54" s="594">
        <v>85.446899999999999</v>
      </c>
      <c r="AB54" s="594">
        <v>75.45450000000001</v>
      </c>
      <c r="AC54" s="594">
        <v>82.6434</v>
      </c>
      <c r="AD54" s="594">
        <v>73.219200000000001</v>
      </c>
      <c r="AE54" s="594">
        <v>66.567599999999999</v>
      </c>
      <c r="AF54" s="594">
        <v>78.022999999999996</v>
      </c>
      <c r="AG54" s="594">
        <v>79.363900000000001</v>
      </c>
      <c r="AH54" s="594">
        <v>78.925700000000006</v>
      </c>
      <c r="AI54" s="594">
        <v>66.510000000000005</v>
      </c>
      <c r="AJ54" s="594">
        <v>78.75</v>
      </c>
      <c r="AK54" s="584"/>
      <c r="AL54" s="584"/>
      <c r="AM54" s="42"/>
      <c r="AN54" s="113"/>
    </row>
    <row r="55" spans="1:40" s="592" customFormat="1">
      <c r="A55" s="101" t="s">
        <v>636</v>
      </c>
      <c r="B55" s="1"/>
      <c r="C55" s="1"/>
      <c r="D55" s="37"/>
      <c r="E55" s="588">
        <v>7.3</v>
      </c>
      <c r="F55" s="553">
        <v>10.399999999999999</v>
      </c>
      <c r="G55" s="604">
        <v>7.2</v>
      </c>
      <c r="H55" s="553">
        <v>6.6</v>
      </c>
      <c r="I55" s="604">
        <v>6.3</v>
      </c>
      <c r="J55" s="604">
        <v>7</v>
      </c>
      <c r="K55" s="553">
        <v>11.6</v>
      </c>
      <c r="L55" s="604">
        <v>8.3000000000000007</v>
      </c>
      <c r="M55" s="604">
        <v>4.0999999999999996</v>
      </c>
      <c r="N55" s="604">
        <v>9.5</v>
      </c>
      <c r="O55" s="553">
        <v>9.5</v>
      </c>
      <c r="P55" s="553">
        <v>6.3</v>
      </c>
      <c r="Q55" s="604">
        <v>7.2</v>
      </c>
      <c r="R55" s="553">
        <v>10</v>
      </c>
      <c r="S55" s="553">
        <v>10</v>
      </c>
      <c r="T55" s="553">
        <v>10</v>
      </c>
      <c r="U55" s="553">
        <v>8.3000000000000007</v>
      </c>
      <c r="V55" s="604">
        <v>9.5</v>
      </c>
      <c r="W55" s="604">
        <v>8.3000000000000007</v>
      </c>
      <c r="X55" s="553">
        <v>10</v>
      </c>
      <c r="Y55" s="553">
        <v>10</v>
      </c>
      <c r="Z55" s="589">
        <v>21.1</v>
      </c>
      <c r="AA55" s="604">
        <v>4.0999999999999996</v>
      </c>
      <c r="AB55" s="553">
        <v>6.5</v>
      </c>
      <c r="AC55" s="553">
        <v>6.3</v>
      </c>
      <c r="AD55" s="553">
        <v>7.2</v>
      </c>
      <c r="AE55" s="604">
        <v>9.8000000000000007</v>
      </c>
      <c r="AF55" s="553">
        <v>9.8000000000000007</v>
      </c>
      <c r="AG55" s="604">
        <v>6.3</v>
      </c>
      <c r="AH55" s="604">
        <v>4.0999999999999996</v>
      </c>
      <c r="AI55" s="553">
        <v>10</v>
      </c>
      <c r="AJ55" s="553">
        <v>10</v>
      </c>
      <c r="AK55" s="465"/>
      <c r="AL55" s="465"/>
      <c r="AM55" s="590"/>
      <c r="AN55" s="591"/>
    </row>
    <row r="56" spans="1:40" s="592" customFormat="1">
      <c r="A56" s="72"/>
      <c r="B56" s="3"/>
      <c r="C56" s="3"/>
      <c r="D56" s="596" t="s">
        <v>640</v>
      </c>
      <c r="E56" s="597"/>
      <c r="F56" s="565"/>
      <c r="G56" s="605" t="s">
        <v>25</v>
      </c>
      <c r="H56" s="585"/>
      <c r="I56" s="605" t="s">
        <v>13</v>
      </c>
      <c r="J56" s="605" t="s">
        <v>4</v>
      </c>
      <c r="K56" s="585"/>
      <c r="L56" s="605" t="s">
        <v>20</v>
      </c>
      <c r="M56" s="605" t="s">
        <v>635</v>
      </c>
      <c r="N56" s="605" t="s">
        <v>30</v>
      </c>
      <c r="O56" s="585"/>
      <c r="P56" s="585"/>
      <c r="Q56" s="605" t="s">
        <v>25</v>
      </c>
      <c r="R56" s="585"/>
      <c r="S56" s="585"/>
      <c r="T56" s="585"/>
      <c r="U56" s="585"/>
      <c r="V56" s="607" t="s">
        <v>30</v>
      </c>
      <c r="W56" s="605" t="s">
        <v>20</v>
      </c>
      <c r="X56" s="585"/>
      <c r="Y56" s="585"/>
      <c r="Z56" s="3"/>
      <c r="AA56" s="605" t="s">
        <v>2</v>
      </c>
      <c r="AB56" s="585"/>
      <c r="AC56" s="585"/>
      <c r="AD56" s="585"/>
      <c r="AE56" s="605" t="s">
        <v>27</v>
      </c>
      <c r="AF56" s="585"/>
      <c r="AG56" s="605" t="s">
        <v>24</v>
      </c>
      <c r="AH56" s="605" t="s">
        <v>2</v>
      </c>
      <c r="AI56" s="585"/>
      <c r="AJ56" s="585"/>
      <c r="AK56" s="465"/>
      <c r="AL56" s="465"/>
      <c r="AM56" s="590"/>
      <c r="AN56" s="591"/>
    </row>
    <row r="57" spans="1:40" s="7" customFormat="1">
      <c r="A57" s="27" t="s">
        <v>100</v>
      </c>
      <c r="B57" s="1"/>
      <c r="C57" s="1"/>
      <c r="D57" s="37"/>
      <c r="E57" s="588">
        <f t="shared" ref="E57:AJ57" si="3">SUM(E52:E55)</f>
        <v>100</v>
      </c>
      <c r="F57" s="553">
        <f t="shared" si="3"/>
        <v>100</v>
      </c>
      <c r="G57" s="553">
        <f t="shared" si="3"/>
        <v>100</v>
      </c>
      <c r="H57" s="553">
        <f t="shared" si="3"/>
        <v>100</v>
      </c>
      <c r="I57" s="553">
        <f t="shared" si="3"/>
        <v>100</v>
      </c>
      <c r="J57" s="553">
        <f t="shared" si="3"/>
        <v>100</v>
      </c>
      <c r="K57" s="553">
        <f t="shared" si="3"/>
        <v>100</v>
      </c>
      <c r="L57" s="553">
        <f t="shared" si="3"/>
        <v>100.00000000000001</v>
      </c>
      <c r="M57" s="553">
        <f t="shared" si="3"/>
        <v>100</v>
      </c>
      <c r="N57" s="553">
        <f t="shared" si="3"/>
        <v>100</v>
      </c>
      <c r="O57" s="553">
        <f t="shared" si="3"/>
        <v>100</v>
      </c>
      <c r="P57" s="553">
        <f t="shared" si="3"/>
        <v>100</v>
      </c>
      <c r="Q57" s="553">
        <f t="shared" si="3"/>
        <v>100</v>
      </c>
      <c r="R57" s="553">
        <f t="shared" si="3"/>
        <v>100</v>
      </c>
      <c r="S57" s="553">
        <f t="shared" si="3"/>
        <v>99.999999999999986</v>
      </c>
      <c r="T57" s="553">
        <f t="shared" si="3"/>
        <v>100</v>
      </c>
      <c r="U57" s="553">
        <f t="shared" si="3"/>
        <v>100.00000000000001</v>
      </c>
      <c r="V57" s="553">
        <f t="shared" si="3"/>
        <v>100</v>
      </c>
      <c r="W57" s="553">
        <f t="shared" si="3"/>
        <v>99.999999999999986</v>
      </c>
      <c r="X57" s="553">
        <f t="shared" si="3"/>
        <v>99.999999999999986</v>
      </c>
      <c r="Y57" s="553">
        <f t="shared" si="3"/>
        <v>100</v>
      </c>
      <c r="Z57" s="553">
        <f t="shared" si="3"/>
        <v>100</v>
      </c>
      <c r="AA57" s="553">
        <f t="shared" si="3"/>
        <v>100</v>
      </c>
      <c r="AB57" s="553">
        <f t="shared" si="3"/>
        <v>100</v>
      </c>
      <c r="AC57" s="553">
        <f t="shared" si="3"/>
        <v>100</v>
      </c>
      <c r="AD57" s="553">
        <f t="shared" si="3"/>
        <v>100</v>
      </c>
      <c r="AE57" s="553">
        <f t="shared" si="3"/>
        <v>100</v>
      </c>
      <c r="AF57" s="553">
        <f t="shared" si="3"/>
        <v>99.999999999999986</v>
      </c>
      <c r="AG57" s="553">
        <f t="shared" si="3"/>
        <v>100</v>
      </c>
      <c r="AH57" s="553">
        <f t="shared" si="3"/>
        <v>100</v>
      </c>
      <c r="AI57" s="553">
        <f t="shared" si="3"/>
        <v>100</v>
      </c>
      <c r="AJ57" s="553">
        <f t="shared" si="3"/>
        <v>100</v>
      </c>
      <c r="AK57" s="584"/>
      <c r="AL57" s="584"/>
      <c r="AM57" s="42"/>
      <c r="AN57" s="113"/>
    </row>
    <row r="58" spans="1:40" s="7" customFormat="1">
      <c r="A58" s="1"/>
      <c r="B58" s="1"/>
      <c r="C58" s="37"/>
      <c r="D58" s="371"/>
      <c r="E58" s="372"/>
      <c r="F58" s="584"/>
      <c r="G58" s="584"/>
      <c r="H58" s="584"/>
      <c r="I58" s="584"/>
      <c r="J58" s="584"/>
      <c r="K58" s="584"/>
      <c r="L58" s="584"/>
      <c r="M58" s="584"/>
      <c r="N58" s="584"/>
      <c r="O58" s="584"/>
      <c r="P58" s="584"/>
      <c r="Q58" s="584"/>
      <c r="R58" s="584"/>
      <c r="S58" s="584"/>
      <c r="T58" s="584"/>
      <c r="U58" s="584"/>
      <c r="V58" s="584"/>
      <c r="W58" s="584"/>
      <c r="X58" s="2"/>
      <c r="Y58" s="584"/>
      <c r="Z58" s="584"/>
      <c r="AA58" s="584"/>
      <c r="AB58" s="584"/>
      <c r="AC58" s="584"/>
      <c r="AD58" s="584"/>
      <c r="AE58" s="584"/>
      <c r="AF58" s="584"/>
      <c r="AG58" s="584"/>
      <c r="AH58" s="584"/>
      <c r="AI58" s="584"/>
      <c r="AJ58" s="584"/>
      <c r="AK58" s="584"/>
      <c r="AL58" s="584"/>
      <c r="AM58" s="42"/>
      <c r="AN58" s="113"/>
    </row>
    <row r="59" spans="1:40" s="7" customFormat="1">
      <c r="A59" s="1"/>
      <c r="B59" s="1"/>
      <c r="C59" s="37"/>
      <c r="D59" s="47" t="s">
        <v>42</v>
      </c>
      <c r="E59" s="370">
        <v>2020</v>
      </c>
      <c r="F59" s="584"/>
      <c r="G59" s="584"/>
      <c r="H59" s="584"/>
      <c r="I59" s="584"/>
      <c r="J59" s="584"/>
      <c r="K59" s="584"/>
      <c r="L59" s="584"/>
      <c r="M59" s="584"/>
      <c r="N59" s="584"/>
      <c r="O59" s="584"/>
      <c r="P59" s="584"/>
      <c r="Q59" s="584"/>
      <c r="R59" s="584"/>
      <c r="S59" s="584"/>
      <c r="T59" s="584"/>
      <c r="U59" s="584"/>
      <c r="V59" s="584"/>
      <c r="W59" s="584"/>
      <c r="X59" s="2"/>
      <c r="Y59" s="584"/>
      <c r="Z59" s="584"/>
      <c r="AA59" s="584"/>
      <c r="AB59" s="584"/>
      <c r="AC59" s="584"/>
      <c r="AD59" s="584"/>
      <c r="AE59" s="584"/>
      <c r="AF59" s="584"/>
      <c r="AG59" s="584"/>
      <c r="AH59" s="584"/>
      <c r="AI59" s="584"/>
      <c r="AJ59" s="584"/>
      <c r="AK59" s="584"/>
      <c r="AL59" s="584"/>
      <c r="AM59" s="42"/>
      <c r="AN59" s="113"/>
    </row>
    <row r="60" spans="1:40" s="7" customFormat="1">
      <c r="A60" s="451" t="s">
        <v>647</v>
      </c>
      <c r="B60" s="1"/>
      <c r="C60" s="37"/>
      <c r="D60" s="371" t="s">
        <v>1</v>
      </c>
      <c r="E60" s="601" t="s">
        <v>642</v>
      </c>
      <c r="F60" s="584"/>
      <c r="G60" s="584"/>
      <c r="H60" s="584"/>
      <c r="I60" s="584"/>
      <c r="J60" s="584"/>
      <c r="K60" s="584"/>
      <c r="L60" s="584"/>
      <c r="M60" s="584"/>
      <c r="N60" s="584"/>
      <c r="O60" s="584"/>
      <c r="P60" s="584"/>
      <c r="Q60" s="584"/>
      <c r="R60" s="584"/>
      <c r="S60" s="584"/>
      <c r="T60" s="584"/>
      <c r="U60" s="584"/>
      <c r="V60" s="584"/>
      <c r="W60" s="584"/>
      <c r="X60" s="2"/>
      <c r="Y60" s="584"/>
      <c r="Z60" s="584"/>
      <c r="AA60" s="584"/>
      <c r="AB60" s="584"/>
      <c r="AC60" s="584"/>
      <c r="AD60" s="584"/>
      <c r="AE60" s="584"/>
      <c r="AF60" s="584"/>
      <c r="AG60" s="584"/>
      <c r="AH60" s="584"/>
      <c r="AI60" s="584"/>
      <c r="AJ60" s="584"/>
      <c r="AK60" s="584"/>
      <c r="AL60" s="584"/>
      <c r="AM60" s="42"/>
      <c r="AN60" s="113"/>
    </row>
    <row r="61" spans="1:40" s="7" customFormat="1">
      <c r="A61" s="1"/>
      <c r="B61" s="1"/>
      <c r="C61" s="37"/>
      <c r="D61" s="47" t="s">
        <v>42</v>
      </c>
      <c r="E61" s="602">
        <v>2021</v>
      </c>
      <c r="F61" s="584"/>
      <c r="G61" s="584"/>
      <c r="H61" s="584"/>
      <c r="I61" s="584"/>
      <c r="J61" s="584"/>
      <c r="K61" s="584"/>
      <c r="L61" s="584"/>
      <c r="M61" s="584"/>
      <c r="N61" s="584"/>
      <c r="O61" s="584"/>
      <c r="P61" s="584"/>
      <c r="Q61" s="584"/>
      <c r="R61" s="584"/>
      <c r="S61" s="584"/>
      <c r="T61" s="584"/>
      <c r="U61" s="584"/>
      <c r="V61" s="584"/>
      <c r="W61" s="584"/>
      <c r="X61" s="2"/>
      <c r="Y61" s="584"/>
      <c r="Z61" s="584"/>
      <c r="AA61" s="584"/>
      <c r="AB61" s="584"/>
      <c r="AC61" s="584"/>
      <c r="AD61" s="584"/>
      <c r="AE61" s="584"/>
      <c r="AF61" s="584"/>
      <c r="AG61" s="584"/>
      <c r="AH61" s="584"/>
      <c r="AI61" s="584"/>
      <c r="AJ61" s="584"/>
      <c r="AK61" s="584"/>
      <c r="AL61" s="584"/>
      <c r="AM61" s="42"/>
      <c r="AN61" s="113"/>
    </row>
    <row r="62" spans="1:40" s="7" customFormat="1">
      <c r="A62" s="451" t="s">
        <v>641</v>
      </c>
      <c r="B62" s="1"/>
      <c r="C62" s="37"/>
      <c r="D62" s="371" t="s">
        <v>1</v>
      </c>
      <c r="E62" s="372" t="s">
        <v>648</v>
      </c>
      <c r="F62" s="584"/>
      <c r="G62" s="584"/>
      <c r="H62" s="584"/>
      <c r="I62" s="584"/>
      <c r="J62" s="584"/>
      <c r="K62" s="584"/>
      <c r="L62" s="584"/>
      <c r="M62" s="584"/>
      <c r="N62" s="584"/>
      <c r="O62" s="584"/>
      <c r="P62" s="584"/>
      <c r="Q62" s="584"/>
      <c r="R62" s="584"/>
      <c r="S62" s="584"/>
      <c r="T62" s="584"/>
      <c r="U62" s="584"/>
      <c r="V62" s="584"/>
      <c r="W62" s="584"/>
      <c r="X62" s="2"/>
      <c r="Y62" s="584"/>
      <c r="Z62" s="584"/>
      <c r="AA62" s="584"/>
      <c r="AB62" s="584"/>
      <c r="AC62" s="584"/>
      <c r="AD62" s="584"/>
      <c r="AE62" s="584"/>
      <c r="AF62" s="584"/>
      <c r="AG62" s="584"/>
      <c r="AH62" s="584"/>
      <c r="AI62" s="584"/>
      <c r="AJ62" s="584"/>
      <c r="AK62" s="584"/>
      <c r="AL62" s="584"/>
      <c r="AM62" s="42"/>
      <c r="AN62" s="113"/>
    </row>
    <row r="63" spans="1:40" s="7" customFormat="1">
      <c r="A63" s="451"/>
      <c r="B63" s="1"/>
      <c r="C63" s="37"/>
      <c r="D63" s="371"/>
      <c r="E63" s="372"/>
      <c r="F63" s="642"/>
      <c r="G63" s="642"/>
      <c r="H63" s="642"/>
      <c r="I63" s="642"/>
      <c r="J63" s="642"/>
      <c r="K63" s="642"/>
      <c r="L63" s="642"/>
      <c r="M63" s="642"/>
      <c r="N63" s="642"/>
      <c r="O63" s="642"/>
      <c r="P63" s="642"/>
      <c r="Q63" s="642"/>
      <c r="R63" s="642"/>
      <c r="S63" s="642"/>
      <c r="T63" s="642"/>
      <c r="U63" s="642"/>
      <c r="V63" s="642"/>
      <c r="W63" s="642"/>
      <c r="X63" s="2"/>
      <c r="Y63" s="642"/>
      <c r="Z63" s="642"/>
      <c r="AA63" s="642"/>
      <c r="AB63" s="642"/>
      <c r="AC63" s="642"/>
      <c r="AD63" s="642"/>
      <c r="AE63" s="642"/>
      <c r="AF63" s="642"/>
      <c r="AG63" s="642"/>
      <c r="AH63" s="642"/>
      <c r="AI63" s="642"/>
      <c r="AJ63" s="642"/>
      <c r="AK63" s="642"/>
      <c r="AL63" s="642"/>
      <c r="AM63" s="42"/>
      <c r="AN63" s="113"/>
    </row>
    <row r="64" spans="1:40" s="7" customFormat="1">
      <c r="A64" s="451"/>
      <c r="B64" s="1"/>
      <c r="C64" s="37"/>
      <c r="D64" s="371"/>
      <c r="E64" s="372"/>
      <c r="F64" s="642"/>
      <c r="G64" s="642"/>
      <c r="H64" s="642"/>
      <c r="I64" s="642"/>
      <c r="J64" s="642"/>
      <c r="K64" s="642"/>
      <c r="L64" s="642"/>
      <c r="M64" s="642"/>
      <c r="N64" s="642"/>
      <c r="O64" s="642"/>
      <c r="P64" s="642"/>
      <c r="Q64" s="642"/>
      <c r="R64" s="642"/>
      <c r="S64" s="642"/>
      <c r="T64" s="642"/>
      <c r="U64" s="642"/>
      <c r="V64" s="642"/>
      <c r="W64" s="642"/>
      <c r="X64" s="2"/>
      <c r="Y64" s="642"/>
      <c r="Z64" s="642"/>
      <c r="AA64" s="642"/>
      <c r="AB64" s="642"/>
      <c r="AC64" s="642"/>
      <c r="AD64" s="642"/>
      <c r="AE64" s="642"/>
      <c r="AF64" s="642"/>
      <c r="AG64" s="642"/>
      <c r="AH64" s="642"/>
      <c r="AI64" s="642"/>
      <c r="AJ64" s="642"/>
      <c r="AK64" s="642"/>
      <c r="AL64" s="642"/>
      <c r="AM64" s="42"/>
      <c r="AN64" s="113"/>
    </row>
    <row r="65" spans="1:40" s="7" customFormat="1">
      <c r="A65" s="610" t="s">
        <v>681</v>
      </c>
      <c r="B65" s="3"/>
      <c r="C65" s="72"/>
      <c r="D65" s="3"/>
      <c r="E65" s="597" t="s">
        <v>542</v>
      </c>
      <c r="F65" s="565" t="s">
        <v>543</v>
      </c>
      <c r="G65" s="565" t="s">
        <v>544</v>
      </c>
      <c r="H65" s="565" t="s">
        <v>189</v>
      </c>
      <c r="I65" s="642"/>
      <c r="J65" s="642"/>
      <c r="K65" s="642"/>
      <c r="L65" s="642"/>
      <c r="M65" s="642"/>
      <c r="N65" s="642"/>
      <c r="O65" s="642"/>
      <c r="P65" s="642"/>
      <c r="Q65" s="642"/>
      <c r="R65" s="642"/>
      <c r="S65" s="642"/>
      <c r="T65" s="642"/>
      <c r="U65" s="642"/>
      <c r="V65" s="642"/>
      <c r="W65" s="642"/>
      <c r="X65" s="2"/>
      <c r="Y65" s="642"/>
      <c r="Z65" s="642"/>
      <c r="AA65" s="642"/>
      <c r="AB65" s="642"/>
      <c r="AC65" s="642"/>
      <c r="AD65" s="642"/>
      <c r="AE65" s="642"/>
      <c r="AF65" s="642"/>
      <c r="AG65" s="642"/>
      <c r="AH65" s="642"/>
      <c r="AI65" s="642"/>
      <c r="AJ65" s="642"/>
      <c r="AK65" s="642"/>
      <c r="AL65" s="642"/>
      <c r="AM65" s="42"/>
      <c r="AN65" s="113"/>
    </row>
    <row r="66" spans="1:40" s="7" customFormat="1">
      <c r="A66" s="451"/>
      <c r="B66" s="1"/>
      <c r="C66" s="37"/>
      <c r="D66" s="651" t="s">
        <v>638</v>
      </c>
      <c r="E66" s="593">
        <v>3</v>
      </c>
      <c r="F66" s="642">
        <v>1.5</v>
      </c>
      <c r="G66" s="642">
        <v>0.9</v>
      </c>
      <c r="H66" s="642">
        <v>0.8</v>
      </c>
      <c r="I66" s="642"/>
      <c r="J66" s="642"/>
      <c r="K66" s="642"/>
      <c r="L66" s="642"/>
      <c r="M66" s="642"/>
      <c r="N66" s="642"/>
      <c r="O66" s="642"/>
      <c r="P66" s="642"/>
      <c r="Q66" s="642"/>
      <c r="R66" s="642"/>
      <c r="S66" s="642"/>
      <c r="T66" s="642"/>
      <c r="U66" s="642"/>
      <c r="V66" s="642"/>
      <c r="W66" s="642"/>
      <c r="X66" s="2"/>
      <c r="Y66" s="642"/>
      <c r="Z66" s="642"/>
      <c r="AA66" s="642"/>
      <c r="AB66" s="642"/>
      <c r="AC66" s="642"/>
      <c r="AD66" s="642"/>
      <c r="AE66" s="642"/>
      <c r="AF66" s="642"/>
      <c r="AG66" s="642"/>
      <c r="AH66" s="642"/>
      <c r="AI66" s="642"/>
      <c r="AJ66" s="642"/>
      <c r="AK66" s="642"/>
      <c r="AL66" s="642"/>
      <c r="AM66" s="42"/>
      <c r="AN66" s="113"/>
    </row>
    <row r="67" spans="1:40" s="7" customFormat="1">
      <c r="A67" s="451"/>
      <c r="B67" s="1"/>
      <c r="C67" s="37"/>
      <c r="D67" s="651" t="s">
        <v>679</v>
      </c>
      <c r="E67" s="588">
        <v>0.5</v>
      </c>
      <c r="F67" s="642">
        <v>0.8</v>
      </c>
      <c r="G67" s="642">
        <v>1.3</v>
      </c>
      <c r="H67" s="642">
        <v>1.5</v>
      </c>
      <c r="I67" s="642"/>
      <c r="J67" s="642"/>
      <c r="K67" s="642"/>
      <c r="L67" s="642"/>
      <c r="M67" s="642"/>
      <c r="N67" s="642"/>
      <c r="O67" s="642"/>
      <c r="P67" s="642"/>
      <c r="Q67" s="642"/>
      <c r="R67" s="642"/>
      <c r="S67" s="642"/>
      <c r="T67" s="642"/>
      <c r="U67" s="642"/>
      <c r="V67" s="642"/>
      <c r="W67" s="642"/>
      <c r="X67" s="2"/>
      <c r="Y67" s="642"/>
      <c r="Z67" s="642"/>
      <c r="AA67" s="642"/>
      <c r="AB67" s="642"/>
      <c r="AC67" s="642"/>
      <c r="AD67" s="642"/>
      <c r="AE67" s="642"/>
      <c r="AF67" s="642"/>
      <c r="AG67" s="642"/>
      <c r="AH67" s="642"/>
      <c r="AI67" s="642"/>
      <c r="AJ67" s="642"/>
      <c r="AK67" s="642"/>
      <c r="AL67" s="642"/>
      <c r="AM67" s="42"/>
      <c r="AN67" s="113"/>
    </row>
    <row r="68" spans="1:40" s="7" customFormat="1">
      <c r="A68" s="451"/>
      <c r="B68" s="1"/>
      <c r="C68" s="37"/>
      <c r="D68" s="651" t="s">
        <v>680</v>
      </c>
      <c r="E68" s="588">
        <v>2.5</v>
      </c>
      <c r="F68" s="642">
        <v>1.2</v>
      </c>
      <c r="G68" s="642">
        <v>0.7</v>
      </c>
      <c r="H68" s="642">
        <v>0.5</v>
      </c>
      <c r="I68" s="642"/>
      <c r="J68" s="642"/>
      <c r="K68" s="642"/>
      <c r="L68" s="642"/>
      <c r="M68" s="642"/>
      <c r="N68" s="642"/>
      <c r="O68" s="642"/>
      <c r="P68" s="642"/>
      <c r="Q68" s="642"/>
      <c r="R68" s="642"/>
      <c r="S68" s="642"/>
      <c r="T68" s="642"/>
      <c r="U68" s="642"/>
      <c r="V68" s="642"/>
      <c r="W68" s="642"/>
      <c r="X68" s="2"/>
      <c r="Y68" s="642"/>
      <c r="Z68" s="642"/>
      <c r="AA68" s="642"/>
      <c r="AB68" s="642"/>
      <c r="AC68" s="642"/>
      <c r="AD68" s="642"/>
      <c r="AE68" s="642"/>
      <c r="AF68" s="642"/>
      <c r="AG68" s="642"/>
      <c r="AH68" s="642"/>
      <c r="AI68" s="642"/>
      <c r="AJ68" s="642"/>
      <c r="AK68" s="642"/>
      <c r="AL68" s="642"/>
      <c r="AM68" s="42"/>
      <c r="AN68" s="113"/>
    </row>
    <row r="69" spans="1:40" s="7" customFormat="1">
      <c r="A69" s="451"/>
      <c r="B69" s="1"/>
      <c r="C69" s="37"/>
      <c r="D69" s="371"/>
      <c r="E69" s="372"/>
      <c r="F69" s="642"/>
      <c r="G69" s="642"/>
      <c r="H69" s="642"/>
      <c r="I69" s="642"/>
      <c r="J69" s="642"/>
      <c r="K69" s="642"/>
      <c r="L69" s="642"/>
      <c r="M69" s="642"/>
      <c r="N69" s="642"/>
      <c r="O69" s="642"/>
      <c r="P69" s="642"/>
      <c r="Q69" s="642"/>
      <c r="R69" s="642"/>
      <c r="S69" s="642"/>
      <c r="T69" s="642"/>
      <c r="U69" s="642"/>
      <c r="V69" s="642"/>
      <c r="W69" s="642"/>
      <c r="X69" s="2"/>
      <c r="Y69" s="642"/>
      <c r="Z69" s="642"/>
      <c r="AA69" s="642"/>
      <c r="AB69" s="642"/>
      <c r="AC69" s="642"/>
      <c r="AD69" s="642"/>
      <c r="AE69" s="642"/>
      <c r="AF69" s="642"/>
      <c r="AG69" s="642"/>
      <c r="AH69" s="642"/>
      <c r="AI69" s="642"/>
      <c r="AJ69" s="642"/>
      <c r="AK69" s="642"/>
      <c r="AL69" s="642"/>
      <c r="AM69" s="42"/>
      <c r="AN69" s="113"/>
    </row>
    <row r="70" spans="1:40" s="7" customFormat="1">
      <c r="A70" s="451"/>
      <c r="B70" s="1"/>
      <c r="C70" s="37"/>
      <c r="D70" s="47" t="s">
        <v>42</v>
      </c>
      <c r="E70" s="370"/>
      <c r="F70" s="642"/>
      <c r="G70" s="642"/>
      <c r="H70" s="642"/>
      <c r="I70" s="642"/>
      <c r="J70" s="642"/>
      <c r="K70" s="642"/>
      <c r="L70" s="642"/>
      <c r="M70" s="642"/>
      <c r="N70" s="642"/>
      <c r="O70" s="642"/>
      <c r="P70" s="642"/>
      <c r="Q70" s="642"/>
      <c r="R70" s="642"/>
      <c r="S70" s="642"/>
      <c r="T70" s="642"/>
      <c r="U70" s="642"/>
      <c r="V70" s="642"/>
      <c r="W70" s="642"/>
      <c r="X70" s="2"/>
      <c r="Y70" s="642"/>
      <c r="Z70" s="642"/>
      <c r="AA70" s="642"/>
      <c r="AB70" s="642"/>
      <c r="AC70" s="642"/>
      <c r="AD70" s="642"/>
      <c r="AE70" s="642"/>
      <c r="AF70" s="642"/>
      <c r="AG70" s="642"/>
      <c r="AH70" s="642"/>
      <c r="AI70" s="642"/>
      <c r="AJ70" s="642"/>
      <c r="AK70" s="642"/>
      <c r="AL70" s="642"/>
      <c r="AM70" s="42"/>
      <c r="AN70" s="113"/>
    </row>
    <row r="71" spans="1:40" s="7" customFormat="1">
      <c r="A71" s="451"/>
      <c r="B71" s="1"/>
      <c r="C71" s="37"/>
      <c r="D71" s="371" t="s">
        <v>1</v>
      </c>
      <c r="E71" s="601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642"/>
      <c r="AM71" s="42"/>
      <c r="AN71" s="113"/>
    </row>
    <row r="72" spans="1:40" s="7" customFormat="1">
      <c r="A72" s="451"/>
      <c r="B72" s="1"/>
      <c r="C72" s="37"/>
      <c r="D72" s="325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642"/>
      <c r="AM72" s="42"/>
      <c r="AN72" s="113"/>
    </row>
    <row r="73" spans="1:40" s="7" customFormat="1">
      <c r="A73" s="451"/>
      <c r="B73" s="1"/>
      <c r="C73" s="37"/>
      <c r="D73" s="325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642"/>
      <c r="AM73" s="42"/>
      <c r="AN73" s="113"/>
    </row>
    <row r="74" spans="1:40" s="7" customFormat="1">
      <c r="A74" s="451"/>
      <c r="B74" s="1"/>
      <c r="C74" s="37"/>
      <c r="D74" s="325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642"/>
      <c r="AM74" s="42"/>
      <c r="AN74" s="113"/>
    </row>
    <row r="75" spans="1:40" s="7" customFormat="1" ht="15.75" thickBot="1">
      <c r="A75" s="79"/>
      <c r="B75" s="80"/>
      <c r="C75" s="51"/>
      <c r="D75" s="51"/>
      <c r="E75" s="319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3"/>
      <c r="AN75" s="6"/>
    </row>
    <row r="76" spans="1:40" s="7" customFormat="1" ht="15.75" thickBot="1">
      <c r="A76" s="97"/>
      <c r="B76" s="94"/>
      <c r="C76" s="95"/>
      <c r="D76" s="95"/>
      <c r="E76" s="264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6"/>
    </row>
    <row r="77" spans="1:40" s="7" customFormat="1" ht="19.5" thickBot="1">
      <c r="A77" s="772" t="s">
        <v>482</v>
      </c>
      <c r="B77" s="773"/>
      <c r="C77" s="773"/>
      <c r="D77" s="773"/>
      <c r="E77" s="773"/>
      <c r="F77" s="773"/>
      <c r="G77" s="773"/>
      <c r="H77" s="773"/>
      <c r="I77" s="773"/>
      <c r="J77" s="773"/>
      <c r="K77" s="773"/>
      <c r="L77" s="773"/>
      <c r="M77" s="773"/>
      <c r="N77" s="773"/>
      <c r="O77" s="773"/>
      <c r="P77" s="773"/>
      <c r="Q77" s="773"/>
      <c r="R77" s="773"/>
      <c r="S77" s="773"/>
      <c r="T77" s="773"/>
      <c r="U77" s="773"/>
      <c r="V77" s="773"/>
      <c r="W77" s="773"/>
      <c r="X77" s="773"/>
      <c r="Y77" s="773"/>
      <c r="Z77" s="773"/>
      <c r="AA77" s="773"/>
      <c r="AB77" s="773"/>
      <c r="AC77" s="773"/>
      <c r="AD77" s="773"/>
      <c r="AE77" s="773"/>
      <c r="AF77" s="773"/>
      <c r="AG77" s="773"/>
      <c r="AH77" s="773"/>
      <c r="AI77" s="773"/>
      <c r="AJ77" s="773"/>
      <c r="AK77" s="773"/>
      <c r="AL77" s="773"/>
      <c r="AM77" s="774"/>
      <c r="AN77" s="6"/>
    </row>
    <row r="78" spans="1:40" s="7" customFormat="1" ht="18.75">
      <c r="A78" s="671"/>
      <c r="B78" s="121"/>
      <c r="C78" s="121"/>
      <c r="D78" s="336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638"/>
      <c r="AN78" s="6"/>
    </row>
    <row r="79" spans="1:40" s="7" customFormat="1" ht="18.75">
      <c r="A79" s="672" t="s">
        <v>693</v>
      </c>
      <c r="B79" s="565"/>
      <c r="C79" s="565" t="s">
        <v>47</v>
      </c>
      <c r="D79" s="566" t="s">
        <v>48</v>
      </c>
      <c r="E79" s="565" t="s">
        <v>4</v>
      </c>
      <c r="F79" s="565" t="s">
        <v>5</v>
      </c>
      <c r="G79" s="565" t="s">
        <v>6</v>
      </c>
      <c r="H79" s="565" t="s">
        <v>15</v>
      </c>
      <c r="I79" s="565" t="s">
        <v>7</v>
      </c>
      <c r="J79" s="565" t="s">
        <v>8</v>
      </c>
      <c r="K79" s="565" t="s">
        <v>9</v>
      </c>
      <c r="L79" s="565" t="s">
        <v>10</v>
      </c>
      <c r="M79" s="565" t="s">
        <v>2</v>
      </c>
      <c r="N79" s="565" t="s">
        <v>12</v>
      </c>
      <c r="O79" s="565" t="s">
        <v>30</v>
      </c>
      <c r="P79" s="565" t="s">
        <v>13</v>
      </c>
      <c r="Q79" s="565" t="s">
        <v>14</v>
      </c>
      <c r="R79" s="565" t="s">
        <v>45</v>
      </c>
      <c r="S79" s="565" t="s">
        <v>16</v>
      </c>
      <c r="T79" s="565" t="s">
        <v>17</v>
      </c>
      <c r="U79" s="565" t="s">
        <v>20</v>
      </c>
      <c r="V79" s="565" t="s">
        <v>154</v>
      </c>
      <c r="W79" s="565" t="s">
        <v>18</v>
      </c>
      <c r="X79" s="565" t="s">
        <v>19</v>
      </c>
      <c r="Y79" s="565" t="s">
        <v>21</v>
      </c>
      <c r="Z79" s="565" t="s">
        <v>22</v>
      </c>
      <c r="AA79" s="565" t="s">
        <v>29</v>
      </c>
      <c r="AB79" s="565" t="s">
        <v>23</v>
      </c>
      <c r="AC79" s="565" t="s">
        <v>24</v>
      </c>
      <c r="AD79" s="565" t="s">
        <v>25</v>
      </c>
      <c r="AE79" s="565" t="s">
        <v>28</v>
      </c>
      <c r="AF79" s="565" t="s">
        <v>27</v>
      </c>
      <c r="AG79" s="565" t="s">
        <v>11</v>
      </c>
      <c r="AH79" s="565" t="s">
        <v>26</v>
      </c>
      <c r="AI79" s="565" t="s">
        <v>46</v>
      </c>
      <c r="AJ79" s="565" t="s">
        <v>31</v>
      </c>
      <c r="AK79" s="120"/>
      <c r="AL79" s="120"/>
      <c r="AM79" s="123"/>
      <c r="AN79" s="6"/>
    </row>
    <row r="80" spans="1:40" s="7" customFormat="1" ht="18.75">
      <c r="A80" s="673">
        <v>2021</v>
      </c>
      <c r="B80" s="552"/>
      <c r="C80" s="552"/>
      <c r="D80" s="647"/>
      <c r="E80" s="649">
        <v>1176.4430275624979</v>
      </c>
      <c r="F80" s="649">
        <v>1177.3412548632132</v>
      </c>
      <c r="G80" s="649">
        <v>1452.3152080465572</v>
      </c>
      <c r="H80" s="649">
        <v>979.97006705827403</v>
      </c>
      <c r="I80" s="649">
        <v>1802.6022620724268</v>
      </c>
      <c r="J80" s="649">
        <v>1753.2725473909616</v>
      </c>
      <c r="K80" s="649">
        <v>1246.5552690926183</v>
      </c>
      <c r="L80" s="649">
        <v>2171.6667850440722</v>
      </c>
      <c r="M80" s="649">
        <v>1458.7130772690623</v>
      </c>
      <c r="N80" s="649">
        <v>895.19880529538739</v>
      </c>
      <c r="O80" s="649">
        <v>765.97304136655305</v>
      </c>
      <c r="P80" s="649">
        <v>1950.6284309645287</v>
      </c>
      <c r="Q80" s="649">
        <v>1985.8601373210677</v>
      </c>
      <c r="R80" s="649">
        <v>2536.3380231691531</v>
      </c>
      <c r="S80" s="649">
        <v>2124.3106214374661</v>
      </c>
      <c r="T80" s="649">
        <v>1762.0233173515765</v>
      </c>
      <c r="U80" s="649">
        <v>1161.7265276536368</v>
      </c>
      <c r="V80" s="652"/>
      <c r="W80" s="649">
        <v>1031.8215536906946</v>
      </c>
      <c r="X80" s="649">
        <v>1935.7159196896396</v>
      </c>
      <c r="Y80" s="649">
        <v>1115.0423678962534</v>
      </c>
      <c r="Z80" s="649">
        <v>308.46428466997793</v>
      </c>
      <c r="AA80" s="649">
        <v>827.56904158479972</v>
      </c>
      <c r="AB80" s="649">
        <v>940.55528715741809</v>
      </c>
      <c r="AC80" s="649">
        <v>786.68920199272645</v>
      </c>
      <c r="AD80" s="649">
        <v>1066.3841551631824</v>
      </c>
      <c r="AE80" s="649">
        <v>1216.230079338347</v>
      </c>
      <c r="AF80" s="649">
        <v>1793.1240783837679</v>
      </c>
      <c r="AG80" s="649">
        <v>689.39284274161412</v>
      </c>
      <c r="AH80" s="649">
        <v>990.07981098369419</v>
      </c>
      <c r="AI80" s="649">
        <v>738.27841644621572</v>
      </c>
      <c r="AJ80" s="649">
        <v>541.70374958491891</v>
      </c>
      <c r="AK80" s="120"/>
      <c r="AL80" s="120"/>
      <c r="AM80" s="123"/>
      <c r="AN80" s="6"/>
    </row>
    <row r="81" spans="1:40" s="7" customFormat="1" ht="18.75">
      <c r="A81" s="673"/>
      <c r="B81" s="552"/>
      <c r="C81" s="552"/>
      <c r="D81" s="650" t="s">
        <v>425</v>
      </c>
      <c r="E81" s="649"/>
      <c r="F81" s="649"/>
      <c r="G81" s="649"/>
      <c r="H81" s="649"/>
      <c r="I81" s="649"/>
      <c r="J81" s="649"/>
      <c r="K81" s="649"/>
      <c r="L81" s="649"/>
      <c r="M81" s="649"/>
      <c r="N81" s="649"/>
      <c r="O81" s="649"/>
      <c r="P81" s="649"/>
      <c r="Q81" s="649"/>
      <c r="R81" s="649"/>
      <c r="S81" s="649"/>
      <c r="T81" s="649"/>
      <c r="U81" s="649"/>
      <c r="V81" s="649"/>
      <c r="W81" s="649"/>
      <c r="X81" s="649"/>
      <c r="Y81" s="649"/>
      <c r="Z81" s="649"/>
      <c r="AA81" s="649"/>
      <c r="AB81" s="649"/>
      <c r="AC81" s="649"/>
      <c r="AD81" s="649"/>
      <c r="AE81" s="649"/>
      <c r="AF81" s="649"/>
      <c r="AG81" s="649"/>
      <c r="AH81" s="649"/>
      <c r="AI81" s="649"/>
      <c r="AJ81" s="649"/>
      <c r="AK81" s="120"/>
      <c r="AL81" s="120"/>
      <c r="AM81" s="123"/>
      <c r="AN81" s="6"/>
    </row>
    <row r="82" spans="1:40" s="7" customFormat="1" ht="18.75">
      <c r="A82" s="673"/>
      <c r="B82" s="552"/>
      <c r="C82" s="552"/>
      <c r="D82" s="650" t="s">
        <v>42</v>
      </c>
      <c r="E82" s="648">
        <v>2018</v>
      </c>
      <c r="F82" s="649"/>
      <c r="G82" s="649"/>
      <c r="H82" s="649"/>
      <c r="I82" s="649"/>
      <c r="J82" s="649"/>
      <c r="K82" s="649"/>
      <c r="L82" s="649"/>
      <c r="M82" s="649"/>
      <c r="N82" s="649"/>
      <c r="O82" s="649"/>
      <c r="P82" s="649"/>
      <c r="Q82" s="649"/>
      <c r="R82" s="649"/>
      <c r="S82" s="649"/>
      <c r="T82" s="649"/>
      <c r="U82" s="649"/>
      <c r="V82" s="649"/>
      <c r="W82" s="649"/>
      <c r="X82" s="649"/>
      <c r="Y82" s="649"/>
      <c r="Z82" s="649"/>
      <c r="AA82" s="649"/>
      <c r="AB82" s="649"/>
      <c r="AC82" s="649"/>
      <c r="AD82" s="649"/>
      <c r="AE82" s="649"/>
      <c r="AF82" s="649"/>
      <c r="AG82" s="649"/>
      <c r="AH82" s="649"/>
      <c r="AI82" s="649"/>
      <c r="AJ82" s="649"/>
      <c r="AK82" s="120"/>
      <c r="AL82" s="120"/>
      <c r="AM82" s="123"/>
      <c r="AN82" s="6"/>
    </row>
    <row r="83" spans="1:40" s="7" customFormat="1" ht="18.75">
      <c r="A83" s="673"/>
      <c r="B83" s="552"/>
      <c r="C83" s="552"/>
      <c r="D83" s="650" t="s">
        <v>1</v>
      </c>
      <c r="E83" s="648" t="s">
        <v>96</v>
      </c>
      <c r="F83" s="649"/>
      <c r="G83" s="649"/>
      <c r="H83" s="649"/>
      <c r="I83" s="649"/>
      <c r="J83" s="649"/>
      <c r="K83" s="649"/>
      <c r="L83" s="649"/>
      <c r="M83" s="649"/>
      <c r="N83" s="649"/>
      <c r="O83" s="649"/>
      <c r="P83" s="649"/>
      <c r="Q83" s="649"/>
      <c r="R83" s="649"/>
      <c r="S83" s="649"/>
      <c r="T83" s="649"/>
      <c r="U83" s="649"/>
      <c r="V83" s="649"/>
      <c r="W83" s="649"/>
      <c r="X83" s="649"/>
      <c r="Y83" s="649"/>
      <c r="Z83" s="649"/>
      <c r="AA83" s="649"/>
      <c r="AB83" s="649"/>
      <c r="AC83" s="649"/>
      <c r="AD83" s="649"/>
      <c r="AE83" s="649"/>
      <c r="AF83" s="649"/>
      <c r="AG83" s="649"/>
      <c r="AH83" s="649"/>
      <c r="AI83" s="649"/>
      <c r="AJ83" s="649"/>
      <c r="AK83" s="120"/>
      <c r="AL83" s="120"/>
      <c r="AM83" s="123"/>
      <c r="AN83" s="6"/>
    </row>
    <row r="84" spans="1:40" s="7" customFormat="1" ht="18.75">
      <c r="A84" s="673"/>
      <c r="B84" s="552"/>
      <c r="C84" s="552"/>
      <c r="D84" s="650" t="s">
        <v>673</v>
      </c>
      <c r="E84" s="648"/>
      <c r="F84" s="649"/>
      <c r="G84" s="649"/>
      <c r="H84" s="649"/>
      <c r="I84" s="649"/>
      <c r="J84" s="649"/>
      <c r="K84" s="649"/>
      <c r="L84" s="649"/>
      <c r="M84" s="649"/>
      <c r="N84" s="649"/>
      <c r="O84" s="649"/>
      <c r="P84" s="649"/>
      <c r="Q84" s="649"/>
      <c r="R84" s="649"/>
      <c r="S84" s="649"/>
      <c r="T84" s="649"/>
      <c r="U84" s="649"/>
      <c r="V84" s="649"/>
      <c r="W84" s="649"/>
      <c r="X84" s="649"/>
      <c r="Y84" s="649"/>
      <c r="Z84" s="649"/>
      <c r="AA84" s="649"/>
      <c r="AB84" s="649"/>
      <c r="AC84" s="649"/>
      <c r="AD84" s="649"/>
      <c r="AE84" s="649"/>
      <c r="AF84" s="649"/>
      <c r="AG84" s="649"/>
      <c r="AH84" s="649"/>
      <c r="AI84" s="649"/>
      <c r="AJ84" s="649"/>
      <c r="AK84" s="120"/>
      <c r="AL84" s="120"/>
      <c r="AM84" s="123"/>
      <c r="AN84" s="6"/>
    </row>
    <row r="85" spans="1:40" s="7" customFormat="1" ht="18.75">
      <c r="A85" s="673"/>
      <c r="B85" s="552"/>
      <c r="C85" s="552"/>
      <c r="D85" s="650" t="s">
        <v>42</v>
      </c>
      <c r="E85" s="648">
        <v>2015</v>
      </c>
      <c r="F85" s="649"/>
      <c r="G85" s="649"/>
      <c r="H85" s="649"/>
      <c r="I85" s="649"/>
      <c r="J85" s="649"/>
      <c r="K85" s="649"/>
      <c r="L85" s="649"/>
      <c r="M85" s="649"/>
      <c r="N85" s="649"/>
      <c r="O85" s="649"/>
      <c r="P85" s="649"/>
      <c r="Q85" s="649"/>
      <c r="R85" s="649"/>
      <c r="S85" s="649"/>
      <c r="T85" s="649"/>
      <c r="U85" s="649"/>
      <c r="V85" s="649"/>
      <c r="W85" s="649"/>
      <c r="X85" s="649"/>
      <c r="Y85" s="649"/>
      <c r="Z85" s="649"/>
      <c r="AA85" s="649"/>
      <c r="AB85" s="649"/>
      <c r="AC85" s="649"/>
      <c r="AD85" s="649"/>
      <c r="AE85" s="649"/>
      <c r="AF85" s="649"/>
      <c r="AG85" s="649"/>
      <c r="AH85" s="649"/>
      <c r="AI85" s="649"/>
      <c r="AJ85" s="649"/>
      <c r="AK85" s="120"/>
      <c r="AL85" s="120"/>
      <c r="AM85" s="123"/>
      <c r="AN85" s="6"/>
    </row>
    <row r="86" spans="1:40" s="7" customFormat="1" ht="18.75">
      <c r="A86" s="673"/>
      <c r="B86" s="552"/>
      <c r="C86" s="552"/>
      <c r="D86" s="650" t="s">
        <v>1</v>
      </c>
      <c r="E86" s="648" t="s">
        <v>130</v>
      </c>
      <c r="F86" s="649"/>
      <c r="G86" s="649"/>
      <c r="H86" s="649"/>
      <c r="I86" s="649"/>
      <c r="J86" s="649"/>
      <c r="K86" s="649"/>
      <c r="L86" s="649"/>
      <c r="M86" s="649"/>
      <c r="N86" s="649"/>
      <c r="O86" s="649"/>
      <c r="P86" s="649"/>
      <c r="Q86" s="649"/>
      <c r="R86" s="649"/>
      <c r="S86" s="649"/>
      <c r="T86" s="649"/>
      <c r="U86" s="649"/>
      <c r="V86" s="649"/>
      <c r="W86" s="649"/>
      <c r="X86" s="649"/>
      <c r="Y86" s="649"/>
      <c r="Z86" s="649"/>
      <c r="AA86" s="649"/>
      <c r="AB86" s="649"/>
      <c r="AC86" s="649"/>
      <c r="AD86" s="649"/>
      <c r="AE86" s="649"/>
      <c r="AF86" s="649"/>
      <c r="AG86" s="649"/>
      <c r="AH86" s="649"/>
      <c r="AI86" s="649"/>
      <c r="AJ86" s="649"/>
      <c r="AK86" s="120"/>
      <c r="AL86" s="120"/>
      <c r="AM86" s="123"/>
      <c r="AN86" s="6"/>
    </row>
    <row r="87" spans="1:40" s="7" customFormat="1" ht="18.75">
      <c r="A87" s="673"/>
      <c r="B87" s="552"/>
      <c r="C87" s="552"/>
      <c r="D87" s="647"/>
      <c r="E87" s="649"/>
      <c r="F87" s="649"/>
      <c r="G87" s="649"/>
      <c r="H87" s="649"/>
      <c r="I87" s="649"/>
      <c r="J87" s="649"/>
      <c r="K87" s="649"/>
      <c r="L87" s="649"/>
      <c r="M87" s="649"/>
      <c r="N87" s="649"/>
      <c r="O87" s="649"/>
      <c r="P87" s="649"/>
      <c r="Q87" s="649"/>
      <c r="R87" s="649"/>
      <c r="S87" s="649"/>
      <c r="T87" s="649"/>
      <c r="U87" s="649"/>
      <c r="V87" s="649"/>
      <c r="W87" s="649"/>
      <c r="X87" s="649"/>
      <c r="Y87" s="649"/>
      <c r="Z87" s="649"/>
      <c r="AA87" s="649"/>
      <c r="AB87" s="649"/>
      <c r="AC87" s="649"/>
      <c r="AD87" s="649"/>
      <c r="AE87" s="649"/>
      <c r="AF87" s="649"/>
      <c r="AG87" s="649"/>
      <c r="AH87" s="649"/>
      <c r="AI87" s="649"/>
      <c r="AJ87" s="649"/>
      <c r="AK87" s="120"/>
      <c r="AL87" s="120"/>
      <c r="AM87" s="123"/>
      <c r="AN87" s="6"/>
    </row>
    <row r="88" spans="1:40" s="7" customFormat="1" ht="18.75">
      <c r="A88" s="43" t="s">
        <v>483</v>
      </c>
      <c r="B88" s="642"/>
      <c r="C88" s="642"/>
      <c r="D88" s="2"/>
      <c r="E88" s="352"/>
      <c r="F88" s="642" t="s">
        <v>81</v>
      </c>
      <c r="G88" s="642"/>
      <c r="H88" s="642"/>
      <c r="I88" s="642"/>
      <c r="J88" s="642"/>
      <c r="K88" s="642"/>
      <c r="L88" s="642"/>
      <c r="M88" s="642"/>
      <c r="N88" s="642"/>
      <c r="O88" s="642"/>
      <c r="P88" s="642"/>
      <c r="Q88" s="642"/>
      <c r="R88" s="642"/>
      <c r="S88" s="642"/>
      <c r="T88" s="642"/>
      <c r="U88" s="642"/>
      <c r="V88" s="642"/>
      <c r="W88" s="642"/>
      <c r="X88" s="642"/>
      <c r="Y88" s="642"/>
      <c r="Z88" s="642"/>
      <c r="AA88" s="642"/>
      <c r="AB88" s="642"/>
      <c r="AC88" s="642"/>
      <c r="AD88" s="642"/>
      <c r="AE88" s="642"/>
      <c r="AF88" s="642"/>
      <c r="AG88" s="37"/>
      <c r="AH88" s="642"/>
      <c r="AI88" s="642"/>
      <c r="AJ88" s="642"/>
      <c r="AK88" s="120"/>
      <c r="AL88" s="120"/>
      <c r="AM88" s="123"/>
      <c r="AN88" s="6"/>
    </row>
    <row r="89" spans="1:40" s="7" customFormat="1" ht="18.75">
      <c r="A89" s="63" t="s">
        <v>148</v>
      </c>
      <c r="B89" s="643"/>
      <c r="C89" s="643"/>
      <c r="D89" s="643" t="s">
        <v>82</v>
      </c>
      <c r="E89" s="313" t="s">
        <v>4</v>
      </c>
      <c r="F89" s="643" t="s">
        <v>5</v>
      </c>
      <c r="G89" s="643" t="s">
        <v>6</v>
      </c>
      <c r="H89" s="643" t="s">
        <v>15</v>
      </c>
      <c r="I89" s="643" t="s">
        <v>7</v>
      </c>
      <c r="J89" s="643" t="s">
        <v>8</v>
      </c>
      <c r="K89" s="643" t="s">
        <v>9</v>
      </c>
      <c r="L89" s="643" t="s">
        <v>10</v>
      </c>
      <c r="M89" s="643" t="s">
        <v>2</v>
      </c>
      <c r="N89" s="643" t="s">
        <v>12</v>
      </c>
      <c r="O89" s="643" t="s">
        <v>30</v>
      </c>
      <c r="P89" s="643" t="s">
        <v>13</v>
      </c>
      <c r="Q89" s="643" t="s">
        <v>14</v>
      </c>
      <c r="R89" s="643" t="s">
        <v>45</v>
      </c>
      <c r="S89" s="643" t="s">
        <v>16</v>
      </c>
      <c r="T89" s="643" t="s">
        <v>17</v>
      </c>
      <c r="U89" s="643" t="s">
        <v>20</v>
      </c>
      <c r="V89" s="643" t="s">
        <v>154</v>
      </c>
      <c r="W89" s="643" t="s">
        <v>18</v>
      </c>
      <c r="X89" s="643" t="s">
        <v>19</v>
      </c>
      <c r="Y89" s="643" t="s">
        <v>21</v>
      </c>
      <c r="Z89" s="643" t="s">
        <v>22</v>
      </c>
      <c r="AA89" s="643" t="s">
        <v>29</v>
      </c>
      <c r="AB89" s="643" t="s">
        <v>23</v>
      </c>
      <c r="AC89" s="643" t="s">
        <v>24</v>
      </c>
      <c r="AD89" s="643" t="s">
        <v>25</v>
      </c>
      <c r="AE89" s="643" t="s">
        <v>28</v>
      </c>
      <c r="AF89" s="643" t="s">
        <v>27</v>
      </c>
      <c r="AG89" s="643" t="s">
        <v>11</v>
      </c>
      <c r="AH89" s="643" t="s">
        <v>26</v>
      </c>
      <c r="AI89" s="643" t="s">
        <v>46</v>
      </c>
      <c r="AJ89" s="643" t="s">
        <v>31</v>
      </c>
      <c r="AK89" s="120"/>
      <c r="AL89" s="120"/>
      <c r="AM89" s="123"/>
      <c r="AN89" s="6"/>
    </row>
    <row r="90" spans="1:40" s="7" customFormat="1" ht="18.75">
      <c r="A90" s="27" t="s">
        <v>85</v>
      </c>
      <c r="B90" s="642"/>
      <c r="C90" s="642"/>
      <c r="D90" s="410">
        <v>0.8</v>
      </c>
      <c r="E90" s="642">
        <v>0.8</v>
      </c>
      <c r="F90" s="642">
        <v>0.3</v>
      </c>
      <c r="G90" s="642">
        <v>0.6</v>
      </c>
      <c r="H90" s="642">
        <v>1.1000000000000001</v>
      </c>
      <c r="I90" s="642">
        <v>0.9</v>
      </c>
      <c r="J90" s="50">
        <v>1</v>
      </c>
      <c r="K90" s="642">
        <v>0.9</v>
      </c>
      <c r="L90" s="642">
        <v>1.5</v>
      </c>
      <c r="M90" s="642">
        <v>0.3</v>
      </c>
      <c r="N90" s="50">
        <v>2</v>
      </c>
      <c r="O90" s="642">
        <v>0.8</v>
      </c>
      <c r="P90" s="642">
        <v>0.6</v>
      </c>
      <c r="Q90" s="642">
        <v>0.8</v>
      </c>
      <c r="R90" s="102">
        <v>0.8</v>
      </c>
      <c r="S90" s="642">
        <v>0.3</v>
      </c>
      <c r="T90" s="642">
        <v>0.5</v>
      </c>
      <c r="U90" s="642">
        <v>0.7</v>
      </c>
      <c r="V90" s="102">
        <v>0.8</v>
      </c>
      <c r="W90" s="642">
        <v>0.7</v>
      </c>
      <c r="X90" s="642">
        <v>1.7</v>
      </c>
      <c r="Y90" s="642">
        <v>0.5</v>
      </c>
      <c r="Z90" s="642">
        <v>0.9</v>
      </c>
      <c r="AA90" s="102">
        <v>0.8</v>
      </c>
      <c r="AB90" s="642">
        <v>1.1000000000000001</v>
      </c>
      <c r="AC90" s="642">
        <v>0.5</v>
      </c>
      <c r="AD90" s="642">
        <v>0.9</v>
      </c>
      <c r="AE90" s="50">
        <v>2</v>
      </c>
      <c r="AF90" s="642">
        <v>0.2</v>
      </c>
      <c r="AG90" s="642">
        <v>0.5</v>
      </c>
      <c r="AH90" s="642">
        <v>0.9</v>
      </c>
      <c r="AI90" s="102">
        <v>0.8</v>
      </c>
      <c r="AJ90" s="642">
        <v>0.2</v>
      </c>
      <c r="AK90" s="120"/>
      <c r="AL90" s="120"/>
      <c r="AM90" s="123"/>
      <c r="AN90" s="6"/>
    </row>
    <row r="91" spans="1:40" s="7" customFormat="1" ht="18.75">
      <c r="A91" s="27" t="s">
        <v>83</v>
      </c>
      <c r="B91" s="49"/>
      <c r="C91" s="642"/>
      <c r="D91" s="410">
        <v>0.6</v>
      </c>
      <c r="E91" s="642">
        <v>0.8</v>
      </c>
      <c r="F91" s="642">
        <v>0.1</v>
      </c>
      <c r="G91" s="642">
        <v>0.4</v>
      </c>
      <c r="H91" s="642">
        <v>0.7</v>
      </c>
      <c r="I91" s="50">
        <v>0.1</v>
      </c>
      <c r="J91" s="50">
        <v>1.5</v>
      </c>
      <c r="K91" s="642">
        <v>0.6</v>
      </c>
      <c r="L91" s="642">
        <v>0.6</v>
      </c>
      <c r="M91" s="642">
        <v>0.3</v>
      </c>
      <c r="N91" s="642">
        <v>0.8</v>
      </c>
      <c r="O91" s="642">
        <v>0.3</v>
      </c>
      <c r="P91" s="642">
        <v>0.2</v>
      </c>
      <c r="Q91" s="642">
        <v>0.8</v>
      </c>
      <c r="R91" s="102">
        <v>0.6</v>
      </c>
      <c r="S91" s="642">
        <v>0.7</v>
      </c>
      <c r="T91" s="642">
        <v>0.4</v>
      </c>
      <c r="U91" s="642">
        <v>0.6</v>
      </c>
      <c r="V91" s="127">
        <v>0.6</v>
      </c>
      <c r="W91" s="642">
        <v>0.2</v>
      </c>
      <c r="X91" s="642">
        <v>1.5</v>
      </c>
      <c r="Y91" s="642">
        <v>0.3</v>
      </c>
      <c r="Z91" s="642">
        <v>0.7</v>
      </c>
      <c r="AA91" s="102">
        <v>0.6</v>
      </c>
      <c r="AB91" s="642">
        <v>0.8</v>
      </c>
      <c r="AC91" s="642">
        <v>1.2</v>
      </c>
      <c r="AD91" s="642">
        <v>0.8</v>
      </c>
      <c r="AE91" s="642">
        <v>2.2999999999999998</v>
      </c>
      <c r="AF91" s="642">
        <v>0.4</v>
      </c>
      <c r="AG91" s="642">
        <v>0.5</v>
      </c>
      <c r="AH91" s="50">
        <v>1.1000000000000001</v>
      </c>
      <c r="AI91" s="102">
        <v>0.6</v>
      </c>
      <c r="AJ91" s="642">
        <v>0.3</v>
      </c>
      <c r="AK91" s="120"/>
      <c r="AL91" s="120"/>
      <c r="AM91" s="123"/>
      <c r="AN91" s="6"/>
    </row>
    <row r="92" spans="1:40" s="7" customFormat="1" ht="18.75">
      <c r="A92" s="27" t="s">
        <v>87</v>
      </c>
      <c r="B92" s="49"/>
      <c r="C92" s="642"/>
      <c r="D92" s="102">
        <v>0.5</v>
      </c>
      <c r="E92" s="352">
        <v>0.7</v>
      </c>
      <c r="F92" s="642">
        <v>0.2</v>
      </c>
      <c r="G92" s="642">
        <v>0.4</v>
      </c>
      <c r="H92" s="642">
        <v>0.7</v>
      </c>
      <c r="I92" s="642">
        <v>0.8</v>
      </c>
      <c r="J92" s="50">
        <v>1</v>
      </c>
      <c r="K92" s="642">
        <v>0.2</v>
      </c>
      <c r="L92" s="642">
        <v>0.3</v>
      </c>
      <c r="M92" s="642">
        <v>0.3</v>
      </c>
      <c r="N92" s="642">
        <v>0.7</v>
      </c>
      <c r="O92" s="642">
        <v>0.3</v>
      </c>
      <c r="P92" s="642">
        <v>0.2</v>
      </c>
      <c r="Q92" s="642">
        <v>0.7</v>
      </c>
      <c r="R92" s="102">
        <v>0.5</v>
      </c>
      <c r="S92" s="642">
        <v>0.7</v>
      </c>
      <c r="T92" s="642">
        <v>0.5</v>
      </c>
      <c r="U92" s="642">
        <v>0.4</v>
      </c>
      <c r="V92" s="127">
        <v>0.5</v>
      </c>
      <c r="W92" s="642">
        <v>0.3</v>
      </c>
      <c r="X92" s="642">
        <v>1.2</v>
      </c>
      <c r="Y92" s="642">
        <v>0.1</v>
      </c>
      <c r="Z92" s="642">
        <v>0.6</v>
      </c>
      <c r="AA92" s="102">
        <v>0.5</v>
      </c>
      <c r="AB92" s="642">
        <v>0.3</v>
      </c>
      <c r="AC92" s="642">
        <v>0.9</v>
      </c>
      <c r="AD92" s="642">
        <v>0.7</v>
      </c>
      <c r="AE92" s="642">
        <v>0.7</v>
      </c>
      <c r="AF92" s="642">
        <v>0.2</v>
      </c>
      <c r="AG92" s="642">
        <v>0.8</v>
      </c>
      <c r="AH92" s="50">
        <v>1</v>
      </c>
      <c r="AI92" s="102">
        <v>0.5</v>
      </c>
      <c r="AJ92" s="642">
        <v>0.1</v>
      </c>
      <c r="AK92" s="120"/>
      <c r="AL92" s="120"/>
      <c r="AM92" s="123"/>
      <c r="AN92" s="6"/>
    </row>
    <row r="93" spans="1:40" s="7" customFormat="1" ht="18.75">
      <c r="A93" s="27" t="s">
        <v>88</v>
      </c>
      <c r="B93" s="49"/>
      <c r="C93" s="642"/>
      <c r="D93" s="102">
        <v>0.5</v>
      </c>
      <c r="E93" s="352">
        <v>0.7</v>
      </c>
      <c r="F93" s="642">
        <v>0.2</v>
      </c>
      <c r="G93" s="642">
        <v>0.4</v>
      </c>
      <c r="H93" s="642">
        <v>0.7</v>
      </c>
      <c r="I93" s="642">
        <v>0.8</v>
      </c>
      <c r="J93" s="50">
        <v>1</v>
      </c>
      <c r="K93" s="642">
        <v>0.2</v>
      </c>
      <c r="L93" s="642">
        <v>0.3</v>
      </c>
      <c r="M93" s="642">
        <v>0.3</v>
      </c>
      <c r="N93" s="642">
        <v>0.7</v>
      </c>
      <c r="O93" s="642">
        <v>0.3</v>
      </c>
      <c r="P93" s="642">
        <v>0.2</v>
      </c>
      <c r="Q93" s="642">
        <v>0.7</v>
      </c>
      <c r="R93" s="102">
        <v>0.5</v>
      </c>
      <c r="S93" s="642">
        <v>0.7</v>
      </c>
      <c r="T93" s="642">
        <v>0.5</v>
      </c>
      <c r="U93" s="642">
        <v>0.4</v>
      </c>
      <c r="V93" s="127">
        <v>0.5</v>
      </c>
      <c r="W93" s="642">
        <v>0.3</v>
      </c>
      <c r="X93" s="642">
        <v>1.2</v>
      </c>
      <c r="Y93" s="642">
        <v>0.1</v>
      </c>
      <c r="Z93" s="642">
        <v>0.6</v>
      </c>
      <c r="AA93" s="102">
        <v>0.5</v>
      </c>
      <c r="AB93" s="642" t="s">
        <v>89</v>
      </c>
      <c r="AC93" s="642">
        <v>0.9</v>
      </c>
      <c r="AD93" s="642">
        <v>0.7</v>
      </c>
      <c r="AE93" s="642">
        <v>0.7</v>
      </c>
      <c r="AF93" s="642">
        <v>0.2</v>
      </c>
      <c r="AG93" s="642">
        <v>0.8</v>
      </c>
      <c r="AH93" s="50">
        <v>1</v>
      </c>
      <c r="AI93" s="102">
        <v>0.5</v>
      </c>
      <c r="AJ93" s="642">
        <v>0.1</v>
      </c>
      <c r="AK93" s="120"/>
      <c r="AL93" s="120"/>
      <c r="AM93" s="123"/>
      <c r="AN93" s="6"/>
    </row>
    <row r="94" spans="1:40" s="7" customFormat="1" ht="18.75">
      <c r="A94" s="13"/>
      <c r="B94" s="2"/>
      <c r="C94" s="642"/>
      <c r="D94" s="371" t="s">
        <v>425</v>
      </c>
      <c r="E94" s="370"/>
      <c r="F94" s="642"/>
      <c r="G94" s="642"/>
      <c r="H94" s="642"/>
      <c r="I94" s="642"/>
      <c r="J94" s="642"/>
      <c r="K94" s="642"/>
      <c r="L94" s="642"/>
      <c r="M94" s="642"/>
      <c r="N94" s="642"/>
      <c r="O94" s="642"/>
      <c r="P94" s="642"/>
      <c r="Q94" s="642"/>
      <c r="R94" s="102" t="s">
        <v>82</v>
      </c>
      <c r="S94" s="642"/>
      <c r="T94" s="642"/>
      <c r="U94" s="642"/>
      <c r="V94" s="102" t="s">
        <v>82</v>
      </c>
      <c r="W94" s="642"/>
      <c r="X94" s="642"/>
      <c r="Y94" s="642"/>
      <c r="Z94" s="642"/>
      <c r="AA94" s="102" t="s">
        <v>82</v>
      </c>
      <c r="AB94" s="642"/>
      <c r="AC94" s="642"/>
      <c r="AD94" s="642"/>
      <c r="AE94" s="642"/>
      <c r="AF94" s="642"/>
      <c r="AG94" s="37"/>
      <c r="AH94" s="642"/>
      <c r="AI94" s="102" t="s">
        <v>82</v>
      </c>
      <c r="AJ94" s="642"/>
      <c r="AK94" s="120"/>
      <c r="AL94" s="120"/>
      <c r="AM94" s="123"/>
      <c r="AN94" s="6"/>
    </row>
    <row r="95" spans="1:40" s="7" customFormat="1" ht="18.75">
      <c r="A95" s="13"/>
      <c r="B95" s="2"/>
      <c r="C95" s="642"/>
      <c r="D95" s="47" t="s">
        <v>42</v>
      </c>
      <c r="E95" s="370">
        <v>2015</v>
      </c>
      <c r="F95" s="642"/>
      <c r="G95" s="642"/>
      <c r="H95" s="642"/>
      <c r="I95" s="642"/>
      <c r="J95" s="642"/>
      <c r="K95" s="642"/>
      <c r="L95" s="642"/>
      <c r="M95" s="642"/>
      <c r="N95" s="642"/>
      <c r="O95" s="642"/>
      <c r="P95" s="642"/>
      <c r="Q95" s="642"/>
      <c r="R95" s="102"/>
      <c r="S95" s="642"/>
      <c r="T95" s="642"/>
      <c r="U95" s="642"/>
      <c r="V95" s="642"/>
      <c r="W95" s="642"/>
      <c r="X95" s="642"/>
      <c r="Y95" s="642"/>
      <c r="Z95" s="642"/>
      <c r="AA95" s="102"/>
      <c r="AB95" s="642"/>
      <c r="AC95" s="642"/>
      <c r="AD95" s="642"/>
      <c r="AE95" s="642"/>
      <c r="AF95" s="642"/>
      <c r="AG95" s="37"/>
      <c r="AH95" s="642"/>
      <c r="AI95" s="102"/>
      <c r="AJ95" s="642"/>
      <c r="AK95" s="120"/>
      <c r="AL95" s="120"/>
      <c r="AM95" s="123"/>
      <c r="AN95" s="6"/>
    </row>
    <row r="96" spans="1:40" s="7" customFormat="1" ht="18.75">
      <c r="A96" s="13"/>
      <c r="B96" s="2"/>
      <c r="C96" s="642"/>
      <c r="D96" s="371" t="s">
        <v>1</v>
      </c>
      <c r="E96" s="372" t="s">
        <v>130</v>
      </c>
      <c r="F96" s="642"/>
      <c r="G96" s="642"/>
      <c r="H96" s="642"/>
      <c r="I96" s="642"/>
      <c r="J96" s="642"/>
      <c r="K96" s="642"/>
      <c r="L96" s="642"/>
      <c r="M96" s="642"/>
      <c r="N96" s="642"/>
      <c r="O96" s="642"/>
      <c r="P96" s="642"/>
      <c r="Q96" s="642"/>
      <c r="R96" s="642"/>
      <c r="S96" s="642"/>
      <c r="T96" s="642"/>
      <c r="U96" s="642"/>
      <c r="V96" s="642"/>
      <c r="W96" s="642"/>
      <c r="X96" s="642"/>
      <c r="Y96" s="642"/>
      <c r="Z96" s="642"/>
      <c r="AA96" s="642"/>
      <c r="AB96" s="642"/>
      <c r="AC96" s="642"/>
      <c r="AD96" s="642"/>
      <c r="AE96" s="642"/>
      <c r="AF96" s="642"/>
      <c r="AG96" s="37"/>
      <c r="AH96" s="642"/>
      <c r="AI96" s="642"/>
      <c r="AJ96" s="642"/>
      <c r="AK96" s="120"/>
      <c r="AL96" s="120"/>
      <c r="AM96" s="123"/>
      <c r="AN96" s="6"/>
    </row>
    <row r="97" spans="1:40" s="7" customFormat="1" ht="18.75">
      <c r="A97" s="27"/>
      <c r="B97" s="37"/>
      <c r="C97" s="37"/>
      <c r="D97" s="37"/>
      <c r="E97" s="354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642"/>
      <c r="AK97" s="120"/>
      <c r="AL97" s="120"/>
      <c r="AM97" s="123"/>
      <c r="AN97" s="6"/>
    </row>
    <row r="98" spans="1:40" s="7" customFormat="1" ht="18.75">
      <c r="A98" s="128" t="s">
        <v>484</v>
      </c>
      <c r="B98" s="72"/>
      <c r="C98" s="72"/>
      <c r="D98" s="643" t="s">
        <v>82</v>
      </c>
      <c r="E98" s="313" t="s">
        <v>4</v>
      </c>
      <c r="F98" s="643" t="s">
        <v>5</v>
      </c>
      <c r="G98" s="643" t="s">
        <v>6</v>
      </c>
      <c r="H98" s="643" t="s">
        <v>15</v>
      </c>
      <c r="I98" s="643" t="s">
        <v>7</v>
      </c>
      <c r="J98" s="643" t="s">
        <v>8</v>
      </c>
      <c r="K98" s="643" t="s">
        <v>9</v>
      </c>
      <c r="L98" s="643" t="s">
        <v>10</v>
      </c>
      <c r="M98" s="643" t="s">
        <v>2</v>
      </c>
      <c r="N98" s="643" t="s">
        <v>12</v>
      </c>
      <c r="O98" s="643" t="s">
        <v>30</v>
      </c>
      <c r="P98" s="643" t="s">
        <v>13</v>
      </c>
      <c r="Q98" s="643" t="s">
        <v>14</v>
      </c>
      <c r="R98" s="643" t="s">
        <v>45</v>
      </c>
      <c r="S98" s="643" t="s">
        <v>16</v>
      </c>
      <c r="T98" s="643" t="s">
        <v>17</v>
      </c>
      <c r="U98" s="643" t="s">
        <v>20</v>
      </c>
      <c r="V98" s="643" t="s">
        <v>154</v>
      </c>
      <c r="W98" s="643" t="s">
        <v>18</v>
      </c>
      <c r="X98" s="643" t="s">
        <v>19</v>
      </c>
      <c r="Y98" s="643" t="s">
        <v>21</v>
      </c>
      <c r="Z98" s="643" t="s">
        <v>22</v>
      </c>
      <c r="AA98" s="643" t="s">
        <v>29</v>
      </c>
      <c r="AB98" s="643" t="s">
        <v>23</v>
      </c>
      <c r="AC98" s="643" t="s">
        <v>24</v>
      </c>
      <c r="AD98" s="643" t="s">
        <v>25</v>
      </c>
      <c r="AE98" s="643" t="s">
        <v>28</v>
      </c>
      <c r="AF98" s="643" t="s">
        <v>27</v>
      </c>
      <c r="AG98" s="643" t="s">
        <v>11</v>
      </c>
      <c r="AH98" s="643" t="s">
        <v>26</v>
      </c>
      <c r="AI98" s="643" t="s">
        <v>46</v>
      </c>
      <c r="AJ98" s="643" t="s">
        <v>31</v>
      </c>
      <c r="AK98" s="120"/>
      <c r="AL98" s="120"/>
      <c r="AM98" s="123"/>
      <c r="AN98" s="6"/>
    </row>
    <row r="99" spans="1:40" s="7" customFormat="1" ht="18.75">
      <c r="A99" s="27" t="s">
        <v>117</v>
      </c>
      <c r="B99" s="37"/>
      <c r="C99" s="37"/>
      <c r="D99" s="201">
        <v>12</v>
      </c>
      <c r="E99" s="427">
        <v>12</v>
      </c>
      <c r="F99" s="201">
        <v>12</v>
      </c>
      <c r="G99" s="201">
        <v>12</v>
      </c>
      <c r="H99" s="201">
        <v>12</v>
      </c>
      <c r="I99" s="201">
        <v>12</v>
      </c>
      <c r="J99" s="201">
        <v>12</v>
      </c>
      <c r="K99" s="201">
        <v>12</v>
      </c>
      <c r="L99" s="201">
        <v>12</v>
      </c>
      <c r="M99" s="201">
        <v>12</v>
      </c>
      <c r="N99" s="201">
        <v>12</v>
      </c>
      <c r="O99" s="201">
        <v>12</v>
      </c>
      <c r="P99" s="201">
        <v>12</v>
      </c>
      <c r="Q99" s="201">
        <v>12</v>
      </c>
      <c r="R99" s="201">
        <v>12</v>
      </c>
      <c r="S99" s="201">
        <v>12</v>
      </c>
      <c r="T99" s="201">
        <v>12</v>
      </c>
      <c r="U99" s="201">
        <v>12</v>
      </c>
      <c r="V99" s="201">
        <v>12</v>
      </c>
      <c r="W99" s="201">
        <v>12</v>
      </c>
      <c r="X99" s="201">
        <v>12</v>
      </c>
      <c r="Y99" s="201">
        <v>12</v>
      </c>
      <c r="Z99" s="201">
        <v>12</v>
      </c>
      <c r="AA99" s="201">
        <v>12</v>
      </c>
      <c r="AB99" s="201">
        <v>12</v>
      </c>
      <c r="AC99" s="201">
        <v>12</v>
      </c>
      <c r="AD99" s="201">
        <v>12</v>
      </c>
      <c r="AE99" s="201">
        <v>12</v>
      </c>
      <c r="AF99" s="201">
        <v>12</v>
      </c>
      <c r="AG99" s="201">
        <v>12</v>
      </c>
      <c r="AH99" s="201">
        <v>12</v>
      </c>
      <c r="AI99" s="201">
        <v>12</v>
      </c>
      <c r="AJ99" s="201">
        <v>12</v>
      </c>
      <c r="AK99" s="120"/>
      <c r="AL99" s="120"/>
      <c r="AM99" s="123"/>
      <c r="AN99" s="6"/>
    </row>
    <row r="100" spans="1:40" s="7" customFormat="1" ht="18.75">
      <c r="A100" s="13"/>
      <c r="B100" s="2"/>
      <c r="C100" s="37"/>
      <c r="D100" s="371" t="s">
        <v>42</v>
      </c>
      <c r="E100" s="370">
        <v>2020</v>
      </c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642"/>
      <c r="AK100" s="120"/>
      <c r="AL100" s="120"/>
      <c r="AM100" s="123"/>
      <c r="AN100" s="6"/>
    </row>
    <row r="101" spans="1:40" s="7" customFormat="1" ht="18.75">
      <c r="A101" s="13"/>
      <c r="B101" s="2"/>
      <c r="C101" s="37"/>
      <c r="D101" s="371" t="s">
        <v>1</v>
      </c>
      <c r="E101" s="370" t="s">
        <v>132</v>
      </c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642"/>
      <c r="AK101" s="120"/>
      <c r="AL101" s="120"/>
      <c r="AM101" s="123"/>
      <c r="AN101" s="6"/>
    </row>
    <row r="102" spans="1:40" s="7" customFormat="1" ht="18.75">
      <c r="A102" s="673"/>
      <c r="B102" s="552"/>
      <c r="C102" s="552"/>
      <c r="D102" s="647"/>
      <c r="E102" s="649"/>
      <c r="F102" s="649"/>
      <c r="G102" s="649"/>
      <c r="H102" s="649"/>
      <c r="I102" s="649"/>
      <c r="J102" s="649"/>
      <c r="K102" s="649"/>
      <c r="L102" s="649"/>
      <c r="M102" s="649"/>
      <c r="N102" s="649"/>
      <c r="O102" s="649"/>
      <c r="P102" s="649"/>
      <c r="Q102" s="649"/>
      <c r="R102" s="649"/>
      <c r="S102" s="649"/>
      <c r="T102" s="649"/>
      <c r="U102" s="649"/>
      <c r="V102" s="649"/>
      <c r="W102" s="649"/>
      <c r="X102" s="649"/>
      <c r="Y102" s="649"/>
      <c r="Z102" s="649"/>
      <c r="AA102" s="649"/>
      <c r="AB102" s="649"/>
      <c r="AC102" s="649"/>
      <c r="AD102" s="649"/>
      <c r="AE102" s="649"/>
      <c r="AF102" s="649"/>
      <c r="AG102" s="649"/>
      <c r="AH102" s="649"/>
      <c r="AI102" s="649"/>
      <c r="AJ102" s="649"/>
      <c r="AK102" s="120"/>
      <c r="AL102" s="120"/>
      <c r="AM102" s="123"/>
      <c r="AN102" s="6"/>
    </row>
    <row r="103" spans="1:40" s="7" customFormat="1">
      <c r="A103" s="43" t="s">
        <v>90</v>
      </c>
      <c r="B103" s="642"/>
      <c r="C103" s="2"/>
      <c r="D103" s="644"/>
      <c r="E103" s="654" t="s">
        <v>678</v>
      </c>
      <c r="F103" s="642"/>
      <c r="G103" s="642"/>
      <c r="H103" s="642"/>
      <c r="I103" s="642"/>
      <c r="J103" s="642"/>
      <c r="K103" s="642"/>
      <c r="L103" s="642"/>
      <c r="M103" s="642"/>
      <c r="N103" s="642"/>
      <c r="O103" s="642"/>
      <c r="P103" s="642"/>
      <c r="Q103" s="642"/>
      <c r="R103" s="642"/>
      <c r="S103" s="642"/>
      <c r="T103" s="642"/>
      <c r="U103" s="642"/>
      <c r="V103" s="642"/>
      <c r="W103" s="642"/>
      <c r="X103" s="642"/>
      <c r="Y103" s="642"/>
      <c r="Z103" s="642"/>
      <c r="AA103" s="642"/>
      <c r="AB103" s="642"/>
      <c r="AC103" s="642"/>
      <c r="AD103" s="642"/>
      <c r="AE103" s="642"/>
      <c r="AF103" s="642"/>
      <c r="AG103" s="37"/>
      <c r="AH103" s="642"/>
      <c r="AI103" s="642"/>
      <c r="AJ103" s="642"/>
      <c r="AK103" s="642"/>
      <c r="AL103" s="642"/>
      <c r="AM103" s="42"/>
      <c r="AN103" s="6"/>
    </row>
    <row r="104" spans="1:40" s="7" customFormat="1">
      <c r="A104" s="43" t="s">
        <v>674</v>
      </c>
      <c r="B104" s="642"/>
      <c r="C104" s="642"/>
      <c r="D104" s="642"/>
      <c r="E104" s="352" t="s">
        <v>0</v>
      </c>
      <c r="F104" s="642"/>
      <c r="G104" s="642"/>
      <c r="H104" s="642"/>
      <c r="I104" s="642"/>
      <c r="J104" s="642"/>
      <c r="K104" s="642"/>
      <c r="L104" s="642"/>
      <c r="M104" s="642"/>
      <c r="N104" s="642"/>
      <c r="O104" s="642"/>
      <c r="P104" s="642"/>
      <c r="Q104" s="642"/>
      <c r="R104" s="642"/>
      <c r="S104" s="642"/>
      <c r="T104" s="642"/>
      <c r="U104" s="642"/>
      <c r="V104" s="642"/>
      <c r="W104" s="642"/>
      <c r="X104" s="642"/>
      <c r="Y104" s="642"/>
      <c r="Z104" s="642"/>
      <c r="AA104" s="642"/>
      <c r="AB104" s="642"/>
      <c r="AC104" s="642"/>
      <c r="AD104" s="642"/>
      <c r="AE104" s="642"/>
      <c r="AF104" s="642"/>
      <c r="AG104" s="642"/>
      <c r="AH104" s="642"/>
      <c r="AI104" s="642"/>
      <c r="AJ104" s="642"/>
      <c r="AK104" s="642"/>
      <c r="AL104" s="642"/>
      <c r="AM104" s="42"/>
      <c r="AN104" s="6"/>
    </row>
    <row r="105" spans="1:40" s="7" customFormat="1">
      <c r="A105" s="63" t="s">
        <v>38</v>
      </c>
      <c r="B105" s="643" t="s">
        <v>187</v>
      </c>
      <c r="C105" s="643" t="s">
        <v>189</v>
      </c>
      <c r="D105" s="77" t="s">
        <v>188</v>
      </c>
      <c r="E105" s="313" t="s">
        <v>4</v>
      </c>
      <c r="F105" s="643" t="s">
        <v>5</v>
      </c>
      <c r="G105" s="643" t="s">
        <v>6</v>
      </c>
      <c r="H105" s="643" t="s">
        <v>15</v>
      </c>
      <c r="I105" s="643" t="s">
        <v>7</v>
      </c>
      <c r="J105" s="643" t="s">
        <v>8</v>
      </c>
      <c r="K105" s="643" t="s">
        <v>9</v>
      </c>
      <c r="L105" s="643" t="s">
        <v>10</v>
      </c>
      <c r="M105" s="643" t="s">
        <v>2</v>
      </c>
      <c r="N105" s="643" t="s">
        <v>12</v>
      </c>
      <c r="O105" s="643" t="s">
        <v>30</v>
      </c>
      <c r="P105" s="643" t="s">
        <v>13</v>
      </c>
      <c r="Q105" s="643" t="s">
        <v>14</v>
      </c>
      <c r="R105" s="643" t="s">
        <v>45</v>
      </c>
      <c r="S105" s="643" t="s">
        <v>16</v>
      </c>
      <c r="T105" s="643" t="s">
        <v>17</v>
      </c>
      <c r="U105" s="643" t="s">
        <v>20</v>
      </c>
      <c r="V105" s="643" t="s">
        <v>154</v>
      </c>
      <c r="W105" s="643" t="s">
        <v>18</v>
      </c>
      <c r="X105" s="643" t="s">
        <v>19</v>
      </c>
      <c r="Y105" s="643" t="s">
        <v>21</v>
      </c>
      <c r="Z105" s="643" t="s">
        <v>22</v>
      </c>
      <c r="AA105" s="643" t="s">
        <v>29</v>
      </c>
      <c r="AB105" s="643" t="s">
        <v>23</v>
      </c>
      <c r="AC105" s="643" t="s">
        <v>24</v>
      </c>
      <c r="AD105" s="643" t="s">
        <v>25</v>
      </c>
      <c r="AE105" s="643" t="s">
        <v>28</v>
      </c>
      <c r="AF105" s="643" t="s">
        <v>27</v>
      </c>
      <c r="AG105" s="643" t="s">
        <v>11</v>
      </c>
      <c r="AH105" s="643" t="s">
        <v>26</v>
      </c>
      <c r="AI105" s="643" t="s">
        <v>46</v>
      </c>
      <c r="AJ105" s="643" t="s">
        <v>31</v>
      </c>
      <c r="AK105" s="2"/>
      <c r="AL105" s="642"/>
      <c r="AM105" s="42"/>
      <c r="AN105" s="6"/>
    </row>
    <row r="106" spans="1:40" s="7" customFormat="1">
      <c r="A106" s="674" t="s">
        <v>191</v>
      </c>
      <c r="B106" s="643" t="s">
        <v>108</v>
      </c>
      <c r="C106" s="643" t="s">
        <v>108</v>
      </c>
      <c r="D106" s="77" t="s">
        <v>108</v>
      </c>
      <c r="E106" s="352"/>
      <c r="F106" s="642"/>
      <c r="G106" s="642"/>
      <c r="H106" s="642"/>
      <c r="I106" s="642"/>
      <c r="J106" s="642"/>
      <c r="K106" s="642"/>
      <c r="L106" s="642"/>
      <c r="M106" s="642"/>
      <c r="N106" s="642"/>
      <c r="O106" s="642"/>
      <c r="P106" s="642"/>
      <c r="Q106" s="642"/>
      <c r="R106" s="642"/>
      <c r="S106" s="642"/>
      <c r="T106" s="642"/>
      <c r="U106" s="642"/>
      <c r="V106" s="642"/>
      <c r="W106" s="642"/>
      <c r="X106" s="642"/>
      <c r="Y106" s="642"/>
      <c r="Z106" s="642"/>
      <c r="AA106" s="642"/>
      <c r="AB106" s="642"/>
      <c r="AC106" s="642"/>
      <c r="AD106" s="642"/>
      <c r="AE106" s="642"/>
      <c r="AF106" s="642"/>
      <c r="AG106" s="642"/>
      <c r="AH106" s="642"/>
      <c r="AI106" s="642"/>
      <c r="AJ106" s="642"/>
      <c r="AK106" s="2"/>
      <c r="AL106" s="642"/>
      <c r="AM106" s="42"/>
      <c r="AN106" s="6"/>
    </row>
    <row r="107" spans="1:40" s="7" customFormat="1">
      <c r="A107" s="27" t="s">
        <v>73</v>
      </c>
      <c r="B107" s="655">
        <v>368</v>
      </c>
      <c r="C107" s="641">
        <f>B107*0.711728277680379</f>
        <v>261.91600618637949</v>
      </c>
      <c r="D107" s="656">
        <f>B107*1.17668266851848</f>
        <v>433.01922201480062</v>
      </c>
      <c r="E107" s="347">
        <v>0.7</v>
      </c>
      <c r="F107" s="67">
        <v>0.7</v>
      </c>
      <c r="G107" s="109">
        <v>0.2</v>
      </c>
      <c r="H107" s="67">
        <v>0.2</v>
      </c>
      <c r="I107" s="67">
        <v>0.2</v>
      </c>
      <c r="J107" s="67">
        <v>7.8</v>
      </c>
      <c r="K107" s="67">
        <v>2.8</v>
      </c>
      <c r="L107" s="67">
        <v>4.2</v>
      </c>
      <c r="M107" s="67">
        <v>0.2</v>
      </c>
      <c r="N107" s="67">
        <v>0</v>
      </c>
      <c r="O107" s="67">
        <v>0.1</v>
      </c>
      <c r="P107" s="67"/>
      <c r="Q107" s="67">
        <v>0.4</v>
      </c>
      <c r="R107" s="109">
        <v>1.3</v>
      </c>
      <c r="S107" s="67">
        <v>0.1</v>
      </c>
      <c r="T107" s="67">
        <v>0.5</v>
      </c>
      <c r="U107" s="67">
        <v>0.5</v>
      </c>
      <c r="V107" s="102">
        <v>0.1</v>
      </c>
      <c r="W107" s="67">
        <v>0.4</v>
      </c>
      <c r="X107" s="67">
        <v>0.1</v>
      </c>
      <c r="Y107" s="67">
        <v>0.6</v>
      </c>
      <c r="Z107" s="67">
        <v>1.3</v>
      </c>
      <c r="AA107" s="67">
        <v>1.3</v>
      </c>
      <c r="AB107" s="67">
        <v>4</v>
      </c>
      <c r="AC107" s="67">
        <v>0.1</v>
      </c>
      <c r="AD107" s="67">
        <v>0.2</v>
      </c>
      <c r="AE107" s="74">
        <v>0.4</v>
      </c>
      <c r="AF107" s="67">
        <v>0.1</v>
      </c>
      <c r="AG107" s="67">
        <v>0.8</v>
      </c>
      <c r="AH107" s="67">
        <v>0.3</v>
      </c>
      <c r="AI107" s="67">
        <v>1</v>
      </c>
      <c r="AJ107" s="67">
        <v>2.5</v>
      </c>
      <c r="AK107" s="2"/>
      <c r="AL107" s="642"/>
      <c r="AM107" s="42"/>
      <c r="AN107" s="76"/>
    </row>
    <row r="108" spans="1:40" s="7" customFormat="1">
      <c r="A108" s="27" t="s">
        <v>40</v>
      </c>
      <c r="B108" s="655">
        <v>400</v>
      </c>
      <c r="C108" s="641">
        <f>B108*0.711728277680379</f>
        <v>284.69131107215162</v>
      </c>
      <c r="D108" s="657">
        <f>B108*1.17668266851848</f>
        <v>470.67306740739195</v>
      </c>
      <c r="E108" s="67"/>
      <c r="F108" s="67"/>
      <c r="G108" s="109">
        <v>0.1</v>
      </c>
      <c r="H108" s="67">
        <v>0</v>
      </c>
      <c r="I108" s="67">
        <v>0</v>
      </c>
      <c r="J108" s="67"/>
      <c r="K108" s="67">
        <v>0</v>
      </c>
      <c r="L108" s="67">
        <v>0</v>
      </c>
      <c r="M108" s="67">
        <v>0</v>
      </c>
      <c r="N108" s="67">
        <v>0</v>
      </c>
      <c r="O108" s="67">
        <v>0</v>
      </c>
      <c r="P108" s="67"/>
      <c r="Q108" s="67">
        <v>0</v>
      </c>
      <c r="R108" s="109">
        <v>0</v>
      </c>
      <c r="S108" s="67"/>
      <c r="T108" s="67">
        <v>0.3</v>
      </c>
      <c r="U108" s="67">
        <v>0</v>
      </c>
      <c r="V108" s="127">
        <v>0</v>
      </c>
      <c r="W108" s="67">
        <v>1</v>
      </c>
      <c r="X108" s="67"/>
      <c r="Y108" s="67">
        <v>0</v>
      </c>
      <c r="Z108" s="67">
        <v>0</v>
      </c>
      <c r="AA108" s="67">
        <v>0</v>
      </c>
      <c r="AB108" s="67">
        <v>0.8</v>
      </c>
      <c r="AC108" s="67">
        <v>0</v>
      </c>
      <c r="AD108" s="67">
        <v>0.1</v>
      </c>
      <c r="AE108" s="74"/>
      <c r="AF108" s="67">
        <v>0</v>
      </c>
      <c r="AG108" s="67">
        <v>0.2</v>
      </c>
      <c r="AH108" s="67">
        <v>0</v>
      </c>
      <c r="AI108" s="67">
        <v>0</v>
      </c>
      <c r="AJ108" s="67"/>
      <c r="AK108" s="2"/>
      <c r="AL108" s="642"/>
      <c r="AM108" s="42"/>
      <c r="AN108" s="76"/>
    </row>
    <row r="109" spans="1:40" s="7" customFormat="1">
      <c r="A109" s="27" t="s">
        <v>3</v>
      </c>
      <c r="B109" s="641">
        <f>368.3</f>
        <v>368.3</v>
      </c>
      <c r="C109" s="641">
        <f>B109*0.711728277680379</f>
        <v>262.12952466968363</v>
      </c>
      <c r="D109" s="657">
        <f>B109*1.17668266851848</f>
        <v>433.37222681535616</v>
      </c>
      <c r="E109" s="67">
        <v>99.2</v>
      </c>
      <c r="F109" s="67">
        <v>99.2</v>
      </c>
      <c r="G109" s="109">
        <v>99.6</v>
      </c>
      <c r="H109" s="67">
        <v>99.6</v>
      </c>
      <c r="I109" s="67">
        <v>99.8</v>
      </c>
      <c r="J109" s="67">
        <v>84.7</v>
      </c>
      <c r="K109" s="67">
        <v>97.1</v>
      </c>
      <c r="L109" s="67">
        <v>92.4</v>
      </c>
      <c r="M109" s="67">
        <v>99.3</v>
      </c>
      <c r="N109" s="67">
        <v>100</v>
      </c>
      <c r="O109" s="67">
        <v>98.5</v>
      </c>
      <c r="P109" s="67">
        <v>96.1</v>
      </c>
      <c r="Q109" s="67">
        <v>98.3</v>
      </c>
      <c r="R109" s="109">
        <v>93.6</v>
      </c>
      <c r="S109" s="67">
        <v>99.9</v>
      </c>
      <c r="T109" s="67">
        <v>94.5</v>
      </c>
      <c r="U109" s="67">
        <v>99.4</v>
      </c>
      <c r="V109" s="127">
        <v>98.5</v>
      </c>
      <c r="W109" s="67">
        <v>95.9</v>
      </c>
      <c r="X109" s="67">
        <v>99.9</v>
      </c>
      <c r="Y109" s="67">
        <v>99.4</v>
      </c>
      <c r="Z109" s="67">
        <v>92.1</v>
      </c>
      <c r="AA109" s="67">
        <v>93.6</v>
      </c>
      <c r="AB109" s="67">
        <v>94.5</v>
      </c>
      <c r="AC109" s="67">
        <v>97.3</v>
      </c>
      <c r="AD109" s="67">
        <v>99.6</v>
      </c>
      <c r="AE109" s="74">
        <v>94.5</v>
      </c>
      <c r="AF109" s="67">
        <v>95.9</v>
      </c>
      <c r="AG109" s="67">
        <v>94.7</v>
      </c>
      <c r="AH109" s="67">
        <v>79.599999999999994</v>
      </c>
      <c r="AI109" s="67">
        <v>99</v>
      </c>
      <c r="AJ109" s="67">
        <v>97.5</v>
      </c>
      <c r="AK109" s="2"/>
      <c r="AL109" s="642"/>
      <c r="AM109" s="42"/>
      <c r="AN109" s="76"/>
    </row>
    <row r="110" spans="1:40" s="7" customFormat="1">
      <c r="A110" s="27" t="s">
        <v>75</v>
      </c>
      <c r="B110" s="641">
        <f>551.6</f>
        <v>551.6</v>
      </c>
      <c r="C110" s="641">
        <f>B110*0.711728277680379</f>
        <v>392.58931796849708</v>
      </c>
      <c r="D110" s="641">
        <f>B110*1.17668266851848</f>
        <v>649.0581599547935</v>
      </c>
      <c r="E110" s="347">
        <v>0.1</v>
      </c>
      <c r="F110" s="67">
        <v>0.1</v>
      </c>
      <c r="G110" s="109">
        <v>0.1</v>
      </c>
      <c r="H110" s="67">
        <v>0.2</v>
      </c>
      <c r="I110" s="67">
        <v>0</v>
      </c>
      <c r="J110" s="67">
        <v>7.5</v>
      </c>
      <c r="K110" s="67"/>
      <c r="L110" s="67">
        <v>3.4</v>
      </c>
      <c r="M110" s="67">
        <v>0.5</v>
      </c>
      <c r="N110" s="67"/>
      <c r="O110" s="67">
        <v>1.3</v>
      </c>
      <c r="P110" s="67">
        <v>3.9</v>
      </c>
      <c r="Q110" s="67">
        <v>1.3</v>
      </c>
      <c r="R110" s="109">
        <v>5.2</v>
      </c>
      <c r="S110" s="67"/>
      <c r="T110" s="67">
        <v>4.7</v>
      </c>
      <c r="U110" s="67">
        <v>0.2</v>
      </c>
      <c r="V110" s="127">
        <v>1.3</v>
      </c>
      <c r="W110" s="67">
        <v>2.6</v>
      </c>
      <c r="X110" s="67"/>
      <c r="Y110" s="67">
        <v>0</v>
      </c>
      <c r="Z110" s="67">
        <v>6.6</v>
      </c>
      <c r="AA110" s="67">
        <v>5.2</v>
      </c>
      <c r="AB110" s="67">
        <v>0.8</v>
      </c>
      <c r="AC110" s="67">
        <v>2.6</v>
      </c>
      <c r="AD110" s="67">
        <v>0.1</v>
      </c>
      <c r="AE110" s="74">
        <v>2.5</v>
      </c>
      <c r="AF110" s="67">
        <v>4</v>
      </c>
      <c r="AG110" s="67">
        <v>4.3</v>
      </c>
      <c r="AH110" s="67">
        <v>20.100000000000001</v>
      </c>
      <c r="AI110" s="67">
        <v>0</v>
      </c>
      <c r="AJ110" s="67"/>
      <c r="AK110" s="2"/>
      <c r="AL110" s="642"/>
      <c r="AM110" s="42"/>
      <c r="AN110" s="76"/>
    </row>
    <row r="111" spans="1:40" s="7" customFormat="1">
      <c r="A111" s="43" t="s">
        <v>190</v>
      </c>
      <c r="B111" s="90" t="s">
        <v>192</v>
      </c>
      <c r="C111" s="90" t="s">
        <v>192</v>
      </c>
      <c r="D111" s="233" t="s">
        <v>192</v>
      </c>
      <c r="E111" s="347"/>
      <c r="F111" s="67"/>
      <c r="G111" s="109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109"/>
      <c r="S111" s="67"/>
      <c r="T111" s="67"/>
      <c r="U111" s="67"/>
      <c r="V111" s="127"/>
      <c r="W111" s="67"/>
      <c r="X111" s="67"/>
      <c r="Y111" s="67"/>
      <c r="Z111" s="67"/>
      <c r="AA111" s="67"/>
      <c r="AB111" s="67"/>
      <c r="AC111" s="67"/>
      <c r="AD111" s="67"/>
      <c r="AE111" s="74"/>
      <c r="AF111" s="67"/>
      <c r="AG111" s="67"/>
      <c r="AH111" s="67"/>
      <c r="AI111" s="67"/>
      <c r="AJ111" s="67"/>
      <c r="AK111" s="2"/>
      <c r="AL111" s="642"/>
      <c r="AM111" s="42"/>
      <c r="AN111" s="76"/>
    </row>
    <row r="112" spans="1:40" s="7" customFormat="1">
      <c r="A112" s="63" t="s">
        <v>59</v>
      </c>
      <c r="B112" s="90">
        <f>92.8/100</f>
        <v>0.92799999999999994</v>
      </c>
      <c r="C112" s="90">
        <v>0.96717040125065135</v>
      </c>
      <c r="D112" s="90">
        <v>0.82209484106305364</v>
      </c>
      <c r="E112" s="355">
        <v>0</v>
      </c>
      <c r="F112" s="75">
        <v>0</v>
      </c>
      <c r="G112" s="455">
        <v>0</v>
      </c>
      <c r="H112" s="75">
        <v>0</v>
      </c>
      <c r="I112" s="75">
        <v>0</v>
      </c>
      <c r="J112" s="75">
        <v>0</v>
      </c>
      <c r="K112" s="75">
        <v>0</v>
      </c>
      <c r="L112" s="75">
        <v>0</v>
      </c>
      <c r="M112" s="75">
        <v>0</v>
      </c>
      <c r="N112" s="75">
        <v>0</v>
      </c>
      <c r="O112" s="75">
        <v>0</v>
      </c>
      <c r="P112" s="75"/>
      <c r="Q112" s="75">
        <v>0</v>
      </c>
      <c r="R112" s="455">
        <v>0</v>
      </c>
      <c r="S112" s="75">
        <v>0</v>
      </c>
      <c r="T112" s="75">
        <v>0</v>
      </c>
      <c r="U112" s="75">
        <v>0</v>
      </c>
      <c r="V112" s="456">
        <v>0</v>
      </c>
      <c r="W112" s="75">
        <v>0</v>
      </c>
      <c r="X112" s="75">
        <v>0</v>
      </c>
      <c r="Y112" s="75">
        <v>0</v>
      </c>
      <c r="Z112" s="75">
        <v>0</v>
      </c>
      <c r="AA112" s="75">
        <v>0</v>
      </c>
      <c r="AB112" s="75">
        <v>0</v>
      </c>
      <c r="AC112" s="75">
        <v>0</v>
      </c>
      <c r="AD112" s="75">
        <v>0</v>
      </c>
      <c r="AE112" s="75">
        <v>0.5</v>
      </c>
      <c r="AF112" s="75">
        <v>0</v>
      </c>
      <c r="AG112" s="75">
        <v>0</v>
      </c>
      <c r="AH112" s="75">
        <v>0</v>
      </c>
      <c r="AI112" s="75">
        <v>0</v>
      </c>
      <c r="AJ112" s="75">
        <v>0</v>
      </c>
      <c r="AK112" s="2"/>
      <c r="AL112" s="642"/>
      <c r="AM112" s="42"/>
    </row>
    <row r="113" spans="1:40" s="7" customFormat="1">
      <c r="A113" s="27" t="s">
        <v>541</v>
      </c>
      <c r="B113" s="2"/>
      <c r="C113" s="2"/>
      <c r="D113" s="454"/>
      <c r="E113" s="74">
        <f>(E107/100*$B$107)+(E108/100*$B$108)+(E109/100*$B$109)+(E110/100*$B$110)+(E112/100*$B$112*E16/1000)</f>
        <v>368.48120000000006</v>
      </c>
      <c r="F113" s="74">
        <f t="shared" ref="F113:AJ113" si="4">(F107/100*$B$107)+(F108/100*$B$108)+(F109/100*$B$109)+(F110/100*$B$110)+(F112/100*$B$112*F16/1000)</f>
        <v>368.48120000000006</v>
      </c>
      <c r="G113" s="74">
        <f t="shared" si="4"/>
        <v>368.51440000000002</v>
      </c>
      <c r="H113" s="74">
        <f t="shared" si="4"/>
        <v>368.666</v>
      </c>
      <c r="I113" s="74">
        <f t="shared" si="4"/>
        <v>368.29939999999999</v>
      </c>
      <c r="J113" s="74">
        <f t="shared" si="4"/>
        <v>382.02410000000003</v>
      </c>
      <c r="K113" s="74">
        <f t="shared" si="4"/>
        <v>367.92329999999998</v>
      </c>
      <c r="L113" s="74">
        <f t="shared" si="4"/>
        <v>374.51960000000003</v>
      </c>
      <c r="M113" s="74">
        <f t="shared" si="4"/>
        <v>369.21589999999998</v>
      </c>
      <c r="N113" s="74">
        <f t="shared" si="4"/>
        <v>368.3</v>
      </c>
      <c r="O113" s="74">
        <f t="shared" si="4"/>
        <v>370.3143</v>
      </c>
      <c r="P113" s="74">
        <f t="shared" si="4"/>
        <v>375.44870000000003</v>
      </c>
      <c r="Q113" s="74">
        <f t="shared" si="4"/>
        <v>370.68169999999998</v>
      </c>
      <c r="R113" s="74">
        <f t="shared" si="4"/>
        <v>378.19599999999997</v>
      </c>
      <c r="S113" s="74">
        <f t="shared" si="4"/>
        <v>368.29970000000003</v>
      </c>
      <c r="T113" s="74">
        <f t="shared" si="4"/>
        <v>377.00870000000003</v>
      </c>
      <c r="U113" s="74">
        <f t="shared" si="4"/>
        <v>369.03340000000003</v>
      </c>
      <c r="V113" s="74">
        <f t="shared" si="4"/>
        <v>370.3143</v>
      </c>
      <c r="W113" s="74">
        <f t="shared" si="4"/>
        <v>373.01330000000007</v>
      </c>
      <c r="X113" s="74">
        <f t="shared" si="4"/>
        <v>368.29970000000003</v>
      </c>
      <c r="Y113" s="74">
        <f t="shared" si="4"/>
        <v>368.29820000000007</v>
      </c>
      <c r="Z113" s="74">
        <f t="shared" si="4"/>
        <v>380.39389999999997</v>
      </c>
      <c r="AA113" s="74">
        <f t="shared" si="4"/>
        <v>378.19599999999997</v>
      </c>
      <c r="AB113" s="74">
        <f t="shared" si="4"/>
        <v>370.37630000000001</v>
      </c>
      <c r="AC113" s="74">
        <f t="shared" si="4"/>
        <v>373.06550000000004</v>
      </c>
      <c r="AD113" s="74">
        <f t="shared" si="4"/>
        <v>368.51440000000002</v>
      </c>
      <c r="AE113" s="74">
        <f t="shared" si="4"/>
        <v>363.30711556363639</v>
      </c>
      <c r="AF113" s="74">
        <f t="shared" si="4"/>
        <v>375.63170000000008</v>
      </c>
      <c r="AG113" s="74">
        <f t="shared" si="4"/>
        <v>376.24290000000008</v>
      </c>
      <c r="AH113" s="74">
        <f t="shared" si="4"/>
        <v>405.14239999999995</v>
      </c>
      <c r="AI113" s="74">
        <f t="shared" si="4"/>
        <v>368.29700000000003</v>
      </c>
      <c r="AJ113" s="74">
        <f t="shared" si="4"/>
        <v>368.29250000000002</v>
      </c>
      <c r="AK113" s="2"/>
      <c r="AL113" s="642"/>
      <c r="AM113" s="42"/>
      <c r="AN113" s="6"/>
    </row>
    <row r="114" spans="1:40" s="7" customFormat="1">
      <c r="A114" s="27"/>
      <c r="B114" s="642"/>
      <c r="C114" s="642"/>
      <c r="D114" s="371" t="s">
        <v>425</v>
      </c>
      <c r="E114" s="352"/>
      <c r="F114" s="642"/>
      <c r="G114" s="402" t="s">
        <v>176</v>
      </c>
      <c r="H114" s="642"/>
      <c r="I114" s="642"/>
      <c r="J114" s="642"/>
      <c r="K114" s="642"/>
      <c r="L114" s="642"/>
      <c r="M114" s="642"/>
      <c r="N114" s="642"/>
      <c r="O114" s="642"/>
      <c r="P114" s="642"/>
      <c r="Q114" s="642"/>
      <c r="R114" s="666" t="s">
        <v>179</v>
      </c>
      <c r="S114" s="642"/>
      <c r="T114" s="642"/>
      <c r="U114" s="642"/>
      <c r="V114" s="402" t="s">
        <v>186</v>
      </c>
      <c r="W114" s="642"/>
      <c r="X114" s="642"/>
      <c r="Y114" s="642"/>
      <c r="Z114" s="642"/>
      <c r="AA114" s="642"/>
      <c r="AB114" s="642"/>
      <c r="AC114" s="642"/>
      <c r="AD114" s="642"/>
      <c r="AE114" s="642"/>
      <c r="AF114" s="642"/>
      <c r="AG114" s="642"/>
      <c r="AH114" s="642"/>
      <c r="AI114" s="642"/>
      <c r="AJ114" s="642"/>
      <c r="AK114" s="642"/>
      <c r="AL114" s="642"/>
      <c r="AM114" s="42"/>
      <c r="AN114" s="6"/>
    </row>
    <row r="115" spans="1:40" s="7" customFormat="1">
      <c r="A115" s="675" t="s">
        <v>526</v>
      </c>
      <c r="B115" s="2"/>
      <c r="C115" s="2"/>
      <c r="D115" s="371" t="s">
        <v>42</v>
      </c>
      <c r="E115" s="370">
        <v>2021</v>
      </c>
      <c r="F115" s="642"/>
      <c r="G115" s="642"/>
      <c r="H115" s="642"/>
      <c r="I115" s="642"/>
      <c r="J115" s="642"/>
      <c r="K115" s="642"/>
      <c r="L115" s="642"/>
      <c r="M115" s="642"/>
      <c r="N115" s="642"/>
      <c r="O115" s="642"/>
      <c r="P115" s="642"/>
      <c r="Q115" s="642"/>
      <c r="R115" s="642"/>
      <c r="S115" s="642"/>
      <c r="T115" s="642"/>
      <c r="U115" s="642"/>
      <c r="V115" s="642"/>
      <c r="W115" s="642"/>
      <c r="X115" s="642"/>
      <c r="Y115" s="642"/>
      <c r="Z115" s="642"/>
      <c r="AA115" s="642"/>
      <c r="AB115" s="642"/>
      <c r="AC115" s="642"/>
      <c r="AD115" s="642"/>
      <c r="AE115" s="642"/>
      <c r="AF115" s="642"/>
      <c r="AG115" s="37"/>
      <c r="AH115" s="642"/>
      <c r="AI115" s="642"/>
      <c r="AJ115" s="642"/>
      <c r="AK115" s="642"/>
      <c r="AL115" s="642"/>
      <c r="AM115" s="42"/>
      <c r="AN115" s="6"/>
    </row>
    <row r="116" spans="1:40" s="7" customFormat="1">
      <c r="A116" s="675"/>
      <c r="B116" s="2"/>
      <c r="C116" s="2"/>
      <c r="D116" s="371" t="s">
        <v>1</v>
      </c>
      <c r="E116" s="372" t="s">
        <v>525</v>
      </c>
      <c r="F116" s="642"/>
      <c r="G116" s="642"/>
      <c r="H116" s="642"/>
      <c r="I116" s="642"/>
      <c r="J116" s="642"/>
      <c r="K116" s="642"/>
      <c r="L116" s="642"/>
      <c r="M116" s="642"/>
      <c r="N116" s="642"/>
      <c r="O116" s="642"/>
      <c r="P116" s="642"/>
      <c r="Q116" s="642"/>
      <c r="R116" s="642"/>
      <c r="S116" s="642"/>
      <c r="T116" s="642"/>
      <c r="U116" s="642"/>
      <c r="V116" s="642"/>
      <c r="W116" s="642"/>
      <c r="X116" s="642"/>
      <c r="Y116" s="642"/>
      <c r="Z116" s="642"/>
      <c r="AA116" s="642"/>
      <c r="AB116" s="642"/>
      <c r="AC116" s="642"/>
      <c r="AD116" s="642"/>
      <c r="AE116" s="642"/>
      <c r="AF116" s="642"/>
      <c r="AG116" s="37"/>
      <c r="AH116" s="642"/>
      <c r="AI116" s="642"/>
      <c r="AJ116" s="642"/>
      <c r="AK116" s="642"/>
      <c r="AL116" s="642"/>
      <c r="AM116" s="42"/>
      <c r="AN116" s="6"/>
    </row>
    <row r="117" spans="1:40" s="7" customFormat="1">
      <c r="A117" s="675" t="s">
        <v>527</v>
      </c>
      <c r="B117" s="2"/>
      <c r="C117" s="2"/>
      <c r="D117" s="371" t="s">
        <v>42</v>
      </c>
      <c r="E117" s="370">
        <v>2021</v>
      </c>
      <c r="F117" s="642"/>
      <c r="G117" s="642"/>
      <c r="H117" s="642"/>
      <c r="I117" s="642"/>
      <c r="J117" s="642"/>
      <c r="K117" s="642"/>
      <c r="L117" s="642"/>
      <c r="M117" s="642"/>
      <c r="N117" s="642"/>
      <c r="O117" s="642"/>
      <c r="P117" s="642"/>
      <c r="Q117" s="642"/>
      <c r="R117" s="642"/>
      <c r="S117" s="642"/>
      <c r="T117" s="642"/>
      <c r="U117" s="642"/>
      <c r="V117" s="642"/>
      <c r="W117" s="642"/>
      <c r="X117" s="642"/>
      <c r="Y117" s="642"/>
      <c r="Z117" s="642"/>
      <c r="AA117" s="642"/>
      <c r="AB117" s="642"/>
      <c r="AC117" s="642"/>
      <c r="AD117" s="642"/>
      <c r="AE117" s="642"/>
      <c r="AF117" s="642"/>
      <c r="AG117" s="37"/>
      <c r="AH117" s="642"/>
      <c r="AI117" s="642"/>
      <c r="AJ117" s="642"/>
      <c r="AK117" s="642"/>
      <c r="AL117" s="642"/>
      <c r="AM117" s="42"/>
      <c r="AN117" s="6"/>
    </row>
    <row r="118" spans="1:40" s="7" customFormat="1">
      <c r="A118" s="13"/>
      <c r="B118" s="2"/>
      <c r="C118" s="2"/>
      <c r="D118" s="371" t="s">
        <v>1</v>
      </c>
      <c r="E118" s="372" t="s">
        <v>74</v>
      </c>
      <c r="F118" s="2"/>
      <c r="G118" s="642"/>
      <c r="H118" s="642"/>
      <c r="I118" s="642"/>
      <c r="J118" s="642"/>
      <c r="K118" s="642"/>
      <c r="L118" s="642"/>
      <c r="M118" s="642"/>
      <c r="N118" s="642"/>
      <c r="O118" s="642"/>
      <c r="P118" s="642"/>
      <c r="Q118" s="642"/>
      <c r="R118" s="642"/>
      <c r="S118" s="642"/>
      <c r="T118" s="642"/>
      <c r="U118" s="642"/>
      <c r="V118" s="642"/>
      <c r="W118" s="642"/>
      <c r="X118" s="642"/>
      <c r="Y118" s="642"/>
      <c r="Z118" s="642"/>
      <c r="AA118" s="642"/>
      <c r="AB118" s="642"/>
      <c r="AC118" s="642"/>
      <c r="AD118" s="642"/>
      <c r="AE118" s="642"/>
      <c r="AF118" s="642"/>
      <c r="AG118" s="37"/>
      <c r="AH118" s="642"/>
      <c r="AI118" s="642"/>
      <c r="AJ118" s="642"/>
      <c r="AK118" s="642"/>
      <c r="AL118" s="642"/>
      <c r="AM118" s="42"/>
      <c r="AN118" s="6"/>
    </row>
    <row r="119" spans="1:40" s="7" customFormat="1">
      <c r="A119" s="675" t="s">
        <v>528</v>
      </c>
      <c r="B119" s="2"/>
      <c r="C119" s="2"/>
      <c r="D119" s="371" t="s">
        <v>42</v>
      </c>
      <c r="E119" s="370">
        <v>2021</v>
      </c>
      <c r="F119" s="2"/>
      <c r="G119" s="642"/>
      <c r="H119" s="642"/>
      <c r="I119" s="642"/>
      <c r="J119" s="642"/>
      <c r="K119" s="642"/>
      <c r="L119" s="642"/>
      <c r="M119" s="642"/>
      <c r="N119" s="642"/>
      <c r="O119" s="642"/>
      <c r="P119" s="642"/>
      <c r="Q119" s="642"/>
      <c r="R119" s="642"/>
      <c r="S119" s="642"/>
      <c r="T119" s="642"/>
      <c r="U119" s="642"/>
      <c r="V119" s="642"/>
      <c r="W119" s="642"/>
      <c r="X119" s="642"/>
      <c r="Y119" s="642"/>
      <c r="Z119" s="642"/>
      <c r="AA119" s="642"/>
      <c r="AB119" s="642"/>
      <c r="AC119" s="642"/>
      <c r="AD119" s="642"/>
      <c r="AE119" s="642"/>
      <c r="AF119" s="642"/>
      <c r="AG119" s="37"/>
      <c r="AH119" s="642"/>
      <c r="AI119" s="642"/>
      <c r="AJ119" s="642"/>
      <c r="AK119" s="642"/>
      <c r="AL119" s="642"/>
      <c r="AM119" s="42"/>
      <c r="AN119" s="6"/>
    </row>
    <row r="120" spans="1:40" s="7" customFormat="1">
      <c r="A120" s="13"/>
      <c r="B120" s="2"/>
      <c r="C120" s="2"/>
      <c r="D120" s="371" t="s">
        <v>1</v>
      </c>
      <c r="E120" s="372" t="s">
        <v>71</v>
      </c>
      <c r="F120" s="642"/>
      <c r="G120" s="642"/>
      <c r="H120" s="642"/>
      <c r="I120" s="642"/>
      <c r="J120" s="642"/>
      <c r="K120" s="642"/>
      <c r="L120" s="642"/>
      <c r="M120" s="642"/>
      <c r="N120" s="642"/>
      <c r="O120" s="642"/>
      <c r="P120" s="642"/>
      <c r="Q120" s="642"/>
      <c r="R120" s="642"/>
      <c r="S120" s="642"/>
      <c r="T120" s="642"/>
      <c r="U120" s="642"/>
      <c r="V120" s="642"/>
      <c r="W120" s="642"/>
      <c r="X120" s="642"/>
      <c r="Y120" s="642"/>
      <c r="Z120" s="642"/>
      <c r="AA120" s="642"/>
      <c r="AB120" s="642"/>
      <c r="AC120" s="642"/>
      <c r="AD120" s="642"/>
      <c r="AE120" s="642"/>
      <c r="AF120" s="642"/>
      <c r="AG120" s="37"/>
      <c r="AH120" s="642"/>
      <c r="AI120" s="642"/>
      <c r="AJ120" s="642"/>
      <c r="AK120" s="642"/>
      <c r="AL120" s="642"/>
      <c r="AM120" s="42"/>
      <c r="AN120" s="6"/>
    </row>
    <row r="121" spans="1:40" s="7" customFormat="1">
      <c r="A121" s="27"/>
      <c r="B121" s="49"/>
      <c r="C121" s="642"/>
      <c r="D121" s="642"/>
      <c r="E121" s="352"/>
      <c r="F121" s="642"/>
      <c r="G121" s="642"/>
      <c r="H121" s="642"/>
      <c r="I121" s="642"/>
      <c r="J121" s="642"/>
      <c r="K121" s="642"/>
      <c r="L121" s="642"/>
      <c r="M121" s="642"/>
      <c r="N121" s="642"/>
      <c r="O121" s="642"/>
      <c r="P121" s="642"/>
      <c r="Q121" s="642"/>
      <c r="R121" s="642"/>
      <c r="S121" s="642"/>
      <c r="T121" s="642"/>
      <c r="U121" s="642"/>
      <c r="V121" s="642"/>
      <c r="W121" s="642"/>
      <c r="X121" s="642"/>
      <c r="Y121" s="642"/>
      <c r="Z121" s="642"/>
      <c r="AA121" s="642"/>
      <c r="AB121" s="642"/>
      <c r="AC121" s="642"/>
      <c r="AD121" s="642"/>
      <c r="AE121" s="642"/>
      <c r="AF121" s="642"/>
      <c r="AG121" s="37"/>
      <c r="AH121" s="642"/>
      <c r="AI121" s="642"/>
      <c r="AJ121" s="642"/>
      <c r="AK121" s="642"/>
      <c r="AL121" s="642"/>
      <c r="AM121" s="42"/>
      <c r="AN121" s="6"/>
    </row>
    <row r="122" spans="1:40">
      <c r="A122" s="228" t="s">
        <v>675</v>
      </c>
      <c r="B122" s="49"/>
      <c r="C122" s="642"/>
      <c r="D122" s="642"/>
      <c r="E122" s="352"/>
      <c r="F122" s="642"/>
      <c r="G122" s="642"/>
      <c r="H122" s="642"/>
      <c r="I122" s="642"/>
      <c r="J122" s="642"/>
      <c r="K122" s="642"/>
      <c r="L122" s="642"/>
      <c r="M122" s="642"/>
      <c r="N122" s="642"/>
      <c r="O122" s="642"/>
      <c r="P122" s="642"/>
      <c r="Q122" s="642"/>
      <c r="R122" s="642"/>
      <c r="S122" s="642"/>
      <c r="T122" s="642"/>
      <c r="U122" s="642"/>
      <c r="V122" s="642"/>
      <c r="W122" s="642"/>
      <c r="X122" s="642"/>
      <c r="Y122" s="642"/>
      <c r="Z122" s="642"/>
      <c r="AA122" s="642"/>
      <c r="AB122" s="642"/>
      <c r="AC122" s="642"/>
      <c r="AD122" s="642"/>
      <c r="AE122" s="642"/>
      <c r="AF122" s="642"/>
      <c r="AG122" s="37"/>
      <c r="AH122" s="642"/>
      <c r="AI122" s="642"/>
      <c r="AJ122" s="642"/>
      <c r="AK122" s="642"/>
      <c r="AL122" s="642"/>
      <c r="AM122" s="42"/>
    </row>
    <row r="123" spans="1:40" s="7" customFormat="1">
      <c r="A123" s="267" t="s">
        <v>685</v>
      </c>
      <c r="B123" s="205"/>
      <c r="C123" s="643"/>
      <c r="D123" s="643" t="s">
        <v>82</v>
      </c>
      <c r="E123" s="313" t="s">
        <v>4</v>
      </c>
      <c r="F123" s="643" t="s">
        <v>5</v>
      </c>
      <c r="G123" s="643" t="s">
        <v>6</v>
      </c>
      <c r="H123" s="643" t="s">
        <v>15</v>
      </c>
      <c r="I123" s="643" t="s">
        <v>7</v>
      </c>
      <c r="J123" s="643" t="s">
        <v>8</v>
      </c>
      <c r="K123" s="643" t="s">
        <v>9</v>
      </c>
      <c r="L123" s="643" t="s">
        <v>10</v>
      </c>
      <c r="M123" s="643" t="s">
        <v>2</v>
      </c>
      <c r="N123" s="643" t="s">
        <v>12</v>
      </c>
      <c r="O123" s="643" t="s">
        <v>30</v>
      </c>
      <c r="P123" s="643" t="s">
        <v>13</v>
      </c>
      <c r="Q123" s="643" t="s">
        <v>14</v>
      </c>
      <c r="R123" s="643" t="s">
        <v>45</v>
      </c>
      <c r="S123" s="643" t="s">
        <v>16</v>
      </c>
      <c r="T123" s="643" t="s">
        <v>17</v>
      </c>
      <c r="U123" s="643" t="s">
        <v>20</v>
      </c>
      <c r="V123" s="643" t="s">
        <v>154</v>
      </c>
      <c r="W123" s="643" t="s">
        <v>18</v>
      </c>
      <c r="X123" s="643" t="s">
        <v>19</v>
      </c>
      <c r="Y123" s="643" t="s">
        <v>21</v>
      </c>
      <c r="Z123" s="643" t="s">
        <v>22</v>
      </c>
      <c r="AA123" s="643" t="s">
        <v>29</v>
      </c>
      <c r="AB123" s="643" t="s">
        <v>23</v>
      </c>
      <c r="AC123" s="643" t="s">
        <v>24</v>
      </c>
      <c r="AD123" s="643" t="s">
        <v>25</v>
      </c>
      <c r="AE123" s="643" t="s">
        <v>28</v>
      </c>
      <c r="AF123" s="643" t="s">
        <v>27</v>
      </c>
      <c r="AG123" s="643" t="s">
        <v>11</v>
      </c>
      <c r="AH123" s="643" t="s">
        <v>26</v>
      </c>
      <c r="AI123" s="643" t="s">
        <v>46</v>
      </c>
      <c r="AJ123" s="643" t="s">
        <v>31</v>
      </c>
      <c r="AK123" s="642"/>
      <c r="AL123" s="642"/>
      <c r="AM123" s="42"/>
      <c r="AN123" s="6"/>
    </row>
    <row r="124" spans="1:40" s="7" customFormat="1">
      <c r="A124" s="36">
        <v>2020</v>
      </c>
      <c r="B124" s="49"/>
      <c r="C124" s="642"/>
      <c r="D124" s="102">
        <v>0.2</v>
      </c>
      <c r="E124" s="357">
        <v>0.1</v>
      </c>
      <c r="F124" s="50">
        <v>0.3</v>
      </c>
      <c r="G124" s="50">
        <v>0</v>
      </c>
      <c r="H124" s="50">
        <v>0.1</v>
      </c>
      <c r="I124" s="50">
        <v>0.1</v>
      </c>
      <c r="J124" s="50">
        <v>0.1</v>
      </c>
      <c r="K124" s="50">
        <v>0.1</v>
      </c>
      <c r="L124" s="50">
        <v>0.2</v>
      </c>
      <c r="M124" s="50">
        <v>0.2</v>
      </c>
      <c r="N124" s="50">
        <v>0.3</v>
      </c>
      <c r="O124" s="50">
        <v>0.3</v>
      </c>
      <c r="P124" s="50">
        <v>0.2</v>
      </c>
      <c r="Q124" s="50">
        <v>0.1</v>
      </c>
      <c r="R124" s="104">
        <v>0.2</v>
      </c>
      <c r="S124" s="50">
        <v>0.2</v>
      </c>
      <c r="T124" s="50">
        <v>0.1</v>
      </c>
      <c r="U124" s="50">
        <v>0.1</v>
      </c>
      <c r="V124" s="104">
        <v>0.2</v>
      </c>
      <c r="W124" s="50">
        <v>0</v>
      </c>
      <c r="X124" s="50">
        <v>0.1</v>
      </c>
      <c r="Y124" s="50">
        <v>0.1</v>
      </c>
      <c r="Z124" s="50">
        <v>0.4</v>
      </c>
      <c r="AA124" s="104">
        <v>0.2</v>
      </c>
      <c r="AB124" s="50">
        <v>0</v>
      </c>
      <c r="AC124" s="50">
        <v>0.1</v>
      </c>
      <c r="AD124" s="50">
        <v>0</v>
      </c>
      <c r="AE124" s="50">
        <v>0.1</v>
      </c>
      <c r="AF124" s="50">
        <v>0.3</v>
      </c>
      <c r="AG124" s="50">
        <v>0.1</v>
      </c>
      <c r="AH124" s="50">
        <v>0.3</v>
      </c>
      <c r="AI124" s="104">
        <v>0.2</v>
      </c>
      <c r="AJ124" s="50">
        <v>0.4</v>
      </c>
      <c r="AK124" s="642"/>
      <c r="AL124" s="642"/>
      <c r="AM124" s="42"/>
      <c r="AN124" s="6"/>
    </row>
    <row r="125" spans="1:40" s="7" customFormat="1">
      <c r="A125" s="36">
        <v>2025</v>
      </c>
      <c r="B125" s="49"/>
      <c r="C125" s="642"/>
      <c r="D125" s="102">
        <v>0.4</v>
      </c>
      <c r="E125" s="357">
        <v>0.2</v>
      </c>
      <c r="F125" s="50">
        <v>0.4</v>
      </c>
      <c r="G125" s="50">
        <v>0.1</v>
      </c>
      <c r="H125" s="50">
        <v>0.3</v>
      </c>
      <c r="I125" s="50">
        <v>0.3</v>
      </c>
      <c r="J125" s="50">
        <v>0.2</v>
      </c>
      <c r="K125" s="50">
        <v>0.3</v>
      </c>
      <c r="L125" s="50">
        <v>0.3</v>
      </c>
      <c r="M125" s="50">
        <v>0.5</v>
      </c>
      <c r="N125" s="50">
        <v>0.6</v>
      </c>
      <c r="O125" s="50">
        <v>0.6</v>
      </c>
      <c r="P125" s="50">
        <v>0.5</v>
      </c>
      <c r="Q125" s="50">
        <v>0.2</v>
      </c>
      <c r="R125" s="104">
        <v>0.4</v>
      </c>
      <c r="S125" s="50">
        <v>0.3</v>
      </c>
      <c r="T125" s="50">
        <v>0.2</v>
      </c>
      <c r="U125" s="50">
        <v>0.2</v>
      </c>
      <c r="V125" s="104">
        <v>0.4</v>
      </c>
      <c r="W125" s="50">
        <v>0.1</v>
      </c>
      <c r="X125" s="50">
        <v>0.2</v>
      </c>
      <c r="Y125" s="50">
        <v>0.2</v>
      </c>
      <c r="Z125" s="50">
        <v>0.7</v>
      </c>
      <c r="AA125" s="104">
        <v>0.4</v>
      </c>
      <c r="AB125" s="50">
        <v>0.1</v>
      </c>
      <c r="AC125" s="50">
        <v>0.2</v>
      </c>
      <c r="AD125" s="50">
        <v>0.1</v>
      </c>
      <c r="AE125" s="50">
        <v>0.2</v>
      </c>
      <c r="AF125" s="50">
        <v>0.9</v>
      </c>
      <c r="AG125" s="50">
        <v>0.3</v>
      </c>
      <c r="AH125" s="50">
        <v>0.4</v>
      </c>
      <c r="AI125" s="104">
        <v>0.4</v>
      </c>
      <c r="AJ125" s="50">
        <v>0.6</v>
      </c>
      <c r="AK125" s="642"/>
      <c r="AL125" s="642"/>
      <c r="AM125" s="42"/>
      <c r="AN125" s="105"/>
    </row>
    <row r="126" spans="1:40" s="7" customFormat="1">
      <c r="A126" s="36">
        <v>2030</v>
      </c>
      <c r="B126" s="49"/>
      <c r="C126" s="642"/>
      <c r="D126" s="102">
        <v>0.9</v>
      </c>
      <c r="E126" s="357">
        <v>0.4</v>
      </c>
      <c r="F126" s="50">
        <v>0.6</v>
      </c>
      <c r="G126" s="50">
        <v>0.2</v>
      </c>
      <c r="H126" s="50">
        <v>0.8</v>
      </c>
      <c r="I126" s="50">
        <v>0.6</v>
      </c>
      <c r="J126" s="50">
        <v>0.4</v>
      </c>
      <c r="K126" s="50">
        <v>0.7</v>
      </c>
      <c r="L126" s="50">
        <v>0.6</v>
      </c>
      <c r="M126" s="50">
        <v>1.4</v>
      </c>
      <c r="N126" s="50">
        <v>1.3</v>
      </c>
      <c r="O126" s="50">
        <v>1.4</v>
      </c>
      <c r="P126" s="50">
        <v>1</v>
      </c>
      <c r="Q126" s="50">
        <v>0.4</v>
      </c>
      <c r="R126" s="104">
        <v>0.9</v>
      </c>
      <c r="S126" s="50">
        <v>0.7</v>
      </c>
      <c r="T126" s="50">
        <v>0.5</v>
      </c>
      <c r="U126" s="50">
        <v>0.7</v>
      </c>
      <c r="V126" s="104">
        <v>0.9</v>
      </c>
      <c r="W126" s="50">
        <v>0.3</v>
      </c>
      <c r="X126" s="50">
        <v>0.5</v>
      </c>
      <c r="Y126" s="50">
        <v>0.5</v>
      </c>
      <c r="Z126" s="50">
        <v>1.1000000000000001</v>
      </c>
      <c r="AA126" s="104">
        <v>0.9</v>
      </c>
      <c r="AB126" s="50">
        <v>0.2</v>
      </c>
      <c r="AC126" s="50">
        <v>0.4</v>
      </c>
      <c r="AD126" s="50">
        <v>0.3</v>
      </c>
      <c r="AE126" s="50">
        <v>0.4</v>
      </c>
      <c r="AF126" s="50">
        <v>1.7</v>
      </c>
      <c r="AG126" s="50">
        <v>0.5</v>
      </c>
      <c r="AH126" s="50">
        <v>0.7</v>
      </c>
      <c r="AI126" s="104">
        <v>0.9</v>
      </c>
      <c r="AJ126" s="50">
        <v>1.3</v>
      </c>
      <c r="AK126" s="642"/>
      <c r="AL126" s="642"/>
      <c r="AM126" s="42"/>
      <c r="AN126" s="6"/>
    </row>
    <row r="127" spans="1:40" s="7" customFormat="1">
      <c r="A127" s="36">
        <v>2035</v>
      </c>
      <c r="B127" s="49"/>
      <c r="C127" s="642"/>
      <c r="D127" s="102">
        <v>1.2</v>
      </c>
      <c r="E127" s="357">
        <v>0.6</v>
      </c>
      <c r="F127" s="50">
        <v>1</v>
      </c>
      <c r="G127" s="50">
        <v>0.3</v>
      </c>
      <c r="H127" s="50">
        <v>1</v>
      </c>
      <c r="I127" s="50">
        <v>0.9</v>
      </c>
      <c r="J127" s="50">
        <v>0.6</v>
      </c>
      <c r="K127" s="50">
        <v>1</v>
      </c>
      <c r="L127" s="50">
        <v>1</v>
      </c>
      <c r="M127" s="50">
        <v>1.7</v>
      </c>
      <c r="N127" s="50">
        <v>1.7</v>
      </c>
      <c r="O127" s="50">
        <v>1.9</v>
      </c>
      <c r="P127" s="50">
        <v>1.4</v>
      </c>
      <c r="Q127" s="50">
        <v>0.6</v>
      </c>
      <c r="R127" s="104">
        <v>1.2</v>
      </c>
      <c r="S127" s="50">
        <v>1</v>
      </c>
      <c r="T127" s="50">
        <v>0.8</v>
      </c>
      <c r="U127" s="50">
        <v>1.2</v>
      </c>
      <c r="V127" s="104">
        <v>1.2</v>
      </c>
      <c r="W127" s="50">
        <v>0.5</v>
      </c>
      <c r="X127" s="50">
        <v>0.4</v>
      </c>
      <c r="Y127" s="50">
        <v>0.8</v>
      </c>
      <c r="Z127" s="50">
        <v>1.5</v>
      </c>
      <c r="AA127" s="104">
        <v>1.2</v>
      </c>
      <c r="AB127" s="50">
        <v>0.4</v>
      </c>
      <c r="AC127" s="50">
        <v>0.8</v>
      </c>
      <c r="AD127" s="50">
        <v>0.5</v>
      </c>
      <c r="AE127" s="50">
        <v>0.6</v>
      </c>
      <c r="AF127" s="50">
        <v>2.1</v>
      </c>
      <c r="AG127" s="50">
        <v>0.8</v>
      </c>
      <c r="AH127" s="50">
        <v>1.3</v>
      </c>
      <c r="AI127" s="104">
        <v>1.2</v>
      </c>
      <c r="AJ127" s="50">
        <v>1.7</v>
      </c>
      <c r="AK127" s="642"/>
      <c r="AL127" s="642"/>
      <c r="AM127" s="42"/>
      <c r="AN127" s="6"/>
    </row>
    <row r="128" spans="1:40" s="7" customFormat="1">
      <c r="A128" s="36">
        <v>2040</v>
      </c>
      <c r="B128" s="49"/>
      <c r="C128" s="642"/>
      <c r="D128" s="102">
        <v>1.5</v>
      </c>
      <c r="E128" s="357">
        <v>0.8</v>
      </c>
      <c r="F128" s="50">
        <v>1.2</v>
      </c>
      <c r="G128" s="50">
        <v>0.4</v>
      </c>
      <c r="H128" s="50">
        <v>1.2</v>
      </c>
      <c r="I128" s="50">
        <v>1.3</v>
      </c>
      <c r="J128" s="50">
        <v>0.8</v>
      </c>
      <c r="K128" s="50">
        <v>1.3</v>
      </c>
      <c r="L128" s="50">
        <v>1.2</v>
      </c>
      <c r="M128" s="50">
        <v>2</v>
      </c>
      <c r="N128" s="50">
        <v>2.1</v>
      </c>
      <c r="O128" s="50">
        <v>2.2999999999999998</v>
      </c>
      <c r="P128" s="50">
        <v>1.7</v>
      </c>
      <c r="Q128" s="50">
        <v>0.8</v>
      </c>
      <c r="R128" s="104">
        <v>1.5</v>
      </c>
      <c r="S128" s="50">
        <v>1.3</v>
      </c>
      <c r="T128" s="50">
        <v>1.2</v>
      </c>
      <c r="U128" s="50">
        <v>1.5</v>
      </c>
      <c r="V128" s="104">
        <v>1.5</v>
      </c>
      <c r="W128" s="50">
        <v>0.6</v>
      </c>
      <c r="X128" s="50">
        <v>0.6</v>
      </c>
      <c r="Y128" s="50">
        <v>1</v>
      </c>
      <c r="Z128" s="50">
        <v>1.9</v>
      </c>
      <c r="AA128" s="104">
        <v>1.5</v>
      </c>
      <c r="AB128" s="50">
        <v>0.6</v>
      </c>
      <c r="AC128" s="50">
        <v>1.2</v>
      </c>
      <c r="AD128" s="50">
        <v>0.8</v>
      </c>
      <c r="AE128" s="50">
        <v>0.9</v>
      </c>
      <c r="AF128" s="50">
        <v>2.4</v>
      </c>
      <c r="AG128" s="50">
        <v>1</v>
      </c>
      <c r="AH128" s="50">
        <v>1.9</v>
      </c>
      <c r="AI128" s="104">
        <v>1.5</v>
      </c>
      <c r="AJ128" s="50">
        <v>2.1</v>
      </c>
      <c r="AK128" s="642"/>
      <c r="AL128" s="642"/>
      <c r="AM128" s="42"/>
      <c r="AN128" s="6"/>
    </row>
    <row r="129" spans="1:40" s="7" customFormat="1">
      <c r="A129" s="36">
        <v>2045</v>
      </c>
      <c r="B129" s="49"/>
      <c r="C129" s="642"/>
      <c r="D129" s="102">
        <v>1.9</v>
      </c>
      <c r="E129" s="357">
        <v>1</v>
      </c>
      <c r="F129" s="50">
        <v>1.5</v>
      </c>
      <c r="G129" s="50">
        <v>0.6</v>
      </c>
      <c r="H129" s="50">
        <v>1.6</v>
      </c>
      <c r="I129" s="50">
        <v>1.7</v>
      </c>
      <c r="J129" s="50">
        <v>1.1000000000000001</v>
      </c>
      <c r="K129" s="50">
        <v>1.7</v>
      </c>
      <c r="L129" s="50">
        <v>1.5</v>
      </c>
      <c r="M129" s="50">
        <v>2.2000000000000002</v>
      </c>
      <c r="N129" s="50">
        <v>2.5</v>
      </c>
      <c r="O129" s="50" t="s">
        <v>686</v>
      </c>
      <c r="P129" s="50">
        <v>2.1</v>
      </c>
      <c r="Q129" s="50">
        <v>1.1000000000000001</v>
      </c>
      <c r="R129" s="104">
        <v>1.9</v>
      </c>
      <c r="S129" s="50">
        <v>1.6</v>
      </c>
      <c r="T129" s="50">
        <v>1.4</v>
      </c>
      <c r="U129" s="50">
        <v>1.7</v>
      </c>
      <c r="V129" s="104">
        <v>1.9</v>
      </c>
      <c r="W129" s="50">
        <v>0.7</v>
      </c>
      <c r="X129" s="50">
        <v>0.9</v>
      </c>
      <c r="Y129" s="50">
        <v>1.4</v>
      </c>
      <c r="Z129" s="50">
        <v>2.2999999999999998</v>
      </c>
      <c r="AA129" s="104">
        <v>1.9</v>
      </c>
      <c r="AB129" s="50">
        <v>0.9</v>
      </c>
      <c r="AC129" s="50">
        <v>1.8</v>
      </c>
      <c r="AD129" s="50">
        <v>1.1000000000000001</v>
      </c>
      <c r="AE129" s="50">
        <v>1.2</v>
      </c>
      <c r="AF129" s="50">
        <v>2.8</v>
      </c>
      <c r="AG129" s="50">
        <v>1.2</v>
      </c>
      <c r="AH129" s="50">
        <v>2.5</v>
      </c>
      <c r="AI129" s="104">
        <v>1.9</v>
      </c>
      <c r="AJ129" s="50">
        <v>2.7</v>
      </c>
      <c r="AK129" s="642"/>
      <c r="AL129" s="642"/>
      <c r="AM129" s="42"/>
      <c r="AN129" s="6"/>
    </row>
    <row r="130" spans="1:40" s="7" customFormat="1">
      <c r="A130" s="36">
        <v>2050</v>
      </c>
      <c r="B130" s="49"/>
      <c r="C130" s="642"/>
      <c r="D130" s="102">
        <v>2.2999999999999998</v>
      </c>
      <c r="E130" s="357">
        <v>1.3</v>
      </c>
      <c r="F130" s="50">
        <v>1.7</v>
      </c>
      <c r="G130" s="50">
        <v>0.8</v>
      </c>
      <c r="H130" s="50">
        <v>1.8</v>
      </c>
      <c r="I130" s="50">
        <v>2</v>
      </c>
      <c r="J130" s="50">
        <v>1.4</v>
      </c>
      <c r="K130" s="50">
        <v>2.1</v>
      </c>
      <c r="L130" s="50">
        <v>1.7</v>
      </c>
      <c r="M130" s="50">
        <v>2.5</v>
      </c>
      <c r="N130" s="50">
        <v>3</v>
      </c>
      <c r="O130" s="50">
        <v>3.3</v>
      </c>
      <c r="P130" s="50">
        <v>2.2999999999999998</v>
      </c>
      <c r="Q130" s="50">
        <v>1.3</v>
      </c>
      <c r="R130" s="104">
        <v>2.2999999999999998</v>
      </c>
      <c r="S130" s="50">
        <v>1.9</v>
      </c>
      <c r="T130" s="50">
        <v>1.6</v>
      </c>
      <c r="U130" s="50">
        <v>1.8</v>
      </c>
      <c r="V130" s="104">
        <v>2.2999999999999998</v>
      </c>
      <c r="W130" s="50">
        <v>0.8</v>
      </c>
      <c r="X130" s="50">
        <v>1</v>
      </c>
      <c r="Y130" s="50">
        <v>1.7</v>
      </c>
      <c r="Z130" s="50">
        <v>2.6</v>
      </c>
      <c r="AA130" s="104">
        <v>2.2999999999999998</v>
      </c>
      <c r="AB130" s="50">
        <v>1.2</v>
      </c>
      <c r="AC130" s="50">
        <v>2.2999999999999998</v>
      </c>
      <c r="AD130" s="50">
        <v>1.3</v>
      </c>
      <c r="AE130" s="50">
        <v>1.4</v>
      </c>
      <c r="AF130" s="50">
        <v>3.1</v>
      </c>
      <c r="AG130" s="50">
        <v>1.5</v>
      </c>
      <c r="AH130" s="50">
        <v>2.8</v>
      </c>
      <c r="AI130" s="104">
        <v>2.2999999999999998</v>
      </c>
      <c r="AJ130" s="50">
        <v>3.3</v>
      </c>
      <c r="AK130" s="642"/>
      <c r="AL130" s="642"/>
      <c r="AM130" s="42"/>
      <c r="AN130" s="6"/>
    </row>
    <row r="131" spans="1:40" s="7" customFormat="1">
      <c r="A131" s="13"/>
      <c r="B131" s="2"/>
      <c r="C131" s="2"/>
      <c r="D131" s="371" t="s">
        <v>425</v>
      </c>
      <c r="E131" s="372"/>
      <c r="F131" s="642"/>
      <c r="G131" s="642"/>
      <c r="H131" s="642"/>
      <c r="I131" s="642"/>
      <c r="J131" s="642"/>
      <c r="K131" s="642"/>
      <c r="L131" s="642"/>
      <c r="M131" s="642"/>
      <c r="N131" s="642"/>
      <c r="O131" s="642"/>
      <c r="P131" s="642"/>
      <c r="Q131" s="642"/>
      <c r="R131" s="223" t="s">
        <v>82</v>
      </c>
      <c r="S131" s="642"/>
      <c r="T131" s="642"/>
      <c r="U131" s="642"/>
      <c r="V131" s="223" t="s">
        <v>82</v>
      </c>
      <c r="W131" s="642"/>
      <c r="X131" s="642"/>
      <c r="Y131" s="642"/>
      <c r="Z131" s="642"/>
      <c r="AA131" s="223" t="s">
        <v>82</v>
      </c>
      <c r="AB131" s="642"/>
      <c r="AC131" s="642"/>
      <c r="AD131" s="642"/>
      <c r="AE131" s="642"/>
      <c r="AF131" s="642"/>
      <c r="AG131" s="37"/>
      <c r="AH131" s="642"/>
      <c r="AI131" s="223" t="s">
        <v>82</v>
      </c>
      <c r="AJ131" s="642"/>
      <c r="AK131" s="642"/>
      <c r="AL131" s="642"/>
      <c r="AM131" s="42"/>
      <c r="AN131" s="6"/>
    </row>
    <row r="132" spans="1:40" s="7" customFormat="1">
      <c r="A132" s="13"/>
      <c r="B132" s="2"/>
      <c r="C132" s="2"/>
      <c r="D132" s="371" t="s">
        <v>42</v>
      </c>
      <c r="E132" s="370">
        <v>2015</v>
      </c>
      <c r="F132" s="642"/>
      <c r="G132" s="642"/>
      <c r="H132" s="642"/>
      <c r="I132" s="642"/>
      <c r="J132" s="642"/>
      <c r="K132" s="642"/>
      <c r="L132" s="642"/>
      <c r="M132" s="642"/>
      <c r="N132" s="642"/>
      <c r="O132" s="642"/>
      <c r="P132" s="642"/>
      <c r="Q132" s="642"/>
      <c r="R132" s="642"/>
      <c r="S132" s="642"/>
      <c r="T132" s="642"/>
      <c r="U132" s="642"/>
      <c r="V132" s="642"/>
      <c r="W132" s="642"/>
      <c r="X132" s="642"/>
      <c r="Y132" s="642"/>
      <c r="Z132" s="642"/>
      <c r="AA132" s="642"/>
      <c r="AB132" s="642"/>
      <c r="AC132" s="642"/>
      <c r="AD132" s="642"/>
      <c r="AE132" s="642"/>
      <c r="AF132" s="642"/>
      <c r="AG132" s="37"/>
      <c r="AH132" s="642"/>
      <c r="AI132" s="642"/>
      <c r="AJ132" s="642"/>
      <c r="AK132" s="642"/>
      <c r="AL132" s="642"/>
      <c r="AM132" s="42"/>
      <c r="AN132" s="6"/>
    </row>
    <row r="133" spans="1:40" s="7" customFormat="1">
      <c r="A133" s="13"/>
      <c r="B133" s="2"/>
      <c r="C133" s="2"/>
      <c r="D133" s="371" t="s">
        <v>1</v>
      </c>
      <c r="E133" s="372" t="s">
        <v>130</v>
      </c>
      <c r="F133" s="642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642"/>
      <c r="AK133" s="642"/>
      <c r="AL133" s="642"/>
      <c r="AM133" s="42"/>
      <c r="AN133" s="6"/>
    </row>
    <row r="134" spans="1:40" s="7" customFormat="1" ht="15.75" thickBot="1">
      <c r="A134" s="79"/>
      <c r="B134" s="80"/>
      <c r="C134" s="52"/>
      <c r="D134" s="81"/>
      <c r="E134" s="319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1"/>
      <c r="AH134" s="52"/>
      <c r="AI134" s="52"/>
      <c r="AJ134" s="52"/>
      <c r="AK134" s="52"/>
      <c r="AL134" s="52"/>
      <c r="AM134" s="53"/>
      <c r="AN134" s="6"/>
    </row>
    <row r="135" spans="1:40" s="7" customFormat="1" ht="15.75" thickBot="1">
      <c r="AI135" s="6"/>
      <c r="AJ135" s="6"/>
      <c r="AK135" s="6"/>
      <c r="AL135" s="6"/>
      <c r="AM135" s="6"/>
      <c r="AN135" s="6"/>
    </row>
    <row r="136" spans="1:40" s="7" customFormat="1" ht="19.5" thickBot="1">
      <c r="A136" s="775" t="s">
        <v>485</v>
      </c>
      <c r="B136" s="770"/>
      <c r="C136" s="770"/>
      <c r="D136" s="770"/>
      <c r="E136" s="770"/>
      <c r="F136" s="770"/>
      <c r="G136" s="770"/>
      <c r="H136" s="770"/>
      <c r="I136" s="770"/>
      <c r="J136" s="770"/>
      <c r="K136" s="770"/>
      <c r="L136" s="770"/>
      <c r="M136" s="770"/>
      <c r="N136" s="770"/>
      <c r="O136" s="770"/>
      <c r="P136" s="770"/>
      <c r="Q136" s="770"/>
      <c r="R136" s="770"/>
      <c r="S136" s="770"/>
      <c r="T136" s="770"/>
      <c r="U136" s="770"/>
      <c r="V136" s="770"/>
      <c r="W136" s="770"/>
      <c r="X136" s="770"/>
      <c r="Y136" s="770"/>
      <c r="Z136" s="770"/>
      <c r="AA136" s="770"/>
      <c r="AB136" s="770"/>
      <c r="AC136" s="770"/>
      <c r="AD136" s="770"/>
      <c r="AE136" s="770"/>
      <c r="AF136" s="770"/>
      <c r="AG136" s="770"/>
      <c r="AH136" s="770"/>
      <c r="AI136" s="770"/>
      <c r="AJ136" s="770"/>
      <c r="AK136" s="770"/>
      <c r="AL136" s="770"/>
      <c r="AM136" s="771"/>
      <c r="AN136" s="6"/>
    </row>
    <row r="137" spans="1:40">
      <c r="A137" s="24"/>
      <c r="B137" s="25"/>
      <c r="C137" s="65"/>
      <c r="D137" s="25"/>
      <c r="E137" s="350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58"/>
      <c r="AH137" s="25"/>
      <c r="AI137" s="25"/>
      <c r="AJ137" s="25"/>
      <c r="AK137" s="25"/>
      <c r="AL137" s="25"/>
      <c r="AM137" s="26"/>
    </row>
    <row r="138" spans="1:40" s="7" customFormat="1">
      <c r="A138" s="672" t="s">
        <v>714</v>
      </c>
      <c r="B138" s="565"/>
      <c r="C138" s="565" t="s">
        <v>47</v>
      </c>
      <c r="D138" s="566" t="s">
        <v>48</v>
      </c>
      <c r="E138" s="565" t="s">
        <v>4</v>
      </c>
      <c r="F138" s="565" t="s">
        <v>5</v>
      </c>
      <c r="G138" s="565" t="s">
        <v>6</v>
      </c>
      <c r="H138" s="565" t="s">
        <v>15</v>
      </c>
      <c r="I138" s="565" t="s">
        <v>7</v>
      </c>
      <c r="J138" s="565" t="s">
        <v>8</v>
      </c>
      <c r="K138" s="565" t="s">
        <v>9</v>
      </c>
      <c r="L138" s="565" t="s">
        <v>10</v>
      </c>
      <c r="M138" s="565" t="s">
        <v>2</v>
      </c>
      <c r="N138" s="565" t="s">
        <v>12</v>
      </c>
      <c r="O138" s="565" t="s">
        <v>30</v>
      </c>
      <c r="P138" s="565" t="s">
        <v>13</v>
      </c>
      <c r="Q138" s="565" t="s">
        <v>14</v>
      </c>
      <c r="R138" s="565" t="s">
        <v>45</v>
      </c>
      <c r="S138" s="565" t="s">
        <v>16</v>
      </c>
      <c r="T138" s="565" t="s">
        <v>17</v>
      </c>
      <c r="U138" s="565" t="s">
        <v>20</v>
      </c>
      <c r="V138" s="565" t="s">
        <v>154</v>
      </c>
      <c r="W138" s="565" t="s">
        <v>18</v>
      </c>
      <c r="X138" s="565" t="s">
        <v>19</v>
      </c>
      <c r="Y138" s="565" t="s">
        <v>21</v>
      </c>
      <c r="Z138" s="565" t="s">
        <v>22</v>
      </c>
      <c r="AA138" s="565" t="s">
        <v>29</v>
      </c>
      <c r="AB138" s="565" t="s">
        <v>23</v>
      </c>
      <c r="AC138" s="565" t="s">
        <v>24</v>
      </c>
      <c r="AD138" s="565" t="s">
        <v>25</v>
      </c>
      <c r="AE138" s="565" t="s">
        <v>28</v>
      </c>
      <c r="AF138" s="565" t="s">
        <v>27</v>
      </c>
      <c r="AG138" s="565" t="s">
        <v>11</v>
      </c>
      <c r="AH138" s="565" t="s">
        <v>26</v>
      </c>
      <c r="AI138" s="565" t="s">
        <v>46</v>
      </c>
      <c r="AJ138" s="565" t="s">
        <v>31</v>
      </c>
      <c r="AK138" s="645"/>
      <c r="AL138" s="645"/>
      <c r="AM138" s="42"/>
      <c r="AN138" s="6"/>
    </row>
    <row r="139" spans="1:40" s="7" customFormat="1">
      <c r="A139" s="673">
        <v>2021</v>
      </c>
      <c r="B139" s="552"/>
      <c r="C139" s="552"/>
      <c r="D139" s="647"/>
      <c r="E139" s="649">
        <v>8970.0418125242413</v>
      </c>
      <c r="F139" s="649">
        <v>9484.5160815676136</v>
      </c>
      <c r="G139" s="649">
        <v>8452.0349605494575</v>
      </c>
      <c r="H139" s="649">
        <v>6487.8218682335937</v>
      </c>
      <c r="I139" s="649">
        <v>7757.4025622567233</v>
      </c>
      <c r="J139" s="649">
        <v>7491.5917593037138</v>
      </c>
      <c r="K139" s="649">
        <v>10619.325978210618</v>
      </c>
      <c r="L139" s="649">
        <v>10221.459910814488</v>
      </c>
      <c r="M139" s="649">
        <v>12289.839372885832</v>
      </c>
      <c r="N139" s="649">
        <v>11452.017290637184</v>
      </c>
      <c r="O139" s="649">
        <v>11266.430787082507</v>
      </c>
      <c r="P139" s="649">
        <v>9834.5134190144236</v>
      </c>
      <c r="Q139" s="649">
        <v>6743.9187866940065</v>
      </c>
      <c r="R139" s="649">
        <v>16080.5781381099</v>
      </c>
      <c r="S139" s="649">
        <v>11785.626724936825</v>
      </c>
      <c r="T139" s="649">
        <v>12444.794601128844</v>
      </c>
      <c r="U139" s="649">
        <v>8228.6259277475547</v>
      </c>
      <c r="V139" s="652"/>
      <c r="W139" s="649">
        <v>11001.236487658462</v>
      </c>
      <c r="X139" s="649">
        <v>12765.498891072868</v>
      </c>
      <c r="Y139" s="649">
        <v>5270.8573058485272</v>
      </c>
      <c r="Z139" s="649">
        <v>8446.9117123570486</v>
      </c>
      <c r="AA139" s="649">
        <v>12671.393227642182</v>
      </c>
      <c r="AB139" s="649">
        <v>5777.7793226070908</v>
      </c>
      <c r="AC139" s="649">
        <v>9512.6067031102411</v>
      </c>
      <c r="AD139" s="649">
        <v>5596.0494247291699</v>
      </c>
      <c r="AE139" s="649">
        <v>5412.7575023540339</v>
      </c>
      <c r="AF139" s="649">
        <v>13348.646246340531</v>
      </c>
      <c r="AG139" s="649">
        <v>7388.5637462906834</v>
      </c>
      <c r="AH139" s="649">
        <v>11423.774107200925</v>
      </c>
      <c r="AI139" s="649">
        <v>11427.641256281695</v>
      </c>
      <c r="AJ139" s="649">
        <v>10062.301353275248</v>
      </c>
      <c r="AK139" s="645"/>
      <c r="AL139" s="645"/>
      <c r="AM139" s="42"/>
      <c r="AN139" s="6"/>
    </row>
    <row r="140" spans="1:40" s="7" customFormat="1">
      <c r="A140" s="673"/>
      <c r="B140" s="552"/>
      <c r="C140" s="552"/>
      <c r="D140" s="650" t="s">
        <v>425</v>
      </c>
      <c r="E140" s="649"/>
      <c r="F140" s="649"/>
      <c r="G140" s="649"/>
      <c r="H140" s="649"/>
      <c r="I140" s="649"/>
      <c r="J140" s="649"/>
      <c r="K140" s="649"/>
      <c r="L140" s="649"/>
      <c r="M140" s="649"/>
      <c r="N140" s="649"/>
      <c r="O140" s="649"/>
      <c r="P140" s="649"/>
      <c r="Q140" s="649"/>
      <c r="R140" s="649"/>
      <c r="S140" s="649"/>
      <c r="T140" s="649"/>
      <c r="U140" s="649"/>
      <c r="V140" s="649"/>
      <c r="W140" s="649"/>
      <c r="X140" s="649"/>
      <c r="Y140" s="649"/>
      <c r="Z140" s="649"/>
      <c r="AA140" s="649"/>
      <c r="AB140" s="649"/>
      <c r="AC140" s="649"/>
      <c r="AD140" s="649"/>
      <c r="AE140" s="649"/>
      <c r="AF140" s="649"/>
      <c r="AG140" s="649"/>
      <c r="AH140" s="649"/>
      <c r="AI140" s="649"/>
      <c r="AJ140" s="649"/>
      <c r="AK140" s="645"/>
      <c r="AL140" s="645"/>
      <c r="AM140" s="42"/>
      <c r="AN140" s="6"/>
    </row>
    <row r="141" spans="1:40" s="7" customFormat="1">
      <c r="A141" s="673"/>
      <c r="B141" s="552"/>
      <c r="C141" s="552"/>
      <c r="D141" s="650" t="s">
        <v>42</v>
      </c>
      <c r="E141" s="648">
        <v>2018</v>
      </c>
      <c r="F141" s="649"/>
      <c r="G141" s="649"/>
      <c r="H141" s="649"/>
      <c r="I141" s="649"/>
      <c r="J141" s="649"/>
      <c r="K141" s="649"/>
      <c r="L141" s="649"/>
      <c r="M141" s="649"/>
      <c r="N141" s="649"/>
      <c r="O141" s="649"/>
      <c r="P141" s="649"/>
      <c r="Q141" s="649"/>
      <c r="R141" s="649"/>
      <c r="S141" s="649"/>
      <c r="T141" s="649"/>
      <c r="U141" s="649"/>
      <c r="V141" s="649"/>
      <c r="W141" s="649"/>
      <c r="X141" s="649"/>
      <c r="Y141" s="649"/>
      <c r="Z141" s="649"/>
      <c r="AA141" s="649"/>
      <c r="AB141" s="649"/>
      <c r="AC141" s="649"/>
      <c r="AD141" s="649"/>
      <c r="AE141" s="649"/>
      <c r="AF141" s="649"/>
      <c r="AG141" s="649"/>
      <c r="AH141" s="649"/>
      <c r="AI141" s="649"/>
      <c r="AJ141" s="649"/>
      <c r="AK141" s="645"/>
      <c r="AL141" s="645"/>
      <c r="AM141" s="42"/>
      <c r="AN141" s="6"/>
    </row>
    <row r="142" spans="1:40" s="7" customFormat="1">
      <c r="A142" s="673"/>
      <c r="B142" s="552"/>
      <c r="C142" s="552"/>
      <c r="D142" s="650" t="s">
        <v>1</v>
      </c>
      <c r="E142" s="648" t="s">
        <v>96</v>
      </c>
      <c r="F142" s="649"/>
      <c r="G142" s="649"/>
      <c r="H142" s="649"/>
      <c r="I142" s="649"/>
      <c r="J142" s="649"/>
      <c r="K142" s="649"/>
      <c r="L142" s="649"/>
      <c r="M142" s="649"/>
      <c r="N142" s="649"/>
      <c r="O142" s="649"/>
      <c r="P142" s="649"/>
      <c r="Q142" s="649"/>
      <c r="R142" s="649"/>
      <c r="S142" s="649"/>
      <c r="T142" s="649"/>
      <c r="U142" s="649"/>
      <c r="V142" s="649"/>
      <c r="W142" s="649"/>
      <c r="X142" s="649"/>
      <c r="Y142" s="649"/>
      <c r="Z142" s="649"/>
      <c r="AA142" s="649"/>
      <c r="AB142" s="649"/>
      <c r="AC142" s="649"/>
      <c r="AD142" s="649"/>
      <c r="AE142" s="649"/>
      <c r="AF142" s="649"/>
      <c r="AG142" s="649"/>
      <c r="AH142" s="649"/>
      <c r="AI142" s="649"/>
      <c r="AJ142" s="649"/>
      <c r="AK142" s="645"/>
      <c r="AL142" s="645"/>
      <c r="AM142" s="42"/>
      <c r="AN142" s="6"/>
    </row>
    <row r="143" spans="1:40" s="7" customFormat="1">
      <c r="A143" s="673"/>
      <c r="B143" s="552"/>
      <c r="C143" s="552"/>
      <c r="D143" s="650" t="s">
        <v>673</v>
      </c>
      <c r="E143" s="648"/>
      <c r="F143" s="649"/>
      <c r="G143" s="649"/>
      <c r="H143" s="649"/>
      <c r="I143" s="649"/>
      <c r="J143" s="649"/>
      <c r="K143" s="649"/>
      <c r="L143" s="649"/>
      <c r="M143" s="649"/>
      <c r="N143" s="649"/>
      <c r="O143" s="649"/>
      <c r="P143" s="649"/>
      <c r="Q143" s="649"/>
      <c r="R143" s="649"/>
      <c r="S143" s="649"/>
      <c r="T143" s="649"/>
      <c r="U143" s="649"/>
      <c r="V143" s="649"/>
      <c r="W143" s="649"/>
      <c r="X143" s="649"/>
      <c r="Y143" s="649"/>
      <c r="Z143" s="649"/>
      <c r="AA143" s="649"/>
      <c r="AB143" s="649"/>
      <c r="AC143" s="649"/>
      <c r="AD143" s="649"/>
      <c r="AE143" s="649"/>
      <c r="AF143" s="649"/>
      <c r="AG143" s="649"/>
      <c r="AH143" s="649"/>
      <c r="AI143" s="649"/>
      <c r="AJ143" s="649"/>
      <c r="AK143" s="645"/>
      <c r="AL143" s="645"/>
      <c r="AM143" s="42"/>
      <c r="AN143" s="6"/>
    </row>
    <row r="144" spans="1:40" s="7" customFormat="1">
      <c r="A144" s="673"/>
      <c r="B144" s="552"/>
      <c r="C144" s="552"/>
      <c r="D144" s="650" t="s">
        <v>42</v>
      </c>
      <c r="E144" s="648">
        <v>2015</v>
      </c>
      <c r="F144" s="649"/>
      <c r="G144" s="649"/>
      <c r="H144" s="649"/>
      <c r="I144" s="649"/>
      <c r="J144" s="649"/>
      <c r="K144" s="649"/>
      <c r="L144" s="649"/>
      <c r="M144" s="649"/>
      <c r="N144" s="649"/>
      <c r="O144" s="649"/>
      <c r="P144" s="649"/>
      <c r="Q144" s="649"/>
      <c r="R144" s="649"/>
      <c r="S144" s="649"/>
      <c r="T144" s="649"/>
      <c r="U144" s="649"/>
      <c r="V144" s="649"/>
      <c r="W144" s="649"/>
      <c r="X144" s="649"/>
      <c r="Y144" s="649"/>
      <c r="Z144" s="649"/>
      <c r="AA144" s="649"/>
      <c r="AB144" s="649"/>
      <c r="AC144" s="649"/>
      <c r="AD144" s="649"/>
      <c r="AE144" s="649"/>
      <c r="AF144" s="649"/>
      <c r="AG144" s="649"/>
      <c r="AH144" s="649"/>
      <c r="AI144" s="649"/>
      <c r="AJ144" s="649"/>
      <c r="AK144" s="645"/>
      <c r="AL144" s="645"/>
      <c r="AM144" s="42"/>
      <c r="AN144" s="6"/>
    </row>
    <row r="145" spans="1:40" s="7" customFormat="1">
      <c r="A145" s="673"/>
      <c r="B145" s="552"/>
      <c r="C145" s="552"/>
      <c r="D145" s="650" t="s">
        <v>1</v>
      </c>
      <c r="E145" s="648" t="s">
        <v>130</v>
      </c>
      <c r="F145" s="649"/>
      <c r="G145" s="649"/>
      <c r="H145" s="649"/>
      <c r="I145" s="649"/>
      <c r="J145" s="649"/>
      <c r="K145" s="649"/>
      <c r="L145" s="649"/>
      <c r="M145" s="649"/>
      <c r="N145" s="649"/>
      <c r="O145" s="649"/>
      <c r="P145" s="649"/>
      <c r="Q145" s="649"/>
      <c r="R145" s="649"/>
      <c r="S145" s="649"/>
      <c r="T145" s="649"/>
      <c r="U145" s="649"/>
      <c r="V145" s="649"/>
      <c r="W145" s="649"/>
      <c r="X145" s="649"/>
      <c r="Y145" s="649"/>
      <c r="Z145" s="649"/>
      <c r="AA145" s="649"/>
      <c r="AB145" s="649"/>
      <c r="AC145" s="649"/>
      <c r="AD145" s="649"/>
      <c r="AE145" s="649"/>
      <c r="AF145" s="649"/>
      <c r="AG145" s="649"/>
      <c r="AH145" s="649"/>
      <c r="AI145" s="649"/>
      <c r="AJ145" s="649"/>
      <c r="AK145" s="645"/>
      <c r="AL145" s="645"/>
      <c r="AM145" s="42"/>
      <c r="AN145" s="6"/>
    </row>
    <row r="146" spans="1:40" s="7" customFormat="1">
      <c r="A146" s="43"/>
      <c r="B146" s="645"/>
      <c r="C146" s="106"/>
      <c r="D146" s="645"/>
      <c r="E146" s="352"/>
      <c r="F146" s="645"/>
      <c r="G146" s="645"/>
      <c r="H146" s="645"/>
      <c r="I146" s="645"/>
      <c r="J146" s="645"/>
      <c r="K146" s="645"/>
      <c r="L146" s="645"/>
      <c r="M146" s="645"/>
      <c r="N146" s="645"/>
      <c r="O146" s="645"/>
      <c r="P146" s="645"/>
      <c r="Q146" s="645"/>
      <c r="R146" s="645"/>
      <c r="S146" s="645"/>
      <c r="T146" s="645"/>
      <c r="U146" s="645"/>
      <c r="V146" s="645"/>
      <c r="W146" s="645"/>
      <c r="X146" s="645"/>
      <c r="Y146" s="645"/>
      <c r="Z146" s="645"/>
      <c r="AA146" s="645"/>
      <c r="AB146" s="645"/>
      <c r="AC146" s="645"/>
      <c r="AD146" s="645"/>
      <c r="AE146" s="645"/>
      <c r="AF146" s="645"/>
      <c r="AG146" s="37"/>
      <c r="AH146" s="645"/>
      <c r="AI146" s="645"/>
      <c r="AJ146" s="645"/>
      <c r="AK146" s="645"/>
      <c r="AL146" s="645"/>
      <c r="AM146" s="42"/>
      <c r="AN146" s="6"/>
    </row>
    <row r="147" spans="1:40" s="7" customFormat="1">
      <c r="A147" s="43" t="s">
        <v>715</v>
      </c>
      <c r="B147" s="41"/>
      <c r="C147" s="41"/>
      <c r="D147" s="41"/>
      <c r="E147" s="352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37"/>
      <c r="AH147" s="41"/>
      <c r="AI147" s="41"/>
      <c r="AJ147" s="41"/>
      <c r="AK147" s="645"/>
      <c r="AL147" s="645"/>
      <c r="AM147" s="42"/>
      <c r="AN147" s="6"/>
    </row>
    <row r="148" spans="1:40" s="7" customFormat="1">
      <c r="A148" s="63" t="s">
        <v>447</v>
      </c>
      <c r="B148" s="64"/>
      <c r="C148" s="64"/>
      <c r="D148" s="64" t="s">
        <v>82</v>
      </c>
      <c r="E148" s="313" t="s">
        <v>4</v>
      </c>
      <c r="F148" s="64" t="s">
        <v>5</v>
      </c>
      <c r="G148" s="64" t="s">
        <v>6</v>
      </c>
      <c r="H148" s="64" t="s">
        <v>15</v>
      </c>
      <c r="I148" s="64" t="s">
        <v>7</v>
      </c>
      <c r="J148" s="64" t="s">
        <v>8</v>
      </c>
      <c r="K148" s="64" t="s">
        <v>9</v>
      </c>
      <c r="L148" s="64" t="s">
        <v>10</v>
      </c>
      <c r="M148" s="64" t="s">
        <v>2</v>
      </c>
      <c r="N148" s="64" t="s">
        <v>12</v>
      </c>
      <c r="O148" s="64" t="s">
        <v>30</v>
      </c>
      <c r="P148" s="64" t="s">
        <v>13</v>
      </c>
      <c r="Q148" s="64" t="s">
        <v>14</v>
      </c>
      <c r="R148" s="64" t="s">
        <v>45</v>
      </c>
      <c r="S148" s="64" t="s">
        <v>16</v>
      </c>
      <c r="T148" s="64" t="s">
        <v>17</v>
      </c>
      <c r="U148" s="64" t="s">
        <v>20</v>
      </c>
      <c r="V148" s="194" t="s">
        <v>154</v>
      </c>
      <c r="W148" s="64" t="s">
        <v>18</v>
      </c>
      <c r="X148" s="64" t="s">
        <v>19</v>
      </c>
      <c r="Y148" s="64" t="s">
        <v>21</v>
      </c>
      <c r="Z148" s="64" t="s">
        <v>22</v>
      </c>
      <c r="AA148" s="64" t="s">
        <v>29</v>
      </c>
      <c r="AB148" s="64" t="s">
        <v>23</v>
      </c>
      <c r="AC148" s="64" t="s">
        <v>24</v>
      </c>
      <c r="AD148" s="64" t="s">
        <v>25</v>
      </c>
      <c r="AE148" s="64" t="s">
        <v>28</v>
      </c>
      <c r="AF148" s="64" t="s">
        <v>27</v>
      </c>
      <c r="AG148" s="64" t="s">
        <v>11</v>
      </c>
      <c r="AH148" s="64" t="s">
        <v>26</v>
      </c>
      <c r="AI148" s="64" t="s">
        <v>46</v>
      </c>
      <c r="AJ148" s="194" t="s">
        <v>31</v>
      </c>
      <c r="AK148" s="645"/>
      <c r="AL148" s="645"/>
      <c r="AM148" s="42"/>
      <c r="AN148" s="6"/>
    </row>
    <row r="149" spans="1:40" s="7" customFormat="1">
      <c r="A149" s="27" t="s">
        <v>84</v>
      </c>
      <c r="B149" s="49"/>
      <c r="C149" s="388"/>
      <c r="D149" s="409">
        <v>0.8</v>
      </c>
      <c r="E149" s="50">
        <v>1</v>
      </c>
      <c r="F149" s="388">
        <v>0.8</v>
      </c>
      <c r="G149" s="388">
        <v>5.7</v>
      </c>
      <c r="H149" s="388">
        <v>2.4</v>
      </c>
      <c r="I149" s="50">
        <v>4</v>
      </c>
      <c r="J149" s="388">
        <v>0</v>
      </c>
      <c r="K149" s="388">
        <v>0.1</v>
      </c>
      <c r="L149" s="388">
        <v>4.3</v>
      </c>
      <c r="M149" s="388">
        <v>1.5</v>
      </c>
      <c r="N149" s="388">
        <v>0.7</v>
      </c>
      <c r="O149" s="388">
        <v>0.6</v>
      </c>
      <c r="P149" s="388">
        <v>4.7</v>
      </c>
      <c r="Q149" s="388">
        <v>1.4</v>
      </c>
      <c r="R149" s="102">
        <v>0.8</v>
      </c>
      <c r="S149" s="50">
        <v>3.3</v>
      </c>
      <c r="T149" s="388">
        <v>-0.2</v>
      </c>
      <c r="U149" s="388">
        <v>0.8</v>
      </c>
      <c r="V149" s="388">
        <v>2.4</v>
      </c>
      <c r="W149" s="388">
        <v>1.5</v>
      </c>
      <c r="X149" s="50">
        <v>2</v>
      </c>
      <c r="Y149" s="102">
        <v>0.8</v>
      </c>
      <c r="Z149" s="388">
        <v>-0.4</v>
      </c>
      <c r="AA149" s="102">
        <v>0.8</v>
      </c>
      <c r="AB149" s="102">
        <v>0.8</v>
      </c>
      <c r="AC149" s="388">
        <v>3.8</v>
      </c>
      <c r="AD149" s="388">
        <v>1.7</v>
      </c>
      <c r="AE149" s="50">
        <v>3.9</v>
      </c>
      <c r="AF149" s="102">
        <v>0.8</v>
      </c>
      <c r="AG149" s="388">
        <v>1.2</v>
      </c>
      <c r="AH149" s="50">
        <v>2.4</v>
      </c>
      <c r="AI149" s="388">
        <v>1.3</v>
      </c>
      <c r="AJ149" s="50">
        <v>0.7</v>
      </c>
      <c r="AK149" s="645"/>
      <c r="AL149" s="645"/>
      <c r="AM149" s="42"/>
      <c r="AN149" s="6"/>
    </row>
    <row r="150" spans="1:40" s="7" customFormat="1">
      <c r="A150" s="27" t="s">
        <v>85</v>
      </c>
      <c r="B150" s="49"/>
      <c r="C150" s="388"/>
      <c r="D150" s="410">
        <v>0.8</v>
      </c>
      <c r="E150" s="50">
        <v>0.7</v>
      </c>
      <c r="F150" s="388">
        <v>0.9</v>
      </c>
      <c r="G150" s="388">
        <v>1.3</v>
      </c>
      <c r="H150" s="388">
        <v>1.2</v>
      </c>
      <c r="I150" s="50">
        <v>0.9</v>
      </c>
      <c r="J150" s="388">
        <v>1.1000000000000001</v>
      </c>
      <c r="K150" s="388">
        <v>1.1000000000000001</v>
      </c>
      <c r="L150" s="388">
        <v>1.4</v>
      </c>
      <c r="M150" s="388">
        <v>0.4</v>
      </c>
      <c r="N150" s="50">
        <v>1.1000000000000001</v>
      </c>
      <c r="O150" s="388">
        <v>0.5</v>
      </c>
      <c r="P150" s="388">
        <v>0.2</v>
      </c>
      <c r="Q150" s="388">
        <v>1.1000000000000001</v>
      </c>
      <c r="R150" s="102">
        <v>0.8</v>
      </c>
      <c r="S150" s="388">
        <v>0.8</v>
      </c>
      <c r="T150" s="388">
        <v>0.5</v>
      </c>
      <c r="U150" s="388">
        <v>0.7</v>
      </c>
      <c r="V150" s="388">
        <v>0.8</v>
      </c>
      <c r="W150" s="50">
        <v>2</v>
      </c>
      <c r="X150" s="50">
        <v>0.5</v>
      </c>
      <c r="Y150" s="102">
        <v>0.8</v>
      </c>
      <c r="Z150" s="388">
        <v>0.6</v>
      </c>
      <c r="AA150" s="102">
        <v>0.8</v>
      </c>
      <c r="AB150" s="102">
        <v>0.8</v>
      </c>
      <c r="AC150" s="388">
        <v>2.7</v>
      </c>
      <c r="AD150" s="388">
        <v>0.1</v>
      </c>
      <c r="AE150" s="388">
        <v>1.7</v>
      </c>
      <c r="AF150" s="102">
        <v>0.8</v>
      </c>
      <c r="AG150" s="50">
        <v>2.1</v>
      </c>
      <c r="AH150" s="50">
        <v>1</v>
      </c>
      <c r="AI150" s="388">
        <v>0.5</v>
      </c>
      <c r="AJ150" s="50">
        <v>0.7</v>
      </c>
      <c r="AK150" s="645"/>
      <c r="AL150" s="645"/>
      <c r="AM150" s="42"/>
      <c r="AN150" s="6"/>
    </row>
    <row r="151" spans="1:40" s="7" customFormat="1">
      <c r="A151" s="27" t="s">
        <v>83</v>
      </c>
      <c r="B151" s="49"/>
      <c r="C151" s="41"/>
      <c r="D151" s="102">
        <v>0.8</v>
      </c>
      <c r="E151" s="357">
        <v>0.6</v>
      </c>
      <c r="F151" s="41">
        <v>0.8</v>
      </c>
      <c r="G151" s="41">
        <v>0.7</v>
      </c>
      <c r="H151" s="41">
        <v>0.9</v>
      </c>
      <c r="I151" s="50">
        <v>0.8</v>
      </c>
      <c r="J151" s="41">
        <v>1.4</v>
      </c>
      <c r="K151" s="41">
        <v>0.7</v>
      </c>
      <c r="L151" s="41">
        <v>0.5</v>
      </c>
      <c r="M151" s="41">
        <v>0.4</v>
      </c>
      <c r="N151" s="41">
        <v>0.6</v>
      </c>
      <c r="O151" s="41">
        <v>0.4</v>
      </c>
      <c r="P151" s="41">
        <v>0.2</v>
      </c>
      <c r="Q151" s="41">
        <v>1.2</v>
      </c>
      <c r="R151" s="102">
        <v>0.8</v>
      </c>
      <c r="S151" s="41">
        <v>1.8</v>
      </c>
      <c r="T151" s="41">
        <v>0.6</v>
      </c>
      <c r="U151" s="41">
        <v>0.7</v>
      </c>
      <c r="V151" s="102">
        <v>0.8</v>
      </c>
      <c r="W151" s="41">
        <v>0.7</v>
      </c>
      <c r="X151" s="50">
        <v>2</v>
      </c>
      <c r="Y151" s="50">
        <v>0.4</v>
      </c>
      <c r="Z151" s="41">
        <v>0.6</v>
      </c>
      <c r="AA151" s="102">
        <v>0.8</v>
      </c>
      <c r="AB151" s="41">
        <v>1.5</v>
      </c>
      <c r="AC151" s="41">
        <v>1.2</v>
      </c>
      <c r="AD151" s="50">
        <v>2</v>
      </c>
      <c r="AE151" s="41">
        <v>2.4</v>
      </c>
      <c r="AF151" s="50">
        <v>0.9</v>
      </c>
      <c r="AG151" s="41">
        <v>1.4</v>
      </c>
      <c r="AH151" s="50">
        <v>0.8</v>
      </c>
      <c r="AI151" s="102">
        <v>0.8</v>
      </c>
      <c r="AJ151" s="41">
        <v>0.8</v>
      </c>
      <c r="AK151" s="645"/>
      <c r="AL151" s="645"/>
      <c r="AM151" s="42"/>
      <c r="AN151" s="6"/>
    </row>
    <row r="152" spans="1:40" s="7" customFormat="1">
      <c r="A152" s="27" t="s">
        <v>87</v>
      </c>
      <c r="B152" s="49"/>
      <c r="C152" s="41"/>
      <c r="D152" s="102">
        <v>0.5</v>
      </c>
      <c r="E152" s="357">
        <v>0.6</v>
      </c>
      <c r="F152" s="41">
        <v>0.6</v>
      </c>
      <c r="G152" s="41">
        <v>0.4</v>
      </c>
      <c r="H152" s="41">
        <v>0.7</v>
      </c>
      <c r="I152" s="50">
        <v>1.1000000000000001</v>
      </c>
      <c r="J152" s="41">
        <v>1.1000000000000001</v>
      </c>
      <c r="K152" s="41">
        <v>0.3</v>
      </c>
      <c r="L152" s="41">
        <v>0.5</v>
      </c>
      <c r="M152" s="41">
        <v>0.2</v>
      </c>
      <c r="N152" s="41">
        <v>0.4</v>
      </c>
      <c r="O152" s="41">
        <v>0.2</v>
      </c>
      <c r="P152" s="41">
        <v>0.2</v>
      </c>
      <c r="Q152" s="41">
        <v>1.1000000000000001</v>
      </c>
      <c r="R152" s="102">
        <v>0.5</v>
      </c>
      <c r="S152" s="41">
        <v>0.8</v>
      </c>
      <c r="T152" s="41">
        <v>0.4</v>
      </c>
      <c r="U152" s="41">
        <v>0.4</v>
      </c>
      <c r="V152" s="102">
        <v>0.5</v>
      </c>
      <c r="W152" s="41">
        <v>0.1</v>
      </c>
      <c r="X152" s="41">
        <v>1.6</v>
      </c>
      <c r="Y152" s="50">
        <v>0.3</v>
      </c>
      <c r="Z152" s="41">
        <v>0.4</v>
      </c>
      <c r="AA152" s="102">
        <v>0.5</v>
      </c>
      <c r="AB152" s="41">
        <v>0.9</v>
      </c>
      <c r="AC152" s="41">
        <v>0.6</v>
      </c>
      <c r="AD152" s="41">
        <v>1.3</v>
      </c>
      <c r="AE152" s="41">
        <v>0.8</v>
      </c>
      <c r="AF152" s="50">
        <v>0.6</v>
      </c>
      <c r="AG152" s="41">
        <v>0.9</v>
      </c>
      <c r="AH152" s="50">
        <v>0.5</v>
      </c>
      <c r="AI152" s="102">
        <v>0.5</v>
      </c>
      <c r="AJ152" s="41">
        <v>0.6</v>
      </c>
      <c r="AK152" s="645"/>
      <c r="AL152" s="645"/>
      <c r="AM152" s="42"/>
      <c r="AN152" s="6"/>
    </row>
    <row r="153" spans="1:40" s="7" customFormat="1">
      <c r="A153" s="37" t="s">
        <v>88</v>
      </c>
      <c r="B153" s="49"/>
      <c r="C153" s="307"/>
      <c r="D153" s="102">
        <v>0.5</v>
      </c>
      <c r="E153" s="357">
        <v>0.6</v>
      </c>
      <c r="F153" s="41">
        <v>0.6</v>
      </c>
      <c r="G153" s="41">
        <v>0.4</v>
      </c>
      <c r="H153" s="41">
        <v>0.7</v>
      </c>
      <c r="I153" s="50">
        <v>1.1000000000000001</v>
      </c>
      <c r="J153" s="41">
        <v>1.1000000000000001</v>
      </c>
      <c r="K153" s="41">
        <v>0.3</v>
      </c>
      <c r="L153" s="41">
        <v>0.5</v>
      </c>
      <c r="M153" s="41">
        <v>0.2</v>
      </c>
      <c r="N153" s="41">
        <v>0.4</v>
      </c>
      <c r="O153" s="41">
        <v>0.2</v>
      </c>
      <c r="P153" s="41">
        <v>0.2</v>
      </c>
      <c r="Q153" s="41">
        <v>1.1000000000000001</v>
      </c>
      <c r="R153" s="102">
        <v>0.5</v>
      </c>
      <c r="S153" s="41">
        <v>0.8</v>
      </c>
      <c r="T153" s="41">
        <v>0.4</v>
      </c>
      <c r="U153" s="41">
        <v>0.4</v>
      </c>
      <c r="V153" s="102">
        <v>0.5</v>
      </c>
      <c r="W153" s="41">
        <v>0.1</v>
      </c>
      <c r="X153" s="41">
        <v>1.6</v>
      </c>
      <c r="Y153" s="50">
        <v>0.3</v>
      </c>
      <c r="Z153" s="41">
        <v>0.4</v>
      </c>
      <c r="AA153" s="102">
        <v>0.5</v>
      </c>
      <c r="AB153" s="41">
        <v>0.9</v>
      </c>
      <c r="AC153" s="41">
        <v>0.6</v>
      </c>
      <c r="AD153" s="41">
        <v>1.3</v>
      </c>
      <c r="AE153" s="41">
        <v>0.8</v>
      </c>
      <c r="AF153" s="41">
        <v>0.6</v>
      </c>
      <c r="AG153" s="41">
        <v>0.9</v>
      </c>
      <c r="AH153" s="50">
        <v>0.5</v>
      </c>
      <c r="AI153" s="102">
        <v>0.5</v>
      </c>
      <c r="AJ153" s="41">
        <v>0.6</v>
      </c>
      <c r="AK153" s="645"/>
      <c r="AL153" s="645"/>
      <c r="AM153" s="42"/>
      <c r="AN153" s="6"/>
    </row>
    <row r="154" spans="1:40" s="7" customFormat="1">
      <c r="A154" s="2"/>
      <c r="B154" s="49"/>
      <c r="C154" s="307"/>
      <c r="D154" s="379" t="s">
        <v>421</v>
      </c>
      <c r="E154" s="352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223" t="s">
        <v>82</v>
      </c>
      <c r="S154" s="223"/>
      <c r="T154" s="223"/>
      <c r="U154" s="223"/>
      <c r="V154" s="223" t="s">
        <v>82</v>
      </c>
      <c r="W154" s="223"/>
      <c r="X154" s="223"/>
      <c r="Y154" s="223"/>
      <c r="Z154" s="223"/>
      <c r="AA154" s="223" t="s">
        <v>82</v>
      </c>
      <c r="AB154" s="41"/>
      <c r="AC154" s="41"/>
      <c r="AD154" s="41"/>
      <c r="AE154" s="37"/>
      <c r="AF154" s="41"/>
      <c r="AG154" s="41"/>
      <c r="AH154" s="41"/>
      <c r="AI154" s="223" t="s">
        <v>82</v>
      </c>
      <c r="AJ154" s="41"/>
      <c r="AK154" s="645"/>
      <c r="AL154" s="645"/>
      <c r="AM154" s="42"/>
      <c r="AN154" s="6"/>
    </row>
    <row r="155" spans="1:40" s="7" customFormat="1">
      <c r="A155" s="2"/>
      <c r="B155" s="2"/>
      <c r="C155" s="2"/>
      <c r="D155" s="371" t="s">
        <v>42</v>
      </c>
      <c r="E155" s="370">
        <v>2015</v>
      </c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37"/>
      <c r="AH155" s="41"/>
      <c r="AI155" s="41"/>
      <c r="AJ155" s="41"/>
      <c r="AK155" s="645"/>
      <c r="AL155" s="645"/>
      <c r="AM155" s="42"/>
      <c r="AN155" s="6"/>
    </row>
    <row r="156" spans="1:40" s="7" customFormat="1">
      <c r="A156" s="2"/>
      <c r="B156" s="2"/>
      <c r="C156" s="2"/>
      <c r="D156" s="371" t="s">
        <v>1</v>
      </c>
      <c r="E156" s="372" t="s">
        <v>86</v>
      </c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37"/>
      <c r="AH156" s="41"/>
      <c r="AI156" s="41"/>
      <c r="AJ156" s="41"/>
      <c r="AK156" s="645"/>
      <c r="AL156" s="645"/>
      <c r="AM156" s="42"/>
      <c r="AN156" s="6"/>
    </row>
    <row r="157" spans="1:40" s="7" customFormat="1">
      <c r="A157" s="43"/>
      <c r="B157" s="645"/>
      <c r="C157" s="106"/>
      <c r="D157" s="645"/>
      <c r="E157" s="352"/>
      <c r="F157" s="645"/>
      <c r="G157" s="645"/>
      <c r="H157" s="645"/>
      <c r="I157" s="645"/>
      <c r="J157" s="645"/>
      <c r="K157" s="645"/>
      <c r="L157" s="645"/>
      <c r="M157" s="645"/>
      <c r="N157" s="645"/>
      <c r="O157" s="645"/>
      <c r="P157" s="645"/>
      <c r="Q157" s="645"/>
      <c r="R157" s="645"/>
      <c r="S157" s="645"/>
      <c r="T157" s="645"/>
      <c r="U157" s="645"/>
      <c r="V157" s="645"/>
      <c r="W157" s="645"/>
      <c r="X157" s="645"/>
      <c r="Y157" s="645"/>
      <c r="Z157" s="645"/>
      <c r="AA157" s="645"/>
      <c r="AB157" s="645"/>
      <c r="AC157" s="645"/>
      <c r="AD157" s="645"/>
      <c r="AE157" s="645"/>
      <c r="AF157" s="645"/>
      <c r="AG157" s="37"/>
      <c r="AH157" s="645"/>
      <c r="AI157" s="645"/>
      <c r="AJ157" s="645"/>
      <c r="AK157" s="645"/>
      <c r="AL157" s="645"/>
      <c r="AM157" s="42"/>
      <c r="AN157" s="6"/>
    </row>
    <row r="158" spans="1:40" s="7" customFormat="1">
      <c r="A158" s="128" t="s">
        <v>722</v>
      </c>
      <c r="B158" s="72"/>
      <c r="C158" s="72"/>
      <c r="D158" s="64" t="s">
        <v>82</v>
      </c>
      <c r="E158" s="313" t="s">
        <v>4</v>
      </c>
      <c r="F158" s="64" t="s">
        <v>5</v>
      </c>
      <c r="G158" s="64" t="s">
        <v>6</v>
      </c>
      <c r="H158" s="64" t="s">
        <v>15</v>
      </c>
      <c r="I158" s="64" t="s">
        <v>7</v>
      </c>
      <c r="J158" s="64" t="s">
        <v>8</v>
      </c>
      <c r="K158" s="64" t="s">
        <v>9</v>
      </c>
      <c r="L158" s="64" t="s">
        <v>10</v>
      </c>
      <c r="M158" s="64" t="s">
        <v>2</v>
      </c>
      <c r="N158" s="64" t="s">
        <v>12</v>
      </c>
      <c r="O158" s="64" t="s">
        <v>30</v>
      </c>
      <c r="P158" s="64" t="s">
        <v>13</v>
      </c>
      <c r="Q158" s="64" t="s">
        <v>14</v>
      </c>
      <c r="R158" s="64" t="s">
        <v>45</v>
      </c>
      <c r="S158" s="64" t="s">
        <v>16</v>
      </c>
      <c r="T158" s="64" t="s">
        <v>17</v>
      </c>
      <c r="U158" s="64" t="s">
        <v>20</v>
      </c>
      <c r="V158" s="194" t="s">
        <v>154</v>
      </c>
      <c r="W158" s="64" t="s">
        <v>18</v>
      </c>
      <c r="X158" s="64" t="s">
        <v>19</v>
      </c>
      <c r="Y158" s="64" t="s">
        <v>21</v>
      </c>
      <c r="Z158" s="64" t="s">
        <v>22</v>
      </c>
      <c r="AA158" s="64" t="s">
        <v>29</v>
      </c>
      <c r="AB158" s="64" t="s">
        <v>23</v>
      </c>
      <c r="AC158" s="64" t="s">
        <v>24</v>
      </c>
      <c r="AD158" s="64" t="s">
        <v>25</v>
      </c>
      <c r="AE158" s="64" t="s">
        <v>28</v>
      </c>
      <c r="AF158" s="64" t="s">
        <v>27</v>
      </c>
      <c r="AG158" s="64" t="s">
        <v>11</v>
      </c>
      <c r="AH158" s="64" t="s">
        <v>26</v>
      </c>
      <c r="AI158" s="64" t="s">
        <v>46</v>
      </c>
      <c r="AJ158" s="194" t="s">
        <v>31</v>
      </c>
      <c r="AK158" s="645"/>
      <c r="AL158" s="645"/>
      <c r="AM158" s="42"/>
      <c r="AN158" s="6"/>
    </row>
    <row r="159" spans="1:40" s="7" customFormat="1">
      <c r="A159" s="27" t="s">
        <v>207</v>
      </c>
      <c r="B159" s="37"/>
      <c r="C159" s="37"/>
      <c r="D159" s="119">
        <v>1.62</v>
      </c>
      <c r="E159" s="359">
        <v>1.18</v>
      </c>
      <c r="F159" s="119">
        <v>1.51</v>
      </c>
      <c r="G159" s="270">
        <v>1.56</v>
      </c>
      <c r="H159" s="270">
        <v>1.38</v>
      </c>
      <c r="I159" s="270">
        <v>1.46</v>
      </c>
      <c r="J159" s="270">
        <v>1.38</v>
      </c>
      <c r="K159" s="270">
        <v>1.56</v>
      </c>
      <c r="L159" s="270">
        <v>1.45</v>
      </c>
      <c r="M159" s="270">
        <v>1.4</v>
      </c>
      <c r="N159" s="270">
        <v>1.83</v>
      </c>
      <c r="O159" s="270">
        <v>1.49</v>
      </c>
      <c r="P159" s="270">
        <v>1.5</v>
      </c>
      <c r="Q159" s="270">
        <v>1.84</v>
      </c>
      <c r="R159" s="270">
        <v>2.06</v>
      </c>
      <c r="S159" s="270">
        <v>1.5</v>
      </c>
      <c r="T159" s="270">
        <v>1.71</v>
      </c>
      <c r="U159" s="270">
        <v>1.43</v>
      </c>
      <c r="V159" s="401">
        <f>O159</f>
        <v>1.49</v>
      </c>
      <c r="W159" s="270">
        <v>2</v>
      </c>
      <c r="X159" s="270">
        <v>1.51</v>
      </c>
      <c r="Y159" s="270">
        <v>1.51</v>
      </c>
      <c r="Z159" s="270">
        <v>1.33</v>
      </c>
      <c r="AA159" s="270">
        <v>1.7</v>
      </c>
      <c r="AB159" s="270">
        <v>1.97</v>
      </c>
      <c r="AC159" s="270">
        <v>1.5</v>
      </c>
      <c r="AD159" s="270">
        <v>1.98</v>
      </c>
      <c r="AE159" s="270">
        <v>1.95</v>
      </c>
      <c r="AF159" s="270">
        <v>1.64</v>
      </c>
      <c r="AG159" s="270">
        <v>1.74</v>
      </c>
      <c r="AH159" s="270">
        <v>1.45</v>
      </c>
      <c r="AI159" s="270">
        <v>1.61</v>
      </c>
      <c r="AJ159" s="270">
        <v>1.56</v>
      </c>
      <c r="AK159" s="645"/>
      <c r="AL159" s="645"/>
      <c r="AM159" s="42"/>
      <c r="AN159" s="6"/>
    </row>
    <row r="160" spans="1:40" s="7" customFormat="1">
      <c r="A160" s="1"/>
      <c r="B160" s="1"/>
      <c r="C160" s="37"/>
      <c r="D160" s="371" t="s">
        <v>42</v>
      </c>
      <c r="E160" s="370">
        <v>2010</v>
      </c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402" t="s">
        <v>186</v>
      </c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263"/>
      <c r="AK160" s="645"/>
      <c r="AL160" s="645"/>
      <c r="AM160" s="42"/>
      <c r="AN160" s="6"/>
    </row>
    <row r="161" spans="1:40" s="7" customFormat="1">
      <c r="A161" s="1"/>
      <c r="B161" s="1"/>
      <c r="C161" s="37"/>
      <c r="D161" s="371" t="s">
        <v>1</v>
      </c>
      <c r="E161" s="370" t="s">
        <v>716</v>
      </c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263"/>
      <c r="AK161" s="645"/>
      <c r="AL161" s="645"/>
      <c r="AM161" s="42"/>
      <c r="AN161" s="6"/>
    </row>
    <row r="162" spans="1:40" s="7" customFormat="1">
      <c r="A162" s="43"/>
      <c r="B162" s="645"/>
      <c r="C162" s="106"/>
      <c r="D162" s="645"/>
      <c r="E162" s="352"/>
      <c r="F162" s="645"/>
      <c r="G162" s="645"/>
      <c r="H162" s="645"/>
      <c r="I162" s="645"/>
      <c r="J162" s="645"/>
      <c r="K162" s="645"/>
      <c r="L162" s="645"/>
      <c r="M162" s="645"/>
      <c r="N162" s="645"/>
      <c r="O162" s="645"/>
      <c r="P162" s="645"/>
      <c r="Q162" s="645"/>
      <c r="R162" s="645"/>
      <c r="S162" s="645"/>
      <c r="T162" s="645"/>
      <c r="U162" s="645"/>
      <c r="V162" s="645"/>
      <c r="W162" s="645"/>
      <c r="X162" s="645"/>
      <c r="Y162" s="645"/>
      <c r="Z162" s="645"/>
      <c r="AA162" s="645"/>
      <c r="AB162" s="645"/>
      <c r="AC162" s="645"/>
      <c r="AD162" s="645"/>
      <c r="AE162" s="645"/>
      <c r="AF162" s="645"/>
      <c r="AG162" s="37"/>
      <c r="AH162" s="645"/>
      <c r="AI162" s="645"/>
      <c r="AJ162" s="645"/>
      <c r="AK162" s="645"/>
      <c r="AL162" s="645"/>
      <c r="AM162" s="42"/>
      <c r="AN162" s="6"/>
    </row>
    <row r="163" spans="1:40" s="7" customFormat="1">
      <c r="A163" s="107" t="s">
        <v>723</v>
      </c>
      <c r="B163" s="3"/>
      <c r="C163" s="3"/>
      <c r="D163" s="108" t="s">
        <v>95</v>
      </c>
      <c r="E163" s="358" t="s">
        <v>4</v>
      </c>
      <c r="F163" s="108" t="s">
        <v>5</v>
      </c>
      <c r="G163" s="108" t="s">
        <v>6</v>
      </c>
      <c r="H163" s="108" t="s">
        <v>15</v>
      </c>
      <c r="I163" s="108" t="s">
        <v>7</v>
      </c>
      <c r="J163" s="108" t="s">
        <v>8</v>
      </c>
      <c r="K163" s="108" t="s">
        <v>9</v>
      </c>
      <c r="L163" s="108" t="s">
        <v>10</v>
      </c>
      <c r="M163" s="108" t="s">
        <v>2</v>
      </c>
      <c r="N163" s="108" t="s">
        <v>12</v>
      </c>
      <c r="O163" s="108" t="s">
        <v>30</v>
      </c>
      <c r="P163" s="108" t="s">
        <v>13</v>
      </c>
      <c r="Q163" s="108" t="s">
        <v>14</v>
      </c>
      <c r="R163" s="108" t="s">
        <v>45</v>
      </c>
      <c r="S163" s="108" t="s">
        <v>16</v>
      </c>
      <c r="T163" s="108" t="s">
        <v>17</v>
      </c>
      <c r="U163" s="108" t="s">
        <v>20</v>
      </c>
      <c r="V163" s="194" t="s">
        <v>154</v>
      </c>
      <c r="W163" s="108" t="s">
        <v>18</v>
      </c>
      <c r="X163" s="108" t="s">
        <v>19</v>
      </c>
      <c r="Y163" s="108" t="s">
        <v>21</v>
      </c>
      <c r="Z163" s="108" t="s">
        <v>22</v>
      </c>
      <c r="AA163" s="108" t="s">
        <v>29</v>
      </c>
      <c r="AB163" s="108" t="s">
        <v>23</v>
      </c>
      <c r="AC163" s="108" t="s">
        <v>24</v>
      </c>
      <c r="AD163" s="108" t="s">
        <v>25</v>
      </c>
      <c r="AE163" s="108" t="s">
        <v>28</v>
      </c>
      <c r="AF163" s="108" t="s">
        <v>27</v>
      </c>
      <c r="AG163" s="108" t="s">
        <v>11</v>
      </c>
      <c r="AH163" s="108" t="s">
        <v>26</v>
      </c>
      <c r="AI163" s="108" t="s">
        <v>46</v>
      </c>
      <c r="AJ163" s="108" t="s">
        <v>31</v>
      </c>
      <c r="AK163" s="2"/>
      <c r="AL163" s="117"/>
      <c r="AM163" s="42"/>
      <c r="AN163" s="6"/>
    </row>
    <row r="164" spans="1:40" s="7" customFormat="1">
      <c r="A164" s="27" t="s">
        <v>93</v>
      </c>
      <c r="B164" s="48"/>
      <c r="C164" s="84"/>
      <c r="D164" s="109">
        <v>11.5</v>
      </c>
      <c r="E164" s="347">
        <v>8.3000000000000007</v>
      </c>
      <c r="F164" s="67">
        <v>9.1</v>
      </c>
      <c r="G164" s="109">
        <f>AD164</f>
        <v>16.5</v>
      </c>
      <c r="H164" s="67">
        <v>14.6</v>
      </c>
      <c r="I164" s="109">
        <f>P164</f>
        <v>16</v>
      </c>
      <c r="J164" s="67">
        <v>14.9</v>
      </c>
      <c r="K164" s="67">
        <v>8.8000000000000007</v>
      </c>
      <c r="L164" s="67">
        <v>16.7</v>
      </c>
      <c r="M164" s="67">
        <v>12.2</v>
      </c>
      <c r="N164" s="67">
        <v>10.199999999999999</v>
      </c>
      <c r="O164" s="67">
        <v>9.6</v>
      </c>
      <c r="P164" s="67">
        <v>16</v>
      </c>
      <c r="Q164" s="67">
        <v>13.5</v>
      </c>
      <c r="R164" s="109">
        <f>AA164</f>
        <v>9.1</v>
      </c>
      <c r="S164" s="67">
        <v>8.4</v>
      </c>
      <c r="T164" s="67">
        <v>11.4</v>
      </c>
      <c r="U164" s="67">
        <v>14</v>
      </c>
      <c r="V164" s="226">
        <f>O164</f>
        <v>9.6</v>
      </c>
      <c r="W164" s="67">
        <v>16.8</v>
      </c>
      <c r="X164" s="67">
        <v>6.5</v>
      </c>
      <c r="Y164" s="109">
        <f>P164</f>
        <v>16</v>
      </c>
      <c r="Z164" s="67">
        <v>11</v>
      </c>
      <c r="AA164" s="67">
        <v>9.1</v>
      </c>
      <c r="AB164" s="67">
        <v>14.1</v>
      </c>
      <c r="AC164" s="67">
        <v>12.8</v>
      </c>
      <c r="AD164" s="67">
        <v>16.5</v>
      </c>
      <c r="AE164" s="67">
        <v>14</v>
      </c>
      <c r="AF164" s="67">
        <v>11.7</v>
      </c>
      <c r="AG164" s="67">
        <v>12.7</v>
      </c>
      <c r="AH164" s="67">
        <v>10</v>
      </c>
      <c r="AI164" s="67">
        <v>8</v>
      </c>
      <c r="AJ164" s="67">
        <v>7.8</v>
      </c>
      <c r="AK164" s="2"/>
      <c r="AL164" s="117"/>
      <c r="AM164" s="42"/>
      <c r="AN164" s="6"/>
    </row>
    <row r="165" spans="1:40" s="7" customFormat="1">
      <c r="A165" s="1"/>
      <c r="B165" s="1"/>
      <c r="C165" s="84"/>
      <c r="D165" s="371" t="s">
        <v>42</v>
      </c>
      <c r="E165" s="370">
        <v>2021</v>
      </c>
      <c r="F165" s="84"/>
      <c r="G165" s="221" t="s">
        <v>176</v>
      </c>
      <c r="H165" s="84"/>
      <c r="I165" s="227" t="s">
        <v>185</v>
      </c>
      <c r="J165" s="84"/>
      <c r="K165" s="84"/>
      <c r="L165" s="84"/>
      <c r="M165" s="84"/>
      <c r="N165" s="84"/>
      <c r="O165" s="84"/>
      <c r="P165" s="84"/>
      <c r="Q165" s="84"/>
      <c r="R165" s="221" t="s">
        <v>179</v>
      </c>
      <c r="S165" s="84"/>
      <c r="T165" s="84"/>
      <c r="U165" s="84"/>
      <c r="V165" s="229" t="s">
        <v>186</v>
      </c>
      <c r="W165" s="84"/>
      <c r="X165" s="84"/>
      <c r="Y165" s="227" t="s">
        <v>185</v>
      </c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2"/>
      <c r="AL165" s="117"/>
      <c r="AM165" s="42"/>
      <c r="AN165" s="6"/>
    </row>
    <row r="166" spans="1:40" s="7" customFormat="1">
      <c r="A166" s="1"/>
      <c r="B166" s="1"/>
      <c r="C166" s="84"/>
      <c r="D166" s="371" t="s">
        <v>1</v>
      </c>
      <c r="E166" s="370" t="s">
        <v>92</v>
      </c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2"/>
      <c r="AL166" s="117"/>
      <c r="AM166" s="42"/>
      <c r="AN166" s="6"/>
    </row>
    <row r="167" spans="1:40" s="7" customFormat="1">
      <c r="A167" s="1"/>
      <c r="B167" s="1"/>
      <c r="C167" s="1"/>
      <c r="D167" s="390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385"/>
      <c r="AC167" s="41"/>
      <c r="AD167" s="41"/>
      <c r="AE167" s="41"/>
      <c r="AF167" s="41"/>
      <c r="AG167" s="37"/>
      <c r="AH167" s="41"/>
      <c r="AI167" s="41"/>
      <c r="AJ167" s="41"/>
      <c r="AK167" s="41"/>
      <c r="AL167" s="41"/>
      <c r="AM167" s="42"/>
      <c r="AN167" s="6"/>
    </row>
    <row r="168" spans="1:40" s="7" customFormat="1">
      <c r="A168" s="392" t="s">
        <v>724</v>
      </c>
      <c r="B168" s="3"/>
      <c r="C168" s="3"/>
      <c r="D168" s="391"/>
      <c r="E168" s="384" t="s">
        <v>4</v>
      </c>
      <c r="F168" s="384" t="s">
        <v>5</v>
      </c>
      <c r="G168" s="384" t="s">
        <v>6</v>
      </c>
      <c r="H168" s="384" t="s">
        <v>15</v>
      </c>
      <c r="I168" s="384" t="s">
        <v>7</v>
      </c>
      <c r="J168" s="384" t="s">
        <v>8</v>
      </c>
      <c r="K168" s="384" t="s">
        <v>9</v>
      </c>
      <c r="L168" s="384" t="s">
        <v>10</v>
      </c>
      <c r="M168" s="384" t="s">
        <v>2</v>
      </c>
      <c r="N168" s="384" t="s">
        <v>12</v>
      </c>
      <c r="O168" s="384" t="s">
        <v>30</v>
      </c>
      <c r="P168" s="384" t="s">
        <v>13</v>
      </c>
      <c r="Q168" s="384" t="s">
        <v>14</v>
      </c>
      <c r="R168" s="384" t="s">
        <v>45</v>
      </c>
      <c r="S168" s="384" t="s">
        <v>16</v>
      </c>
      <c r="T168" s="384" t="s">
        <v>17</v>
      </c>
      <c r="U168" s="384" t="s">
        <v>20</v>
      </c>
      <c r="V168" s="384" t="s">
        <v>154</v>
      </c>
      <c r="W168" s="384" t="s">
        <v>18</v>
      </c>
      <c r="X168" s="384" t="s">
        <v>19</v>
      </c>
      <c r="Y168" s="384" t="s">
        <v>21</v>
      </c>
      <c r="Z168" s="384" t="s">
        <v>22</v>
      </c>
      <c r="AA168" s="384" t="s">
        <v>29</v>
      </c>
      <c r="AB168" s="384" t="s">
        <v>23</v>
      </c>
      <c r="AC168" s="384" t="s">
        <v>24</v>
      </c>
      <c r="AD168" s="384" t="s">
        <v>25</v>
      </c>
      <c r="AE168" s="384" t="s">
        <v>28</v>
      </c>
      <c r="AF168" s="384" t="s">
        <v>27</v>
      </c>
      <c r="AG168" s="384" t="s">
        <v>11</v>
      </c>
      <c r="AH168" s="384" t="s">
        <v>26</v>
      </c>
      <c r="AI168" s="384" t="s">
        <v>46</v>
      </c>
      <c r="AJ168" s="384" t="s">
        <v>31</v>
      </c>
      <c r="AK168" s="385"/>
      <c r="AL168" s="385"/>
      <c r="AM168" s="42"/>
      <c r="AN168" s="6"/>
    </row>
    <row r="169" spans="1:40" s="7" customFormat="1">
      <c r="A169" s="101" t="s">
        <v>429</v>
      </c>
      <c r="B169" s="1"/>
      <c r="C169" s="1"/>
      <c r="D169" s="325">
        <v>2019</v>
      </c>
      <c r="E169" s="394">
        <v>0.16961937784730771</v>
      </c>
      <c r="F169" s="393">
        <v>0.17222730834075076</v>
      </c>
      <c r="G169" s="395">
        <v>0.17007468960337721</v>
      </c>
      <c r="H169" s="393">
        <v>0.16571636266118941</v>
      </c>
      <c r="I169" s="393">
        <v>0.17719020114452594</v>
      </c>
      <c r="J169" s="393">
        <v>0.17111084121059142</v>
      </c>
      <c r="K169" s="394">
        <v>0.17424004435335025</v>
      </c>
      <c r="L169" s="393">
        <v>0.19961001253043553</v>
      </c>
      <c r="M169" s="393">
        <v>0.19114158509188137</v>
      </c>
      <c r="N169" s="393">
        <v>0.16481681552762376</v>
      </c>
      <c r="O169" s="393">
        <v>0.17869986518280181</v>
      </c>
      <c r="P169" s="394">
        <v>0.17719020114452594</v>
      </c>
      <c r="Q169" s="393">
        <v>0.16992019951201232</v>
      </c>
      <c r="R169" s="394">
        <v>0.19156923089066447</v>
      </c>
      <c r="S169" s="393">
        <v>0.16458882635095481</v>
      </c>
      <c r="T169" s="393">
        <v>0.17662031856602187</v>
      </c>
      <c r="U169" s="393">
        <v>0.19488356370085466</v>
      </c>
      <c r="V169" s="393">
        <v>0.20334101477037858</v>
      </c>
      <c r="W169" s="394">
        <v>0.19488356370085466</v>
      </c>
      <c r="X169" s="394">
        <f>AI169</f>
        <v>0.19257506503275143</v>
      </c>
      <c r="Y169" s="393">
        <v>0.16268213204308543</v>
      </c>
      <c r="Z169" s="393">
        <v>0.17424004435335025</v>
      </c>
      <c r="AA169" s="393">
        <v>0.19156923089066447</v>
      </c>
      <c r="AB169" s="393">
        <v>0.17355445270807138</v>
      </c>
      <c r="AC169" s="83">
        <v>0.16277777166806032</v>
      </c>
      <c r="AD169" s="83">
        <v>0.17007468960337721</v>
      </c>
      <c r="AE169" s="394">
        <v>0.17111084121059142</v>
      </c>
      <c r="AF169" s="83">
        <v>0.16762304400128739</v>
      </c>
      <c r="AG169" s="83">
        <v>0.17577939230295198</v>
      </c>
      <c r="AH169" s="83">
        <v>0.1822167202203919</v>
      </c>
      <c r="AI169" s="83">
        <v>0.19257506503275143</v>
      </c>
      <c r="AJ169" s="395">
        <v>0.18084</v>
      </c>
      <c r="AK169" s="385"/>
      <c r="AL169" s="385"/>
      <c r="AM169" s="42"/>
      <c r="AN169" s="6"/>
    </row>
    <row r="170" spans="1:40" s="397" customFormat="1" ht="12.75">
      <c r="A170" s="101"/>
      <c r="B170" s="101"/>
      <c r="C170" s="101"/>
      <c r="D170" s="380" t="s">
        <v>425</v>
      </c>
      <c r="E170" s="399">
        <v>2018</v>
      </c>
      <c r="F170" s="210"/>
      <c r="G170" s="398" t="s">
        <v>176</v>
      </c>
      <c r="H170" s="210"/>
      <c r="I170" s="210"/>
      <c r="J170" s="210"/>
      <c r="K170" s="398" t="s">
        <v>177</v>
      </c>
      <c r="L170" s="210"/>
      <c r="M170" s="210"/>
      <c r="N170" s="210"/>
      <c r="O170" s="210"/>
      <c r="P170" s="398" t="s">
        <v>178</v>
      </c>
      <c r="Q170" s="210"/>
      <c r="R170" s="398" t="s">
        <v>179</v>
      </c>
      <c r="S170" s="210"/>
      <c r="T170" s="210"/>
      <c r="U170" s="210"/>
      <c r="V170" s="210"/>
      <c r="W170" s="398" t="s">
        <v>180</v>
      </c>
      <c r="X170" s="399" t="s">
        <v>433</v>
      </c>
      <c r="Y170" s="210"/>
      <c r="Z170" s="210"/>
      <c r="AA170" s="210"/>
      <c r="AB170" s="210"/>
      <c r="AC170" s="210"/>
      <c r="AD170" s="210"/>
      <c r="AE170" s="398" t="s">
        <v>181</v>
      </c>
      <c r="AF170" s="210"/>
      <c r="AG170" s="210"/>
      <c r="AH170" s="385"/>
      <c r="AI170" s="385"/>
      <c r="AJ170" s="402" t="s">
        <v>434</v>
      </c>
      <c r="AK170" s="385"/>
      <c r="AL170" s="385"/>
      <c r="AM170" s="42"/>
      <c r="AN170" s="396"/>
    </row>
    <row r="171" spans="1:40" s="7" customFormat="1">
      <c r="A171" s="1"/>
      <c r="B171" s="1"/>
      <c r="C171" s="1"/>
      <c r="D171" s="371" t="s">
        <v>42</v>
      </c>
      <c r="E171" s="370">
        <v>2021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42"/>
      <c r="AN171" s="6"/>
    </row>
    <row r="172" spans="1:40" s="7" customFormat="1">
      <c r="A172" s="1"/>
      <c r="B172" s="1"/>
      <c r="C172" s="1"/>
      <c r="D172" s="380" t="s">
        <v>1</v>
      </c>
      <c r="E172" s="400" t="s">
        <v>424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42"/>
      <c r="AN172" s="6"/>
    </row>
    <row r="173" spans="1:40" s="7" customFormat="1">
      <c r="A173" s="1"/>
      <c r="B173" s="1"/>
      <c r="C173" s="1"/>
      <c r="D173" s="380" t="s">
        <v>42</v>
      </c>
      <c r="E173" s="370">
        <v>2021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42"/>
      <c r="AN173" s="6"/>
    </row>
    <row r="174" spans="1:40" s="7" customFormat="1">
      <c r="A174" s="1"/>
      <c r="B174" s="1"/>
      <c r="C174" s="1"/>
      <c r="D174" s="380" t="s">
        <v>1</v>
      </c>
      <c r="E174" s="400" t="s">
        <v>428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42"/>
      <c r="AN174" s="6"/>
    </row>
    <row r="175" spans="1:40" s="7" customFormat="1">
      <c r="A175" s="1"/>
      <c r="B175" s="1"/>
      <c r="C175" s="1"/>
      <c r="D175" s="390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42"/>
      <c r="AN175" s="6"/>
    </row>
    <row r="176" spans="1:40" s="7" customFormat="1">
      <c r="A176" s="392" t="s">
        <v>725</v>
      </c>
      <c r="B176" s="3"/>
      <c r="C176" s="3"/>
      <c r="D176" s="391"/>
      <c r="E176" s="384" t="s">
        <v>4</v>
      </c>
      <c r="F176" s="384" t="s">
        <v>5</v>
      </c>
      <c r="G176" s="384" t="s">
        <v>6</v>
      </c>
      <c r="H176" s="384" t="s">
        <v>15</v>
      </c>
      <c r="I176" s="384" t="s">
        <v>7</v>
      </c>
      <c r="J176" s="384" t="s">
        <v>8</v>
      </c>
      <c r="K176" s="384" t="s">
        <v>9</v>
      </c>
      <c r="L176" s="384" t="s">
        <v>10</v>
      </c>
      <c r="M176" s="384" t="s">
        <v>2</v>
      </c>
      <c r="N176" s="384" t="s">
        <v>12</v>
      </c>
      <c r="O176" s="384" t="s">
        <v>30</v>
      </c>
      <c r="P176" s="384" t="s">
        <v>13</v>
      </c>
      <c r="Q176" s="384" t="s">
        <v>14</v>
      </c>
      <c r="R176" s="384" t="s">
        <v>45</v>
      </c>
      <c r="S176" s="384" t="s">
        <v>16</v>
      </c>
      <c r="T176" s="384" t="s">
        <v>17</v>
      </c>
      <c r="U176" s="384" t="s">
        <v>20</v>
      </c>
      <c r="V176" s="384" t="s">
        <v>154</v>
      </c>
      <c r="W176" s="384" t="s">
        <v>18</v>
      </c>
      <c r="X176" s="384" t="s">
        <v>19</v>
      </c>
      <c r="Y176" s="384" t="s">
        <v>21</v>
      </c>
      <c r="Z176" s="384" t="s">
        <v>22</v>
      </c>
      <c r="AA176" s="384" t="s">
        <v>29</v>
      </c>
      <c r="AB176" s="384" t="s">
        <v>23</v>
      </c>
      <c r="AC176" s="384" t="s">
        <v>24</v>
      </c>
      <c r="AD176" s="384" t="s">
        <v>25</v>
      </c>
      <c r="AE176" s="384" t="s">
        <v>28</v>
      </c>
      <c r="AF176" s="384" t="s">
        <v>27</v>
      </c>
      <c r="AG176" s="384" t="s">
        <v>11</v>
      </c>
      <c r="AH176" s="384" t="s">
        <v>26</v>
      </c>
      <c r="AI176" s="384" t="s">
        <v>46</v>
      </c>
      <c r="AJ176" s="384" t="s">
        <v>31</v>
      </c>
      <c r="AK176" s="1"/>
      <c r="AL176" s="1"/>
      <c r="AM176" s="42"/>
      <c r="AN176" s="6"/>
    </row>
    <row r="177" spans="1:40" s="7" customFormat="1">
      <c r="A177" s="101" t="s">
        <v>429</v>
      </c>
      <c r="B177" s="1"/>
      <c r="C177" s="1"/>
      <c r="D177" s="325">
        <v>2019</v>
      </c>
      <c r="E177" s="394">
        <v>0.17629160201814098</v>
      </c>
      <c r="F177" s="393">
        <v>0.17334343976606054</v>
      </c>
      <c r="G177" s="394">
        <v>0.17500236602736474</v>
      </c>
      <c r="H177" s="393">
        <v>0.17350690029559884</v>
      </c>
      <c r="I177" s="393">
        <v>0.18538934885511546</v>
      </c>
      <c r="J177" s="394">
        <v>0.17335999999999999</v>
      </c>
      <c r="K177" s="394">
        <v>0.17685328942052908</v>
      </c>
      <c r="L177" s="393">
        <v>0.18771489791382917</v>
      </c>
      <c r="M177" s="393">
        <v>0.18505357455305277</v>
      </c>
      <c r="N177" s="393">
        <v>0.17073463250837553</v>
      </c>
      <c r="O177" s="393">
        <v>0.18051752683176164</v>
      </c>
      <c r="P177" s="394">
        <v>0.18538934885511546</v>
      </c>
      <c r="Q177" s="393">
        <v>0.17709225342845586</v>
      </c>
      <c r="R177" s="394">
        <v>0.1807891790858096</v>
      </c>
      <c r="S177" s="393">
        <v>0.17241435895653787</v>
      </c>
      <c r="T177" s="393">
        <v>0.17483623993638389</v>
      </c>
      <c r="U177" s="393">
        <v>0.18504125998064766</v>
      </c>
      <c r="V177" s="393">
        <v>0.18486326469412234</v>
      </c>
      <c r="W177" s="394">
        <v>0.18504125998064766</v>
      </c>
      <c r="X177" s="394">
        <v>0.18193358900561235</v>
      </c>
      <c r="Y177" s="393">
        <v>0.17432127713198234</v>
      </c>
      <c r="Z177" s="393">
        <v>0.17685328942052908</v>
      </c>
      <c r="AA177" s="393">
        <v>0.1807891790858096</v>
      </c>
      <c r="AB177" s="83">
        <v>0.17520491606183902</v>
      </c>
      <c r="AC177" s="83">
        <v>0.17328561477853599</v>
      </c>
      <c r="AD177" s="83">
        <v>0.17500236602736474</v>
      </c>
      <c r="AE177" s="395">
        <v>0.17335999999999999</v>
      </c>
      <c r="AF177" s="83">
        <v>0.17453208696510045</v>
      </c>
      <c r="AG177" s="83">
        <v>0.17366977723647017</v>
      </c>
      <c r="AH177" s="83">
        <v>0.1789444822334269</v>
      </c>
      <c r="AI177" s="83">
        <v>0.18193358900561235</v>
      </c>
      <c r="AJ177" s="395">
        <v>0.17335999999999999</v>
      </c>
      <c r="AK177" s="41"/>
      <c r="AL177" s="41"/>
      <c r="AM177" s="42"/>
      <c r="AN177" s="6"/>
    </row>
    <row r="178" spans="1:40" s="7" customFormat="1">
      <c r="A178" s="1"/>
      <c r="B178" s="1"/>
      <c r="C178" s="1"/>
      <c r="D178" s="380" t="s">
        <v>421</v>
      </c>
      <c r="E178" s="399" t="s">
        <v>431</v>
      </c>
      <c r="F178" s="210"/>
      <c r="G178" s="399" t="s">
        <v>176</v>
      </c>
      <c r="H178" s="210"/>
      <c r="I178" s="210"/>
      <c r="J178" s="399" t="s">
        <v>432</v>
      </c>
      <c r="K178" s="399" t="s">
        <v>177</v>
      </c>
      <c r="L178" s="210"/>
      <c r="M178" s="210"/>
      <c r="N178" s="210"/>
      <c r="O178" s="210"/>
      <c r="P178" s="399" t="s">
        <v>178</v>
      </c>
      <c r="Q178" s="210"/>
      <c r="R178" s="399" t="s">
        <v>179</v>
      </c>
      <c r="S178" s="210"/>
      <c r="T178" s="210"/>
      <c r="U178" s="210"/>
      <c r="V178" s="210"/>
      <c r="W178" s="399" t="s">
        <v>180</v>
      </c>
      <c r="X178" s="399" t="s">
        <v>433</v>
      </c>
      <c r="Y178" s="210"/>
      <c r="Z178" s="210"/>
      <c r="AA178" s="210"/>
      <c r="AB178" s="385"/>
      <c r="AC178" s="385"/>
      <c r="AD178" s="385"/>
      <c r="AE178" s="102" t="s">
        <v>432</v>
      </c>
      <c r="AF178" s="385"/>
      <c r="AG178" s="385"/>
      <c r="AH178" s="385"/>
      <c r="AI178" s="385"/>
      <c r="AJ178" s="402" t="s">
        <v>434</v>
      </c>
      <c r="AK178" s="41"/>
      <c r="AL178" s="41"/>
      <c r="AM178" s="42"/>
      <c r="AN178" s="6"/>
    </row>
    <row r="179" spans="1:40" s="7" customFormat="1">
      <c r="A179" s="1"/>
      <c r="B179" s="1"/>
      <c r="C179" s="1"/>
      <c r="D179" s="371" t="s">
        <v>42</v>
      </c>
      <c r="E179" s="370">
        <v>2021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385"/>
      <c r="AC179" s="385"/>
      <c r="AD179" s="385"/>
      <c r="AE179" s="385"/>
      <c r="AF179" s="385"/>
      <c r="AG179" s="37"/>
      <c r="AH179" s="385"/>
      <c r="AI179" s="385"/>
      <c r="AJ179" s="385"/>
      <c r="AK179" s="41"/>
      <c r="AL179" s="41"/>
      <c r="AM179" s="42"/>
      <c r="AN179" s="6"/>
    </row>
    <row r="180" spans="1:40" s="7" customFormat="1">
      <c r="A180" s="1"/>
      <c r="B180" s="1"/>
      <c r="C180" s="1"/>
      <c r="D180" s="380" t="s">
        <v>1</v>
      </c>
      <c r="E180" s="400" t="s">
        <v>430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385"/>
      <c r="AC180" s="385"/>
      <c r="AD180" s="385"/>
      <c r="AE180" s="385"/>
      <c r="AF180" s="385"/>
      <c r="AG180" s="37"/>
      <c r="AH180" s="385"/>
      <c r="AI180" s="385"/>
      <c r="AJ180" s="385"/>
      <c r="AK180" s="41"/>
      <c r="AL180" s="41"/>
      <c r="AM180" s="42"/>
      <c r="AN180" s="6"/>
    </row>
    <row r="181" spans="1:40" s="7" customFormat="1">
      <c r="A181" s="1"/>
      <c r="B181" s="1"/>
      <c r="C181" s="1"/>
      <c r="D181" s="380" t="s">
        <v>42</v>
      </c>
      <c r="E181" s="370">
        <v>2021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385"/>
      <c r="AC181" s="385"/>
      <c r="AD181" s="385"/>
      <c r="AE181" s="385"/>
      <c r="AF181" s="385"/>
      <c r="AG181" s="37"/>
      <c r="AH181" s="385"/>
      <c r="AI181" s="385"/>
      <c r="AJ181" s="385"/>
      <c r="AK181" s="41"/>
      <c r="AL181" s="41"/>
      <c r="AM181" s="42"/>
      <c r="AN181" s="6"/>
    </row>
    <row r="182" spans="1:40" s="7" customFormat="1">
      <c r="A182" s="1"/>
      <c r="B182" s="1"/>
      <c r="C182" s="1"/>
      <c r="D182" s="380" t="s">
        <v>1</v>
      </c>
      <c r="E182" s="400" t="s">
        <v>428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385"/>
      <c r="AC182" s="385"/>
      <c r="AD182" s="385"/>
      <c r="AE182" s="385"/>
      <c r="AF182" s="385"/>
      <c r="AG182" s="37"/>
      <c r="AH182" s="385"/>
      <c r="AI182" s="385"/>
      <c r="AJ182" s="385"/>
      <c r="AK182" s="41"/>
      <c r="AL182" s="41"/>
      <c r="AM182" s="42"/>
      <c r="AN182" s="6"/>
    </row>
    <row r="183" spans="1:40" s="7" customFormat="1">
      <c r="A183" s="43"/>
      <c r="B183" s="41"/>
      <c r="C183" s="48"/>
      <c r="D183" s="48"/>
      <c r="E183" s="352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37"/>
      <c r="AH183" s="41"/>
      <c r="AI183" s="41"/>
      <c r="AJ183" s="41"/>
      <c r="AK183" s="41"/>
      <c r="AL183" s="41"/>
      <c r="AM183" s="42"/>
      <c r="AN183" s="6"/>
    </row>
    <row r="184" spans="1:40">
      <c r="A184" s="43" t="s">
        <v>726</v>
      </c>
      <c r="B184" s="116"/>
      <c r="C184" s="116"/>
      <c r="D184" s="116"/>
      <c r="E184" s="352" t="s">
        <v>0</v>
      </c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2"/>
    </row>
    <row r="185" spans="1:40">
      <c r="A185" s="27" t="s">
        <v>38</v>
      </c>
      <c r="B185" s="220" t="s">
        <v>187</v>
      </c>
      <c r="C185" s="220" t="s">
        <v>189</v>
      </c>
      <c r="D185" s="77" t="s">
        <v>188</v>
      </c>
      <c r="E185" s="220" t="s">
        <v>4</v>
      </c>
      <c r="F185" s="220" t="s">
        <v>5</v>
      </c>
      <c r="G185" s="220" t="s">
        <v>6</v>
      </c>
      <c r="H185" s="220" t="s">
        <v>15</v>
      </c>
      <c r="I185" s="220" t="s">
        <v>7</v>
      </c>
      <c r="J185" s="220" t="s">
        <v>8</v>
      </c>
      <c r="K185" s="220" t="s">
        <v>9</v>
      </c>
      <c r="L185" s="220" t="s">
        <v>10</v>
      </c>
      <c r="M185" s="220" t="s">
        <v>2</v>
      </c>
      <c r="N185" s="220" t="s">
        <v>12</v>
      </c>
      <c r="O185" s="220" t="s">
        <v>30</v>
      </c>
      <c r="P185" s="220" t="s">
        <v>13</v>
      </c>
      <c r="Q185" s="220" t="s">
        <v>14</v>
      </c>
      <c r="R185" s="220" t="s">
        <v>45</v>
      </c>
      <c r="S185" s="220" t="s">
        <v>16</v>
      </c>
      <c r="T185" s="220" t="s">
        <v>17</v>
      </c>
      <c r="U185" s="220" t="s">
        <v>20</v>
      </c>
      <c r="V185" s="220" t="s">
        <v>154</v>
      </c>
      <c r="W185" s="220" t="s">
        <v>18</v>
      </c>
      <c r="X185" s="220" t="s">
        <v>19</v>
      </c>
      <c r="Y185" s="220" t="s">
        <v>21</v>
      </c>
      <c r="Z185" s="220" t="s">
        <v>22</v>
      </c>
      <c r="AA185" s="220" t="s">
        <v>29</v>
      </c>
      <c r="AB185" s="220" t="s">
        <v>23</v>
      </c>
      <c r="AC185" s="220" t="s">
        <v>24</v>
      </c>
      <c r="AD185" s="220" t="s">
        <v>25</v>
      </c>
      <c r="AE185" s="220" t="s">
        <v>28</v>
      </c>
      <c r="AF185" s="220" t="s">
        <v>27</v>
      </c>
      <c r="AG185" s="220" t="s">
        <v>11</v>
      </c>
      <c r="AH185" s="220" t="s">
        <v>26</v>
      </c>
      <c r="AI185" s="220" t="s">
        <v>46</v>
      </c>
      <c r="AJ185" s="220" t="s">
        <v>31</v>
      </c>
      <c r="AK185" s="41"/>
      <c r="AL185" s="41"/>
      <c r="AM185" s="42"/>
    </row>
    <row r="186" spans="1:40" s="7" customFormat="1">
      <c r="A186" s="234" t="s">
        <v>191</v>
      </c>
      <c r="B186" s="220" t="s">
        <v>108</v>
      </c>
      <c r="C186" s="220" t="s">
        <v>108</v>
      </c>
      <c r="D186" s="77" t="s">
        <v>108</v>
      </c>
      <c r="E186" s="261"/>
      <c r="F186" s="261"/>
      <c r="G186" s="269"/>
      <c r="H186" s="261"/>
      <c r="I186" s="261"/>
      <c r="J186" s="261"/>
      <c r="K186" s="261"/>
      <c r="L186" s="261"/>
      <c r="M186" s="261"/>
      <c r="N186" s="261"/>
      <c r="O186" s="261"/>
      <c r="P186" s="261"/>
      <c r="Q186" s="261"/>
      <c r="R186" s="261"/>
      <c r="S186" s="261"/>
      <c r="T186" s="261"/>
      <c r="U186" s="261"/>
      <c r="V186" s="261"/>
      <c r="W186" s="261"/>
      <c r="X186" s="261"/>
      <c r="Y186" s="261"/>
      <c r="Z186" s="261"/>
      <c r="AA186" s="261"/>
      <c r="AB186" s="261"/>
      <c r="AC186" s="261"/>
      <c r="AD186" s="261"/>
      <c r="AE186" s="261"/>
      <c r="AF186" s="261"/>
      <c r="AG186" s="261"/>
      <c r="AH186" s="261"/>
      <c r="AI186" s="261"/>
      <c r="AJ186" s="261"/>
      <c r="AK186" s="41"/>
      <c r="AL186" s="41"/>
      <c r="AM186" s="42"/>
      <c r="AN186" s="6"/>
    </row>
    <row r="187" spans="1:40" s="7" customFormat="1">
      <c r="A187" s="27" t="s">
        <v>533</v>
      </c>
      <c r="B187" s="641">
        <v>198.28</v>
      </c>
      <c r="C187" s="641">
        <f>B187*0.883</f>
        <v>175.08124000000001</v>
      </c>
      <c r="D187" s="657">
        <f>B187*1.317</f>
        <v>261.13475999999997</v>
      </c>
      <c r="E187" s="700">
        <v>3.9955377834034946E-5</v>
      </c>
      <c r="F187" s="700">
        <v>3.0242423264891367E-4</v>
      </c>
      <c r="G187" s="701">
        <v>2.4466324694609898E-4</v>
      </c>
      <c r="H187" s="700">
        <v>3.1241683993713729E-3</v>
      </c>
      <c r="I187" s="700">
        <v>0</v>
      </c>
      <c r="J187" s="700">
        <v>1.7504555560044199</v>
      </c>
      <c r="K187" s="700">
        <v>1.4995555692181729E-4</v>
      </c>
      <c r="L187" s="700">
        <v>3.7611188074745966E-4</v>
      </c>
      <c r="M187" s="700">
        <v>5.6039534770990237E-5</v>
      </c>
      <c r="N187" s="700">
        <v>4.2128321585382765E-4</v>
      </c>
      <c r="O187" s="700">
        <v>0.76263477223833032</v>
      </c>
      <c r="P187" s="700"/>
      <c r="Q187" s="700">
        <v>4.9365677032073144E-4</v>
      </c>
      <c r="R187" s="702">
        <v>0</v>
      </c>
      <c r="S187" s="700"/>
      <c r="T187" s="700">
        <v>5.9709143586614601</v>
      </c>
      <c r="U187" s="700">
        <v>2.6202622967715339</v>
      </c>
      <c r="V187" s="703">
        <v>0</v>
      </c>
      <c r="W187" s="700">
        <v>3.6565994492789374E-3</v>
      </c>
      <c r="X187" s="700">
        <v>6.7718733821462915E-2</v>
      </c>
      <c r="Y187" s="700">
        <v>1.614736733322999E-3</v>
      </c>
      <c r="Z187" s="700">
        <v>1.2907215009659738</v>
      </c>
      <c r="AA187" s="700">
        <v>0</v>
      </c>
      <c r="AB187" s="700">
        <v>11.763843291578519</v>
      </c>
      <c r="AC187" s="700">
        <v>1.0389010860597281</v>
      </c>
      <c r="AD187" s="700">
        <v>2.4466324694609898E-4</v>
      </c>
      <c r="AE187" s="700">
        <v>2</v>
      </c>
      <c r="AF187" s="700">
        <v>0.83208583782305068</v>
      </c>
      <c r="AG187" s="700">
        <v>0.2629495213426396</v>
      </c>
      <c r="AH187" s="700">
        <v>2.5210004182921463E-4</v>
      </c>
      <c r="AI187" s="700">
        <v>1.2862287772251757E-2</v>
      </c>
      <c r="AJ187" s="700"/>
      <c r="AK187" s="41"/>
      <c r="AL187" s="41"/>
      <c r="AM187" s="42"/>
      <c r="AN187" s="6"/>
    </row>
    <row r="188" spans="1:40">
      <c r="A188" s="27" t="s">
        <v>532</v>
      </c>
      <c r="B188" s="641">
        <v>176.24</v>
      </c>
      <c r="C188" s="641">
        <v>60.4</v>
      </c>
      <c r="D188" s="657">
        <v>96.5</v>
      </c>
      <c r="E188" s="700">
        <v>4.7247234288746325E-2</v>
      </c>
      <c r="F188" s="700">
        <v>8.876151228245617E-2</v>
      </c>
      <c r="G188" s="701">
        <v>3.065486564677593E-3</v>
      </c>
      <c r="H188" s="700">
        <v>4.4630977133876753E-4</v>
      </c>
      <c r="I188" s="700">
        <v>0</v>
      </c>
      <c r="J188" s="700"/>
      <c r="K188" s="700">
        <v>5.2484444922636054E-3</v>
      </c>
      <c r="L188" s="700">
        <v>0.16599071003654553</v>
      </c>
      <c r="M188" s="700">
        <v>8.8962761448946992E-2</v>
      </c>
      <c r="N188" s="700">
        <v>1.9720938945041499E-3</v>
      </c>
      <c r="O188" s="700">
        <v>0.16875310389059275</v>
      </c>
      <c r="P188" s="700">
        <v>0.1</v>
      </c>
      <c r="Q188" s="700">
        <v>2.8268345584681883E-2</v>
      </c>
      <c r="R188" s="702">
        <v>0</v>
      </c>
      <c r="S188" s="700"/>
      <c r="T188" s="700">
        <v>2.2390520042987645</v>
      </c>
      <c r="U188" s="700">
        <v>2.8342480224678571E-2</v>
      </c>
      <c r="V188" s="703">
        <v>0.10764613778705637</v>
      </c>
      <c r="W188" s="700">
        <v>2.6649792596439713E-3</v>
      </c>
      <c r="X188" s="700">
        <v>2.8428000887508322E-2</v>
      </c>
      <c r="Y188" s="700">
        <v>0</v>
      </c>
      <c r="Z188" s="700">
        <v>0.11006682885348625</v>
      </c>
      <c r="AA188" s="700">
        <v>7.6062111079409495E-3</v>
      </c>
      <c r="AB188" s="700">
        <v>1.9726461152764895E-2</v>
      </c>
      <c r="AC188" s="700">
        <v>1.5375851844803749E-3</v>
      </c>
      <c r="AD188" s="700">
        <v>3.065486564677593E-3</v>
      </c>
      <c r="AE188" s="700">
        <v>0.1</v>
      </c>
      <c r="AF188" s="700">
        <v>2.3050170849892727E-2</v>
      </c>
      <c r="AG188" s="700">
        <v>5.0037767411100699E-2</v>
      </c>
      <c r="AH188" s="700">
        <v>0.21021265026374514</v>
      </c>
      <c r="AI188" s="700">
        <v>9.2179729034470928E-2</v>
      </c>
      <c r="AJ188" s="700">
        <v>1.202485753233595E-3</v>
      </c>
      <c r="AK188" s="41"/>
      <c r="AL188" s="41"/>
      <c r="AM188" s="42"/>
    </row>
    <row r="189" spans="1:40">
      <c r="A189" s="27" t="s">
        <v>634</v>
      </c>
      <c r="B189" s="641">
        <v>48</v>
      </c>
      <c r="C189" s="641">
        <f t="shared" ref="C189:C200" si="5">B189*0.883</f>
        <v>42.384</v>
      </c>
      <c r="D189" s="657">
        <f t="shared" ref="D189:D200" si="6">B189*1.317</f>
        <v>63.215999999999994</v>
      </c>
      <c r="E189" s="700">
        <v>0.53404358012971109</v>
      </c>
      <c r="F189" s="700">
        <v>1.0533436023161664</v>
      </c>
      <c r="G189" s="701">
        <v>0.22152098217613855</v>
      </c>
      <c r="H189" s="700">
        <v>3.7700344272199864</v>
      </c>
      <c r="I189" s="700">
        <v>0.12699985520620904</v>
      </c>
      <c r="J189" s="700">
        <v>1.88667764888714</v>
      </c>
      <c r="K189" s="700">
        <v>0.58973771648427697</v>
      </c>
      <c r="L189" s="700">
        <v>0.33962902831495606</v>
      </c>
      <c r="M189" s="700">
        <v>0.53534567566726976</v>
      </c>
      <c r="N189" s="700">
        <v>1.0406336514744103</v>
      </c>
      <c r="O189" s="700">
        <v>2.0387451772289449</v>
      </c>
      <c r="P189" s="700"/>
      <c r="Q189" s="700">
        <v>2.1639314617332861</v>
      </c>
      <c r="R189" s="702">
        <v>8.6</v>
      </c>
      <c r="S189" s="700">
        <v>3.1069255412930827</v>
      </c>
      <c r="T189" s="700">
        <v>8.2770516397749549</v>
      </c>
      <c r="U189" s="700">
        <v>6.3198577722810541</v>
      </c>
      <c r="V189" s="704">
        <v>1.3276356993736951</v>
      </c>
      <c r="W189" s="700">
        <v>7.1169200772720025</v>
      </c>
      <c r="X189" s="700">
        <v>1.471784631314252</v>
      </c>
      <c r="Y189" s="700">
        <v>0.81318141890146223</v>
      </c>
      <c r="Z189" s="700">
        <v>2.6350627139697469</v>
      </c>
      <c r="AA189" s="700">
        <v>8.5554531963388332</v>
      </c>
      <c r="AB189" s="700">
        <v>13.881744036934723</v>
      </c>
      <c r="AC189" s="700">
        <v>1.3753247244240341</v>
      </c>
      <c r="AD189" s="700">
        <v>0.22152098217613855</v>
      </c>
      <c r="AE189" s="700"/>
      <c r="AF189" s="700">
        <v>1.6043932105848411</v>
      </c>
      <c r="AG189" s="700">
        <v>0.48317161965461464</v>
      </c>
      <c r="AH189" s="700">
        <v>5.3114763889888135</v>
      </c>
      <c r="AI189" s="700">
        <v>0.93251586348825255</v>
      </c>
      <c r="AJ189" s="700">
        <v>0.26457534563712537</v>
      </c>
      <c r="AK189" s="41"/>
      <c r="AL189" s="41"/>
      <c r="AM189" s="42"/>
    </row>
    <row r="190" spans="1:40" s="7" customFormat="1">
      <c r="A190" s="27" t="s">
        <v>422</v>
      </c>
      <c r="B190" s="693">
        <f>INDEX(E169:AJ169,1,'USER INPUTS'!B4)*1000</f>
        <v>164.5888263509548</v>
      </c>
      <c r="C190" s="641">
        <f t="shared" si="5"/>
        <v>145.33193366789308</v>
      </c>
      <c r="D190" s="657">
        <f t="shared" si="6"/>
        <v>216.76348430420748</v>
      </c>
      <c r="E190" s="700">
        <v>42.737051261151549</v>
      </c>
      <c r="F190" s="700">
        <v>45.524995026801506</v>
      </c>
      <c r="G190" s="701">
        <v>52.250412545410221</v>
      </c>
      <c r="H190" s="700">
        <v>41.502513002956242</v>
      </c>
      <c r="I190" s="700">
        <v>78.441251227694337</v>
      </c>
      <c r="J190" s="700">
        <v>57.773761270865343</v>
      </c>
      <c r="K190" s="700">
        <v>67.629056438398067</v>
      </c>
      <c r="L190" s="700">
        <v>58.709309395901634</v>
      </c>
      <c r="M190" s="700">
        <v>70.801132783155865</v>
      </c>
      <c r="N190" s="700">
        <v>33.827219725237256</v>
      </c>
      <c r="O190" s="700">
        <v>64.597221500818222</v>
      </c>
      <c r="P190" s="700">
        <v>91.1</v>
      </c>
      <c r="Q190" s="700">
        <v>65.723175990197532</v>
      </c>
      <c r="R190" s="702">
        <v>33.700000000000003</v>
      </c>
      <c r="S190" s="700">
        <v>38.101872755810703</v>
      </c>
      <c r="T190" s="700">
        <v>42.15435797304908</v>
      </c>
      <c r="U190" s="700">
        <v>29.695962484862537</v>
      </c>
      <c r="V190" s="703">
        <v>62.614170146137781</v>
      </c>
      <c r="W190" s="700">
        <v>21.484566981154877</v>
      </c>
      <c r="X190" s="700">
        <v>40.979309962280894</v>
      </c>
      <c r="Y190" s="700">
        <v>66.199361856042998</v>
      </c>
      <c r="Z190" s="700">
        <v>78.025948619547663</v>
      </c>
      <c r="AA190" s="700">
        <v>33.667408136230179</v>
      </c>
      <c r="AB190" s="700">
        <v>45.208209262259338</v>
      </c>
      <c r="AC190" s="700">
        <v>40.969409471416199</v>
      </c>
      <c r="AD190" s="700">
        <v>52.250412545410221</v>
      </c>
      <c r="AE190" s="700">
        <v>51.7</v>
      </c>
      <c r="AF190" s="700">
        <v>48.008271042990678</v>
      </c>
      <c r="AG190" s="700">
        <v>42.941497793929337</v>
      </c>
      <c r="AH190" s="700">
        <v>52.247016153601066</v>
      </c>
      <c r="AI190" s="700">
        <v>66.442291202195165</v>
      </c>
      <c r="AJ190" s="700">
        <v>58.54078480422551</v>
      </c>
      <c r="AK190" s="41"/>
      <c r="AL190" s="41"/>
      <c r="AM190" s="42"/>
      <c r="AN190" s="6"/>
    </row>
    <row r="191" spans="1:40">
      <c r="A191" s="27" t="s">
        <v>61</v>
      </c>
      <c r="B191" s="641">
        <v>119.52</v>
      </c>
      <c r="C191" s="641">
        <f t="shared" si="5"/>
        <v>105.53616</v>
      </c>
      <c r="D191" s="657">
        <f t="shared" si="6"/>
        <v>157.40783999999999</v>
      </c>
      <c r="E191" s="700">
        <v>0.57174147911612305</v>
      </c>
      <c r="F191" s="700">
        <v>1.721415533583875</v>
      </c>
      <c r="G191" s="701">
        <v>0.33272762389099186</v>
      </c>
      <c r="H191" s="700"/>
      <c r="I191" s="700">
        <v>1.3666440462712111</v>
      </c>
      <c r="J191" s="700"/>
      <c r="K191" s="700"/>
      <c r="L191" s="700">
        <v>1.1223178521504196</v>
      </c>
      <c r="M191" s="700">
        <v>1.5043813109272328</v>
      </c>
      <c r="N191" s="700">
        <v>1.3576309547428567</v>
      </c>
      <c r="O191" s="704"/>
      <c r="P191" s="700">
        <v>0.5</v>
      </c>
      <c r="Q191" s="700">
        <v>0</v>
      </c>
      <c r="R191" s="702">
        <v>3.5</v>
      </c>
      <c r="S191" s="700"/>
      <c r="T191" s="700">
        <v>0.73342904596029179</v>
      </c>
      <c r="U191" s="700">
        <v>1.4300069567906007E-2</v>
      </c>
      <c r="V191" s="704">
        <v>2.0942066805845512</v>
      </c>
      <c r="W191" s="700">
        <v>0</v>
      </c>
      <c r="X191" s="700">
        <v>1.1627745728866208</v>
      </c>
      <c r="Y191" s="700">
        <v>0.69239911124890197</v>
      </c>
      <c r="Z191" s="700">
        <v>2.224370950121326</v>
      </c>
      <c r="AA191" s="700">
        <v>3.5262459985779975</v>
      </c>
      <c r="AB191" s="700">
        <v>8.0489617836227809E-2</v>
      </c>
      <c r="AC191" s="700">
        <v>0.64679877477976799</v>
      </c>
      <c r="AD191" s="700">
        <v>0.33272762389099186</v>
      </c>
      <c r="AE191" s="700">
        <v>0.4</v>
      </c>
      <c r="AF191" s="700"/>
      <c r="AG191" s="700">
        <v>1.3016100587745205</v>
      </c>
      <c r="AH191" s="700">
        <v>2.1746537454406254</v>
      </c>
      <c r="AI191" s="700">
        <v>1.9572114560109759</v>
      </c>
      <c r="AJ191" s="700">
        <v>1.2708723837944664</v>
      </c>
      <c r="AK191" s="41"/>
      <c r="AL191" s="41"/>
      <c r="AM191" s="42"/>
    </row>
    <row r="192" spans="1:40">
      <c r="A192" s="27" t="s">
        <v>530</v>
      </c>
      <c r="B192" s="694"/>
      <c r="C192" s="694"/>
      <c r="D192" s="698"/>
      <c r="E192" s="705"/>
      <c r="F192" s="705"/>
      <c r="G192" s="705"/>
      <c r="H192" s="705"/>
      <c r="I192" s="705"/>
      <c r="J192" s="705"/>
      <c r="K192" s="705"/>
      <c r="L192" s="705"/>
      <c r="M192" s="705"/>
      <c r="N192" s="705"/>
      <c r="O192" s="705"/>
      <c r="P192" s="705"/>
      <c r="Q192" s="705"/>
      <c r="R192" s="705"/>
      <c r="S192" s="705"/>
      <c r="T192" s="705"/>
      <c r="U192" s="705"/>
      <c r="V192" s="705"/>
      <c r="W192" s="705"/>
      <c r="X192" s="705"/>
      <c r="Y192" s="705"/>
      <c r="Z192" s="705"/>
      <c r="AA192" s="705"/>
      <c r="AB192" s="705"/>
      <c r="AC192" s="705"/>
      <c r="AD192" s="705"/>
      <c r="AE192" s="705"/>
      <c r="AF192" s="705"/>
      <c r="AG192" s="706"/>
      <c r="AH192" s="705"/>
      <c r="AI192" s="705"/>
      <c r="AJ192" s="705"/>
      <c r="AK192" s="41"/>
      <c r="AL192" s="41"/>
      <c r="AM192" s="42"/>
    </row>
    <row r="193" spans="1:40" s="7" customFormat="1">
      <c r="A193" s="27" t="s">
        <v>423</v>
      </c>
      <c r="B193" s="693">
        <f>INDEX(E177:AJ177,1,'USER INPUTS'!B4)*1000</f>
        <v>172.41435895653785</v>
      </c>
      <c r="C193" s="641">
        <f>B193*0.859</f>
        <v>148.10393434366603</v>
      </c>
      <c r="D193" s="657">
        <f>B193*1.382</f>
        <v>238.27664407793529</v>
      </c>
      <c r="E193" s="700">
        <v>55.464697026360966</v>
      </c>
      <c r="F193" s="700">
        <v>50.503637155437985</v>
      </c>
      <c r="G193" s="701">
        <v>46.494896756427373</v>
      </c>
      <c r="H193" s="700">
        <v>50.957418142603785</v>
      </c>
      <c r="I193" s="700">
        <v>19.938105015622028</v>
      </c>
      <c r="J193" s="700">
        <v>38.452883431360377</v>
      </c>
      <c r="K193" s="700">
        <v>30.822652436384168</v>
      </c>
      <c r="L193" s="700">
        <v>39.43332476634049</v>
      </c>
      <c r="M193" s="700">
        <v>25.859835596816843</v>
      </c>
      <c r="N193" s="700">
        <v>62.279146471656908</v>
      </c>
      <c r="O193" s="700">
        <v>31.023779369041016</v>
      </c>
      <c r="P193" s="700">
        <v>8.1</v>
      </c>
      <c r="Q193" s="700">
        <v>31.156367600734562</v>
      </c>
      <c r="R193" s="702">
        <v>41.9</v>
      </c>
      <c r="S193" s="700">
        <v>55.68427616160313</v>
      </c>
      <c r="T193" s="700">
        <v>40.515527030312484</v>
      </c>
      <c r="U193" s="700">
        <v>57.647058823529406</v>
      </c>
      <c r="V193" s="703">
        <v>32.505871607515658</v>
      </c>
      <c r="W193" s="700">
        <v>62.981454843165977</v>
      </c>
      <c r="X193" s="700">
        <v>54.924053324458256</v>
      </c>
      <c r="Y193" s="700">
        <v>31.376272412545859</v>
      </c>
      <c r="Z193" s="700">
        <v>13.38681915503906</v>
      </c>
      <c r="AA193" s="700">
        <v>41.852148313934769</v>
      </c>
      <c r="AB193" s="700">
        <v>26.938310406683975</v>
      </c>
      <c r="AC193" s="700">
        <v>55.080389475753996</v>
      </c>
      <c r="AD193" s="700">
        <v>46.494896756427373</v>
      </c>
      <c r="AE193" s="700">
        <v>44.3</v>
      </c>
      <c r="AF193" s="700">
        <v>48.782942535839638</v>
      </c>
      <c r="AG193" s="700">
        <v>54.707983349920738</v>
      </c>
      <c r="AH193" s="700">
        <v>33.647637444457992</v>
      </c>
      <c r="AI193" s="700">
        <v>29.638998456525467</v>
      </c>
      <c r="AJ193" s="700">
        <v>39.231528062568245</v>
      </c>
      <c r="AK193" s="41"/>
      <c r="AL193" s="41"/>
      <c r="AM193" s="42"/>
      <c r="AN193" s="6"/>
    </row>
    <row r="194" spans="1:40" s="7" customFormat="1">
      <c r="A194" s="27" t="s">
        <v>64</v>
      </c>
      <c r="B194" s="641">
        <v>119.52</v>
      </c>
      <c r="C194" s="641">
        <f>B194*0.859</f>
        <v>102.66767999999999</v>
      </c>
      <c r="D194" s="657">
        <f>B194*1.382</f>
        <v>165.17663999999999</v>
      </c>
      <c r="E194" s="700">
        <v>4.4350469395778795E-2</v>
      </c>
      <c r="F194" s="700">
        <v>0.14326507954429371</v>
      </c>
      <c r="G194" s="701">
        <v>0.47892110991913739</v>
      </c>
      <c r="H194" s="700"/>
      <c r="I194" s="700">
        <v>0</v>
      </c>
      <c r="J194" s="700"/>
      <c r="K194" s="700"/>
      <c r="L194" s="700">
        <v>5.578992897753985E-2</v>
      </c>
      <c r="M194" s="700">
        <v>5.5955475468833754E-2</v>
      </c>
      <c r="N194" s="700">
        <v>0.21675326733372083</v>
      </c>
      <c r="O194" s="700"/>
      <c r="P194" s="700"/>
      <c r="Q194" s="700">
        <v>0</v>
      </c>
      <c r="R194" s="702">
        <v>0.1</v>
      </c>
      <c r="S194" s="700"/>
      <c r="T194" s="700">
        <v>4.2582671128225308E-2</v>
      </c>
      <c r="U194" s="700">
        <v>2.9630774780345778E-3</v>
      </c>
      <c r="V194" s="703">
        <v>0.12721816283924844</v>
      </c>
      <c r="W194" s="700">
        <v>0</v>
      </c>
      <c r="X194" s="700"/>
      <c r="Y194" s="700">
        <v>1.7439156719888389E-2</v>
      </c>
      <c r="Z194" s="700">
        <v>7.1851984911083175E-2</v>
      </c>
      <c r="AA194" s="700">
        <v>5.5593894921989004E-2</v>
      </c>
      <c r="AB194" s="700">
        <v>9.502639351009326E-3</v>
      </c>
      <c r="AC194" s="700">
        <v>0.23572085339957369</v>
      </c>
      <c r="AD194" s="700">
        <v>0.47892110991913739</v>
      </c>
      <c r="AE194" s="700"/>
      <c r="AF194" s="700"/>
      <c r="AG194" s="700">
        <v>5.6355298946078519E-2</v>
      </c>
      <c r="AH194" s="700">
        <v>1.6425287340718832E-2</v>
      </c>
      <c r="AI194" s="700">
        <v>0.15220373863831246</v>
      </c>
      <c r="AJ194" s="700">
        <v>3.1881694641653864E-2</v>
      </c>
      <c r="AK194" s="41"/>
      <c r="AL194" s="41"/>
      <c r="AM194" s="42"/>
      <c r="AN194" s="6"/>
    </row>
    <row r="195" spans="1:40" s="7" customFormat="1">
      <c r="A195" s="27" t="s">
        <v>531</v>
      </c>
      <c r="B195" s="695"/>
      <c r="C195" s="697"/>
      <c r="D195" s="697"/>
      <c r="E195" s="707"/>
      <c r="F195" s="706"/>
      <c r="G195" s="706"/>
      <c r="H195" s="706"/>
      <c r="I195" s="706"/>
      <c r="J195" s="706"/>
      <c r="K195" s="706"/>
      <c r="L195" s="706"/>
      <c r="M195" s="706"/>
      <c r="N195" s="706"/>
      <c r="O195" s="706"/>
      <c r="P195" s="706"/>
      <c r="Q195" s="706"/>
      <c r="R195" s="706"/>
      <c r="S195" s="706"/>
      <c r="T195" s="706"/>
      <c r="U195" s="706"/>
      <c r="V195" s="706"/>
      <c r="W195" s="706"/>
      <c r="X195" s="706"/>
      <c r="Y195" s="706"/>
      <c r="Z195" s="706"/>
      <c r="AA195" s="706"/>
      <c r="AB195" s="706"/>
      <c r="AC195" s="706"/>
      <c r="AD195" s="706"/>
      <c r="AE195" s="706"/>
      <c r="AF195" s="706"/>
      <c r="AG195" s="706"/>
      <c r="AH195" s="706"/>
      <c r="AI195" s="706"/>
      <c r="AJ195" s="706"/>
      <c r="AK195" s="41"/>
      <c r="AL195" s="41"/>
      <c r="AM195" s="42"/>
      <c r="AN195" s="6"/>
    </row>
    <row r="196" spans="1:40">
      <c r="A196" s="27" t="s">
        <v>66</v>
      </c>
      <c r="B196" s="641">
        <v>0</v>
      </c>
      <c r="C196" s="641">
        <f t="shared" si="5"/>
        <v>0</v>
      </c>
      <c r="D196" s="657">
        <f t="shared" si="6"/>
        <v>0</v>
      </c>
      <c r="E196" s="700">
        <v>4.7946453400841938E-4</v>
      </c>
      <c r="F196" s="700"/>
      <c r="G196" s="701"/>
      <c r="H196" s="700">
        <v>5.5788721417345941E-5</v>
      </c>
      <c r="I196" s="700">
        <v>0</v>
      </c>
      <c r="J196" s="708"/>
      <c r="K196" s="708">
        <v>2.8866444707449832E-3</v>
      </c>
      <c r="L196" s="708"/>
      <c r="M196" s="700">
        <v>2.8019767385495118E-5</v>
      </c>
      <c r="N196" s="700">
        <v>6.105553852954025E-4</v>
      </c>
      <c r="O196" s="700"/>
      <c r="P196" s="700"/>
      <c r="Q196" s="700">
        <v>0</v>
      </c>
      <c r="R196" s="702">
        <v>0</v>
      </c>
      <c r="S196" s="700"/>
      <c r="T196" s="700"/>
      <c r="U196" s="700">
        <v>0</v>
      </c>
      <c r="V196" s="704">
        <v>0</v>
      </c>
      <c r="W196" s="700">
        <v>0</v>
      </c>
      <c r="X196" s="700"/>
      <c r="Y196" s="700">
        <v>0</v>
      </c>
      <c r="Z196" s="700">
        <v>2.0195748413483712E-4</v>
      </c>
      <c r="AA196" s="700">
        <v>4.8640577471382044E-3</v>
      </c>
      <c r="AB196" s="700">
        <v>3.5352080918933507E-6</v>
      </c>
      <c r="AC196" s="700">
        <v>0</v>
      </c>
      <c r="AD196" s="700"/>
      <c r="AE196" s="700"/>
      <c r="AF196" s="700"/>
      <c r="AG196" s="700">
        <v>2.9987000230170493E-4</v>
      </c>
      <c r="AH196" s="700">
        <v>7.5630012548764394E-4</v>
      </c>
      <c r="AI196" s="700">
        <v>2.1437146287086265E-3</v>
      </c>
      <c r="AJ196" s="700">
        <v>3.2910136404287863E-4</v>
      </c>
      <c r="AK196" s="41"/>
      <c r="AL196" s="41"/>
      <c r="AM196" s="42"/>
    </row>
    <row r="197" spans="1:40">
      <c r="A197" s="27" t="s">
        <v>67</v>
      </c>
      <c r="B197" s="696">
        <v>5</v>
      </c>
      <c r="C197" s="696">
        <f t="shared" si="5"/>
        <v>4.415</v>
      </c>
      <c r="D197" s="699">
        <f t="shared" si="6"/>
        <v>6.585</v>
      </c>
      <c r="E197" s="700"/>
      <c r="F197" s="700">
        <v>1.831346742151755E-3</v>
      </c>
      <c r="G197" s="701"/>
      <c r="H197" s="700">
        <v>1.1157744283469188E-4</v>
      </c>
      <c r="I197" s="700">
        <v>0</v>
      </c>
      <c r="J197" s="708"/>
      <c r="K197" s="708"/>
      <c r="L197" s="708"/>
      <c r="M197" s="700">
        <v>0.12541647881747614</v>
      </c>
      <c r="N197" s="700">
        <v>0.128283792004417</v>
      </c>
      <c r="O197" s="700"/>
      <c r="P197" s="700"/>
      <c r="Q197" s="700">
        <v>0</v>
      </c>
      <c r="R197" s="702">
        <v>0</v>
      </c>
      <c r="S197" s="700"/>
      <c r="T197" s="700"/>
      <c r="U197" s="700">
        <v>0</v>
      </c>
      <c r="V197" s="704">
        <v>0</v>
      </c>
      <c r="W197" s="700">
        <v>0</v>
      </c>
      <c r="X197" s="700"/>
      <c r="Y197" s="700">
        <v>0</v>
      </c>
      <c r="Z197" s="700">
        <v>3.8506560308375612E-2</v>
      </c>
      <c r="AA197" s="700">
        <v>0</v>
      </c>
      <c r="AB197" s="700">
        <v>6.5047828890837651E-4</v>
      </c>
      <c r="AC197" s="700">
        <v>5.2458788646977494E-4</v>
      </c>
      <c r="AD197" s="700"/>
      <c r="AE197" s="700"/>
      <c r="AF197" s="700"/>
      <c r="AG197" s="700">
        <v>0</v>
      </c>
      <c r="AH197" s="700">
        <v>1.8422695364442609E-3</v>
      </c>
      <c r="AI197" s="700">
        <v>0</v>
      </c>
      <c r="AJ197" s="700"/>
      <c r="AK197" s="41"/>
      <c r="AL197" s="41"/>
      <c r="AM197" s="42"/>
    </row>
    <row r="198" spans="1:40">
      <c r="A198" s="27" t="s">
        <v>39</v>
      </c>
      <c r="B198" s="696">
        <v>1</v>
      </c>
      <c r="C198" s="696">
        <f t="shared" si="5"/>
        <v>0.88300000000000001</v>
      </c>
      <c r="D198" s="699">
        <f t="shared" si="6"/>
        <v>1.3169999999999999</v>
      </c>
      <c r="E198" s="700"/>
      <c r="F198" s="700"/>
      <c r="G198" s="701"/>
      <c r="H198" s="700">
        <v>5.5788721417345941E-5</v>
      </c>
      <c r="I198" s="700">
        <v>0</v>
      </c>
      <c r="J198" s="700"/>
      <c r="K198" s="700"/>
      <c r="L198" s="700"/>
      <c r="M198" s="700"/>
      <c r="N198" s="700"/>
      <c r="O198" s="700"/>
      <c r="P198" s="700"/>
      <c r="Q198" s="700">
        <v>0</v>
      </c>
      <c r="R198" s="702">
        <v>0</v>
      </c>
      <c r="S198" s="700"/>
      <c r="T198" s="700"/>
      <c r="U198" s="700">
        <v>0</v>
      </c>
      <c r="V198" s="704">
        <v>0</v>
      </c>
      <c r="W198" s="700">
        <v>0</v>
      </c>
      <c r="X198" s="700"/>
      <c r="Y198" s="700">
        <v>0</v>
      </c>
      <c r="Z198" s="700">
        <v>0</v>
      </c>
      <c r="AA198" s="700">
        <v>0</v>
      </c>
      <c r="AB198" s="700">
        <v>4.8432350858938907E-4</v>
      </c>
      <c r="AC198" s="700">
        <v>0</v>
      </c>
      <c r="AD198" s="700"/>
      <c r="AE198" s="700"/>
      <c r="AF198" s="700"/>
      <c r="AG198" s="700">
        <v>1.9856256909166946E-4</v>
      </c>
      <c r="AH198" s="700">
        <v>5.8176932729818755E-5</v>
      </c>
      <c r="AI198" s="700">
        <v>0</v>
      </c>
      <c r="AJ198" s="700"/>
      <c r="AK198" s="41"/>
      <c r="AL198" s="41"/>
      <c r="AM198" s="42"/>
    </row>
    <row r="199" spans="1:40">
      <c r="A199" s="27" t="s">
        <v>69</v>
      </c>
      <c r="B199" s="641">
        <v>30</v>
      </c>
      <c r="C199" s="641">
        <v>27</v>
      </c>
      <c r="D199" s="657">
        <v>38</v>
      </c>
      <c r="E199" s="700">
        <v>7.012168809873133E-2</v>
      </c>
      <c r="F199" s="700"/>
      <c r="G199" s="701">
        <v>0.1778413966184085</v>
      </c>
      <c r="H199" s="700">
        <v>3.4303369025097674</v>
      </c>
      <c r="I199" s="700">
        <v>0</v>
      </c>
      <c r="J199" s="708"/>
      <c r="K199" s="708"/>
      <c r="L199" s="708"/>
      <c r="M199" s="700">
        <v>0.18554689962674867</v>
      </c>
      <c r="N199" s="700">
        <v>0.42297445427109592</v>
      </c>
      <c r="O199" s="700"/>
      <c r="P199" s="700"/>
      <c r="Q199" s="700">
        <v>0.75194318893959411</v>
      </c>
      <c r="R199" s="702">
        <v>0</v>
      </c>
      <c r="S199" s="700"/>
      <c r="T199" s="700"/>
      <c r="U199" s="700">
        <v>0</v>
      </c>
      <c r="V199" s="704">
        <v>0.21529227557411273</v>
      </c>
      <c r="W199" s="700">
        <v>0</v>
      </c>
      <c r="X199" s="700"/>
      <c r="Y199" s="700">
        <v>0.49410944039683768</v>
      </c>
      <c r="Z199" s="700">
        <v>0</v>
      </c>
      <c r="AA199" s="700">
        <v>0</v>
      </c>
      <c r="AB199" s="700">
        <v>0</v>
      </c>
      <c r="AC199" s="700">
        <v>6.2046084503149255E-3</v>
      </c>
      <c r="AD199" s="700">
        <v>0.1778413966184085</v>
      </c>
      <c r="AE199" s="700"/>
      <c r="AF199" s="700"/>
      <c r="AG199" s="700">
        <v>0</v>
      </c>
      <c r="AH199" s="700">
        <v>0.59679836825339083</v>
      </c>
      <c r="AI199" s="700">
        <v>0.15006002400960386</v>
      </c>
      <c r="AJ199" s="700">
        <v>8.6854280181585475E-2</v>
      </c>
      <c r="AK199" s="41"/>
      <c r="AL199" s="41"/>
      <c r="AM199" s="42"/>
    </row>
    <row r="200" spans="1:40" s="7" customFormat="1">
      <c r="A200" s="37" t="s">
        <v>539</v>
      </c>
      <c r="B200" s="641">
        <v>171.48</v>
      </c>
      <c r="C200" s="641">
        <f t="shared" si="5"/>
        <v>151.41683999999998</v>
      </c>
      <c r="D200" s="657">
        <f t="shared" si="6"/>
        <v>225.83915999999996</v>
      </c>
      <c r="E200" s="700"/>
      <c r="F200" s="700">
        <v>0.7047492701495186</v>
      </c>
      <c r="G200" s="701">
        <v>1.0074368991898192E-4</v>
      </c>
      <c r="H200" s="700">
        <v>0.29545706862626409</v>
      </c>
      <c r="I200" s="700">
        <v>9.7866646663026455E-2</v>
      </c>
      <c r="J200" s="709">
        <v>2.3274460585282858E-4</v>
      </c>
      <c r="K200" s="709">
        <v>1.1246666769136296E-4</v>
      </c>
      <c r="L200" s="709"/>
      <c r="M200" s="700">
        <v>4.6232616186066946E-3</v>
      </c>
      <c r="N200" s="700">
        <v>1.2809451983497542E-2</v>
      </c>
      <c r="O200" s="700">
        <v>1.1283903621156077</v>
      </c>
      <c r="P200" s="700"/>
      <c r="Q200" s="700">
        <v>4.4688928681666214E-3</v>
      </c>
      <c r="R200" s="702">
        <v>0</v>
      </c>
      <c r="S200" s="700">
        <v>2.7375346707088952</v>
      </c>
      <c r="T200" s="700">
        <v>1.4368955152206316E-2</v>
      </c>
      <c r="U200" s="700">
        <v>3.5864832135219396</v>
      </c>
      <c r="V200" s="709">
        <v>3.262004175365344E-3</v>
      </c>
      <c r="W200" s="700">
        <v>7.0241416132792818</v>
      </c>
      <c r="X200" s="700">
        <v>0.85861807558612524</v>
      </c>
      <c r="Y200" s="700">
        <v>0</v>
      </c>
      <c r="Z200" s="700">
        <v>0</v>
      </c>
      <c r="AA200" s="700">
        <v>3.2873195646766253E-2</v>
      </c>
      <c r="AB200" s="700">
        <v>2.0786670059523713</v>
      </c>
      <c r="AC200" s="700">
        <v>3.6178474928949993E-5</v>
      </c>
      <c r="AD200" s="700">
        <v>1.0074368991898192E-4</v>
      </c>
      <c r="AE200" s="700"/>
      <c r="AF200" s="700">
        <v>0.58056034712037508</v>
      </c>
      <c r="AG200" s="700">
        <v>9.8106118320598311E-3</v>
      </c>
      <c r="AH200" s="700">
        <v>3.9131356338948895</v>
      </c>
      <c r="AI200" s="700">
        <v>4.287429257417253E-3</v>
      </c>
      <c r="AJ200" s="700">
        <v>1.0854016141029555E-3</v>
      </c>
      <c r="AK200" s="41"/>
      <c r="AL200" s="41"/>
      <c r="AM200" s="42"/>
      <c r="AN200" s="6"/>
    </row>
    <row r="201" spans="1:40" s="7" customFormat="1">
      <c r="A201" s="43" t="s">
        <v>190</v>
      </c>
      <c r="B201" s="90" t="s">
        <v>192</v>
      </c>
      <c r="C201" s="90" t="s">
        <v>192</v>
      </c>
      <c r="D201" s="233" t="s">
        <v>192</v>
      </c>
      <c r="E201" s="700">
        <v>0</v>
      </c>
      <c r="F201" s="700">
        <v>0</v>
      </c>
      <c r="G201" s="701">
        <v>0</v>
      </c>
      <c r="H201" s="700">
        <v>0</v>
      </c>
      <c r="I201" s="700">
        <v>0</v>
      </c>
      <c r="J201" s="709">
        <v>0</v>
      </c>
      <c r="K201" s="709">
        <v>0</v>
      </c>
      <c r="L201" s="709">
        <v>0</v>
      </c>
      <c r="M201" s="700">
        <v>0</v>
      </c>
      <c r="N201" s="700">
        <v>0</v>
      </c>
      <c r="O201" s="700">
        <v>0</v>
      </c>
      <c r="P201" s="700"/>
      <c r="Q201" s="700">
        <v>0</v>
      </c>
      <c r="R201" s="702"/>
      <c r="S201" s="700">
        <v>0</v>
      </c>
      <c r="T201" s="700">
        <v>0</v>
      </c>
      <c r="U201" s="700">
        <v>0</v>
      </c>
      <c r="V201" s="709">
        <v>0</v>
      </c>
      <c r="W201" s="700">
        <v>0</v>
      </c>
      <c r="X201" s="700">
        <v>0</v>
      </c>
      <c r="Y201" s="700">
        <v>0</v>
      </c>
      <c r="Z201" s="700">
        <v>0</v>
      </c>
      <c r="AA201" s="700">
        <v>0</v>
      </c>
      <c r="AB201" s="700">
        <v>0</v>
      </c>
      <c r="AC201" s="700">
        <v>0</v>
      </c>
      <c r="AD201" s="700">
        <v>0</v>
      </c>
      <c r="AE201" s="700"/>
      <c r="AF201" s="700">
        <v>0</v>
      </c>
      <c r="AG201" s="700">
        <v>0</v>
      </c>
      <c r="AH201" s="700">
        <v>0</v>
      </c>
      <c r="AI201" s="700">
        <v>0</v>
      </c>
      <c r="AJ201" s="700">
        <v>0</v>
      </c>
      <c r="AK201" s="41"/>
      <c r="AL201" s="41"/>
      <c r="AM201" s="42"/>
      <c r="AN201" s="6"/>
    </row>
    <row r="202" spans="1:40" s="7" customFormat="1">
      <c r="A202" s="27" t="s">
        <v>530</v>
      </c>
      <c r="B202" s="83">
        <f>23.07/100</f>
        <v>0.23070000000000002</v>
      </c>
      <c r="C202" s="83">
        <v>0.24043772798332469</v>
      </c>
      <c r="D202" s="232">
        <v>0.20437206878582598</v>
      </c>
      <c r="E202" s="700">
        <v>0.10921802530933454</v>
      </c>
      <c r="F202" s="700"/>
      <c r="G202" s="701"/>
      <c r="H202" s="700"/>
      <c r="I202" s="700">
        <v>0</v>
      </c>
      <c r="J202" s="708"/>
      <c r="K202" s="708">
        <v>0.36881569224920963</v>
      </c>
      <c r="L202" s="708"/>
      <c r="M202" s="700">
        <v>0.64453870916854428</v>
      </c>
      <c r="N202" s="700">
        <v>0.23152260210401657</v>
      </c>
      <c r="O202" s="700"/>
      <c r="P202" s="700"/>
      <c r="Q202" s="700">
        <v>0</v>
      </c>
      <c r="R202" s="702">
        <v>3.5</v>
      </c>
      <c r="S202" s="700"/>
      <c r="T202" s="700"/>
      <c r="U202" s="700">
        <v>0</v>
      </c>
      <c r="V202" s="704"/>
      <c r="W202" s="700">
        <v>1.2995182585166229</v>
      </c>
      <c r="X202" s="700"/>
      <c r="Y202" s="700">
        <v>8.8164625639435751E-2</v>
      </c>
      <c r="Z202" s="700">
        <v>0.87060505452459369</v>
      </c>
      <c r="AA202" s="700">
        <v>3.544004706057482</v>
      </c>
      <c r="AB202" s="708"/>
      <c r="AC202" s="700">
        <v>0.26822721312323528</v>
      </c>
      <c r="AD202" s="700"/>
      <c r="AE202" s="700"/>
      <c r="AF202" s="700"/>
      <c r="AG202" s="700">
        <v>2.5371433573121271E-2</v>
      </c>
      <c r="AH202" s="700">
        <v>1.2092075467892829</v>
      </c>
      <c r="AI202" s="700"/>
      <c r="AJ202" s="700">
        <v>0.39067812791701684</v>
      </c>
      <c r="AK202" s="446"/>
      <c r="AL202" s="446"/>
      <c r="AM202" s="42"/>
      <c r="AN202" s="6"/>
    </row>
    <row r="203" spans="1:40" s="7" customFormat="1">
      <c r="A203" s="27" t="s">
        <v>531</v>
      </c>
      <c r="B203" s="83">
        <f>23.53/100</f>
        <v>0.23530000000000001</v>
      </c>
      <c r="C203" s="83">
        <v>0.24523189161021366</v>
      </c>
      <c r="D203" s="232">
        <v>0.20844710786868162</v>
      </c>
      <c r="E203" s="700">
        <v>4.8545784068352461E-3</v>
      </c>
      <c r="F203" s="700"/>
      <c r="G203" s="701"/>
      <c r="H203" s="700"/>
      <c r="I203" s="700">
        <v>0</v>
      </c>
      <c r="J203" s="708"/>
      <c r="K203" s="708"/>
      <c r="L203" s="708"/>
      <c r="M203" s="700">
        <v>5.884151150953975E-2</v>
      </c>
      <c r="N203" s="700">
        <v>6.4596759764253579E-3</v>
      </c>
      <c r="O203" s="700"/>
      <c r="P203" s="700"/>
      <c r="Q203" s="700">
        <v>0</v>
      </c>
      <c r="R203" s="702">
        <v>0.2</v>
      </c>
      <c r="S203" s="700"/>
      <c r="T203" s="700"/>
      <c r="U203" s="700">
        <v>0</v>
      </c>
      <c r="V203" s="703"/>
      <c r="W203" s="700">
        <v>6.1976261852185368E-4</v>
      </c>
      <c r="X203" s="700"/>
      <c r="Y203" s="700">
        <v>0</v>
      </c>
      <c r="Z203" s="700">
        <v>0.15027880791677825</v>
      </c>
      <c r="AA203" s="700">
        <v>0.24369255759991068</v>
      </c>
      <c r="AB203" s="700"/>
      <c r="AC203" s="700">
        <v>4.8804762679153547E-2</v>
      </c>
      <c r="AD203" s="700"/>
      <c r="AE203" s="700"/>
      <c r="AF203" s="700"/>
      <c r="AG203" s="700">
        <v>8.3882554697909328E-4</v>
      </c>
      <c r="AH203" s="700">
        <v>8.2107044392684209E-2</v>
      </c>
      <c r="AI203" s="700"/>
      <c r="AJ203" s="700">
        <v>5.1042355788573383E-3</v>
      </c>
      <c r="AK203" s="446"/>
      <c r="AL203" s="446"/>
      <c r="AM203" s="42"/>
      <c r="AN203" s="6"/>
    </row>
    <row r="204" spans="1:40" s="7" customFormat="1">
      <c r="A204" s="72" t="s">
        <v>529</v>
      </c>
      <c r="B204" s="90">
        <f>22.72/100</f>
        <v>0.22719999999999999</v>
      </c>
      <c r="C204" s="90">
        <v>0.23678999478895257</v>
      </c>
      <c r="D204" s="233">
        <v>0.20127149557060969</v>
      </c>
      <c r="E204" s="710">
        <v>0.41615523783039104</v>
      </c>
      <c r="F204" s="711">
        <v>0.25769904890939105</v>
      </c>
      <c r="G204" s="712">
        <v>4.0268692056187341E-2</v>
      </c>
      <c r="H204" s="711">
        <v>4.0446823027575803E-2</v>
      </c>
      <c r="I204" s="711">
        <v>2.9133208543182566E-2</v>
      </c>
      <c r="J204" s="711">
        <v>0.13598934827686698</v>
      </c>
      <c r="K204" s="711">
        <v>0.5813402052966552</v>
      </c>
      <c r="L204" s="711">
        <v>0.1732622063976631</v>
      </c>
      <c r="M204" s="711">
        <v>0.13533547647194144</v>
      </c>
      <c r="N204" s="711">
        <v>0.47356202071974651</v>
      </c>
      <c r="O204" s="711">
        <v>0.28047571466728038</v>
      </c>
      <c r="P204" s="713"/>
      <c r="Q204" s="711">
        <v>0.17135086317185386</v>
      </c>
      <c r="R204" s="714">
        <v>8.5</v>
      </c>
      <c r="S204" s="711">
        <v>0.36939087058418801</v>
      </c>
      <c r="T204" s="711">
        <v>5.2716321662525448E-2</v>
      </c>
      <c r="U204" s="711">
        <v>8.4769781762902272E-2</v>
      </c>
      <c r="V204" s="715">
        <v>1.0046972860125261</v>
      </c>
      <c r="W204" s="711">
        <v>8.6456885283798607E-2</v>
      </c>
      <c r="X204" s="711">
        <v>0.50731269876488427</v>
      </c>
      <c r="Y204" s="711">
        <v>0.31745724177130163</v>
      </c>
      <c r="Z204" s="711">
        <v>1.1955658663577764</v>
      </c>
      <c r="AA204" s="711">
        <v>8.5101097318369892</v>
      </c>
      <c r="AB204" s="711">
        <v>1.836894124547785E-2</v>
      </c>
      <c r="AC204" s="711">
        <v>0.32812067836811198</v>
      </c>
      <c r="AD204" s="711">
        <v>4.0268692056187341E-2</v>
      </c>
      <c r="AE204" s="711">
        <v>0.1</v>
      </c>
      <c r="AF204" s="711">
        <v>0.1686968547915226</v>
      </c>
      <c r="AG204" s="711">
        <v>0.15987528649742111</v>
      </c>
      <c r="AH204" s="711">
        <v>0.58842088994029684</v>
      </c>
      <c r="AI204" s="711">
        <v>0.61524609843937572</v>
      </c>
      <c r="AJ204" s="711">
        <v>0.17510407672416045</v>
      </c>
      <c r="AK204" s="41"/>
      <c r="AL204" s="41"/>
      <c r="AM204" s="42"/>
      <c r="AN204" s="6"/>
    </row>
    <row r="205" spans="1:40" s="7" customFormat="1">
      <c r="A205" s="27" t="s">
        <v>721</v>
      </c>
      <c r="B205" s="41"/>
      <c r="C205" s="83"/>
      <c r="D205" s="542"/>
      <c r="E205" s="641">
        <f t="shared" ref="E205:AJ205" si="7">((E187/100*$B$187)+(E188/100*$B$188)+(E189/100*$B$189)+(E190/100*$B$190))+(E191/100*$B$191)+(E192/100*$B$192)+(E193/100*$B$193)+(E194/100*$B$194)+(E195/100*$B$195)+(E196/100*$B$196)+(E197/100*$B$197)+(E198/100*$B$198)+(E199/100*$B$199)+(E200/100*$B$200)+(E202/100*$B$202*E16/1000)+(E203/100*$B$203*E16/1000)+(E204/100*$B$204*E16/1000)</f>
        <v>167.06690915617324</v>
      </c>
      <c r="F205" s="641">
        <f t="shared" si="7"/>
        <v>166.10459648915619</v>
      </c>
      <c r="G205" s="641">
        <f t="shared" si="7"/>
        <v>167.29809579877391</v>
      </c>
      <c r="H205" s="641">
        <f t="shared" si="7"/>
        <v>159.51879407275825</v>
      </c>
      <c r="I205" s="641">
        <f t="shared" si="7"/>
        <v>165.34393064356701</v>
      </c>
      <c r="J205" s="641">
        <f t="shared" si="7"/>
        <v>165.76443566555764</v>
      </c>
      <c r="K205" s="641">
        <f t="shared" si="7"/>
        <v>164.74561954953552</v>
      </c>
      <c r="L205" s="641">
        <f t="shared" si="7"/>
        <v>166.48234137783078</v>
      </c>
      <c r="M205" s="641">
        <f t="shared" si="7"/>
        <v>163.46565905944192</v>
      </c>
      <c r="N205" s="641">
        <f t="shared" si="7"/>
        <v>165.59494914086687</v>
      </c>
      <c r="O205" s="641">
        <f t="shared" si="7"/>
        <v>164.53263163090958</v>
      </c>
      <c r="P205" s="641">
        <f t="shared" si="7"/>
        <v>164.67982388119938</v>
      </c>
      <c r="Q205" s="641">
        <f t="shared" si="7"/>
        <v>163.21389925383016</v>
      </c>
      <c r="R205" s="641">
        <f t="shared" si="7"/>
        <v>136.13877088306114</v>
      </c>
      <c r="S205" s="641">
        <f t="shared" si="7"/>
        <v>164.90506724547546</v>
      </c>
      <c r="T205" s="641">
        <f t="shared" si="7"/>
        <v>159.94633437374119</v>
      </c>
      <c r="U205" s="641">
        <f t="shared" si="7"/>
        <v>162.7179773646869</v>
      </c>
      <c r="V205" s="641">
        <f t="shared" si="7"/>
        <v>162.65292695747902</v>
      </c>
      <c r="W205" s="641">
        <f t="shared" si="7"/>
        <v>159.42376540435492</v>
      </c>
      <c r="X205" s="641">
        <f t="shared" si="7"/>
        <v>165.89749288905932</v>
      </c>
      <c r="Y205" s="641">
        <f t="shared" si="7"/>
        <v>164.44452201864337</v>
      </c>
      <c r="Z205" s="641">
        <f t="shared" si="7"/>
        <v>158.26928986504672</v>
      </c>
      <c r="AA205" s="641">
        <f t="shared" si="7"/>
        <v>136.02931385652272</v>
      </c>
      <c r="AB205" s="641">
        <f t="shared" si="7"/>
        <v>154.54865523513922</v>
      </c>
      <c r="AC205" s="641">
        <f t="shared" si="7"/>
        <v>166.1775098006585</v>
      </c>
      <c r="AD205" s="641">
        <f t="shared" si="7"/>
        <v>167.29807782887133</v>
      </c>
      <c r="AE205" s="641">
        <f t="shared" si="7"/>
        <v>166.09198334809898</v>
      </c>
      <c r="AF205" s="641">
        <f t="shared" si="7"/>
        <v>166.58127154851798</v>
      </c>
      <c r="AG205" s="641">
        <f t="shared" si="7"/>
        <v>167.48277128404433</v>
      </c>
      <c r="AH205" s="641">
        <f t="shared" si="7"/>
        <v>156.43487565897587</v>
      </c>
      <c r="AI205" s="641">
        <f t="shared" si="7"/>
        <v>163.66758812499111</v>
      </c>
      <c r="AJ205" s="641">
        <f t="shared" si="7"/>
        <v>165.70680328618542</v>
      </c>
      <c r="AK205" s="41"/>
      <c r="AL205" s="41"/>
      <c r="AM205" s="42"/>
      <c r="AN205" s="6"/>
    </row>
    <row r="206" spans="1:40" s="7" customFormat="1">
      <c r="A206" s="37"/>
      <c r="B206" s="383"/>
      <c r="C206" s="307"/>
      <c r="D206" s="379" t="s">
        <v>425</v>
      </c>
      <c r="E206" s="450" t="s">
        <v>182</v>
      </c>
      <c r="F206" s="41"/>
      <c r="G206" s="222" t="s">
        <v>176</v>
      </c>
      <c r="H206" s="41"/>
      <c r="I206" s="41"/>
      <c r="J206" s="41"/>
      <c r="K206" s="41"/>
      <c r="L206" s="41"/>
      <c r="M206" s="41"/>
      <c r="N206" s="41"/>
      <c r="O206" s="41"/>
      <c r="P206" s="223" t="s">
        <v>206</v>
      </c>
      <c r="Q206" s="41"/>
      <c r="R206" s="222" t="s">
        <v>179</v>
      </c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223" t="s">
        <v>206</v>
      </c>
      <c r="AF206" s="41"/>
      <c r="AG206" s="37"/>
      <c r="AH206" s="41"/>
      <c r="AI206" s="41"/>
      <c r="AJ206" s="223" t="s">
        <v>182</v>
      </c>
      <c r="AK206" s="41"/>
      <c r="AL206" s="41"/>
      <c r="AM206" s="42"/>
      <c r="AN206" s="6"/>
    </row>
    <row r="207" spans="1:40" s="7" customFormat="1">
      <c r="A207" s="451" t="s">
        <v>536</v>
      </c>
      <c r="B207" s="1"/>
      <c r="C207" s="2"/>
      <c r="D207" s="371" t="s">
        <v>42</v>
      </c>
      <c r="E207" s="370">
        <v>2016</v>
      </c>
      <c r="F207" s="41"/>
      <c r="G207" s="41"/>
      <c r="H207" s="307"/>
      <c r="I207" s="382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37"/>
      <c r="AH207" s="41"/>
      <c r="AI207" s="41"/>
      <c r="AJ207" s="41"/>
      <c r="AK207" s="41"/>
      <c r="AL207" s="41"/>
      <c r="AM207" s="42"/>
      <c r="AN207" s="6"/>
    </row>
    <row r="208" spans="1:40" s="7" customFormat="1">
      <c r="A208" s="451" t="s">
        <v>537</v>
      </c>
      <c r="B208" s="1"/>
      <c r="C208" s="2"/>
      <c r="D208" s="371" t="s">
        <v>1</v>
      </c>
      <c r="E208" s="370" t="s">
        <v>193</v>
      </c>
      <c r="F208" s="41"/>
      <c r="G208" s="41"/>
      <c r="H208" s="307"/>
      <c r="I208" s="382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37"/>
      <c r="AH208" s="41"/>
      <c r="AI208" s="41"/>
      <c r="AJ208" s="41"/>
      <c r="AK208" s="41"/>
      <c r="AL208" s="41"/>
      <c r="AM208" s="42"/>
      <c r="AN208" s="6"/>
    </row>
    <row r="209" spans="1:40" s="7" customFormat="1">
      <c r="A209" s="451" t="s">
        <v>526</v>
      </c>
      <c r="B209" s="1"/>
      <c r="C209" s="2"/>
      <c r="D209" s="371" t="s">
        <v>42</v>
      </c>
      <c r="E209" s="370">
        <v>2018</v>
      </c>
      <c r="F209" s="446"/>
      <c r="G209" s="446"/>
      <c r="H209" s="446"/>
      <c r="I209" s="446"/>
      <c r="J209" s="446"/>
      <c r="K209" s="446"/>
      <c r="L209" s="446"/>
      <c r="M209" s="446"/>
      <c r="N209" s="446"/>
      <c r="O209" s="446"/>
      <c r="P209" s="446"/>
      <c r="Q209" s="446"/>
      <c r="R209" s="446"/>
      <c r="S209" s="446"/>
      <c r="T209" s="446"/>
      <c r="U209" s="446"/>
      <c r="V209" s="446"/>
      <c r="W209" s="446"/>
      <c r="X209" s="446"/>
      <c r="Y209" s="446"/>
      <c r="Z209" s="446"/>
      <c r="AA209" s="446"/>
      <c r="AB209" s="446"/>
      <c r="AC209" s="446"/>
      <c r="AD209" s="446"/>
      <c r="AE209" s="446"/>
      <c r="AF209" s="446"/>
      <c r="AG209" s="37"/>
      <c r="AH209" s="446"/>
      <c r="AI209" s="446"/>
      <c r="AJ209" s="446"/>
      <c r="AK209" s="446"/>
      <c r="AL209" s="446"/>
      <c r="AM209" s="42"/>
      <c r="AN209" s="6"/>
    </row>
    <row r="210" spans="1:40" s="7" customFormat="1">
      <c r="A210" s="451" t="s">
        <v>535</v>
      </c>
      <c r="B210" s="1"/>
      <c r="C210" s="2"/>
      <c r="D210" s="371" t="s">
        <v>1</v>
      </c>
      <c r="E210" s="370" t="s">
        <v>534</v>
      </c>
      <c r="F210" s="446"/>
      <c r="G210" s="446"/>
      <c r="H210" s="446"/>
      <c r="I210" s="446"/>
      <c r="J210" s="446"/>
      <c r="K210" s="446"/>
      <c r="L210" s="446"/>
      <c r="M210" s="446"/>
      <c r="N210" s="446"/>
      <c r="O210" s="446"/>
      <c r="P210" s="446"/>
      <c r="Q210" s="446"/>
      <c r="R210" s="446"/>
      <c r="S210" s="446"/>
      <c r="T210" s="446"/>
      <c r="U210" s="446"/>
      <c r="V210" s="446"/>
      <c r="W210" s="446"/>
      <c r="X210" s="446"/>
      <c r="Y210" s="446"/>
      <c r="Z210" s="446"/>
      <c r="AA210" s="446"/>
      <c r="AB210" s="446"/>
      <c r="AC210" s="446"/>
      <c r="AD210" s="446"/>
      <c r="AE210" s="446"/>
      <c r="AF210" s="446"/>
      <c r="AG210" s="37"/>
      <c r="AH210" s="446"/>
      <c r="AI210" s="446"/>
      <c r="AJ210" s="446"/>
      <c r="AK210" s="446"/>
      <c r="AL210" s="446"/>
      <c r="AM210" s="42"/>
      <c r="AN210" s="6"/>
    </row>
    <row r="211" spans="1:40">
      <c r="A211" s="451" t="s">
        <v>526</v>
      </c>
      <c r="B211" s="116"/>
      <c r="C211" s="5"/>
      <c r="D211" s="371" t="s">
        <v>42</v>
      </c>
      <c r="E211" s="453">
        <v>2021</v>
      </c>
      <c r="F211" s="41"/>
      <c r="G211" s="41"/>
      <c r="H211" s="307"/>
      <c r="I211" s="382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37"/>
      <c r="AH211" s="41"/>
      <c r="AI211" s="41"/>
      <c r="AJ211" s="41"/>
      <c r="AK211" s="41"/>
      <c r="AL211" s="41"/>
      <c r="AM211" s="42"/>
    </row>
    <row r="212" spans="1:40" s="7" customFormat="1">
      <c r="A212" s="451" t="s">
        <v>540</v>
      </c>
      <c r="B212" s="1"/>
      <c r="C212" s="2"/>
      <c r="D212" s="371" t="s">
        <v>1</v>
      </c>
      <c r="E212" s="452" t="s">
        <v>538</v>
      </c>
      <c r="F212" s="41"/>
      <c r="G212" s="41"/>
      <c r="H212" s="307"/>
      <c r="I212" s="382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37"/>
      <c r="AH212" s="41"/>
      <c r="AI212" s="41"/>
      <c r="AJ212" s="41"/>
      <c r="AK212" s="41"/>
      <c r="AL212" s="41"/>
      <c r="AM212" s="42"/>
      <c r="AN212" s="6"/>
    </row>
    <row r="213" spans="1:40" s="7" customFormat="1">
      <c r="A213" s="1"/>
      <c r="B213" s="1"/>
      <c r="C213" s="2"/>
      <c r="D213" s="371" t="s">
        <v>42</v>
      </c>
      <c r="E213" s="361"/>
      <c r="F213" s="2"/>
      <c r="G213" s="41"/>
      <c r="H213" s="307"/>
      <c r="I213" s="382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37"/>
      <c r="AH213" s="41"/>
      <c r="AI213" s="41"/>
      <c r="AJ213" s="41"/>
      <c r="AK213" s="41"/>
      <c r="AL213" s="41"/>
      <c r="AM213" s="42"/>
      <c r="AN213" s="6"/>
    </row>
    <row r="214" spans="1:40" s="7" customFormat="1">
      <c r="A214" s="1"/>
      <c r="B214" s="1"/>
      <c r="C214" s="2"/>
      <c r="D214" s="371" t="s">
        <v>1</v>
      </c>
      <c r="E214" s="372" t="s">
        <v>183</v>
      </c>
      <c r="F214" s="2"/>
      <c r="G214" s="41"/>
      <c r="H214" s="307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37"/>
      <c r="AH214" s="41"/>
      <c r="AI214" s="41"/>
      <c r="AJ214" s="41"/>
      <c r="AK214" s="41"/>
      <c r="AL214" s="41"/>
      <c r="AM214" s="42"/>
      <c r="AN214" s="6"/>
    </row>
    <row r="215" spans="1:40" s="7" customFormat="1">
      <c r="A215" s="1"/>
      <c r="B215" s="1"/>
      <c r="C215" s="2"/>
      <c r="D215" s="371" t="s">
        <v>42</v>
      </c>
      <c r="E215" s="370">
        <v>2021</v>
      </c>
      <c r="F215" s="41"/>
      <c r="G215" s="41"/>
      <c r="H215" s="307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37"/>
      <c r="AH215" s="41"/>
      <c r="AI215" s="41"/>
      <c r="AJ215" s="41"/>
      <c r="AK215" s="41"/>
      <c r="AL215" s="41"/>
      <c r="AM215" s="42"/>
      <c r="AN215" s="6"/>
    </row>
    <row r="216" spans="1:40" s="7" customFormat="1">
      <c r="A216" s="1"/>
      <c r="B216" s="1"/>
      <c r="C216" s="2"/>
      <c r="D216" s="371" t="s">
        <v>1</v>
      </c>
      <c r="E216" s="372" t="s">
        <v>71</v>
      </c>
      <c r="F216" s="41"/>
      <c r="G216" s="41"/>
      <c r="H216" s="307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37"/>
      <c r="AH216" s="41"/>
      <c r="AI216" s="41"/>
      <c r="AJ216" s="41"/>
      <c r="AK216" s="41"/>
      <c r="AL216" s="41"/>
      <c r="AM216" s="42"/>
      <c r="AN216" s="6"/>
    </row>
    <row r="217" spans="1:40" s="7" customFormat="1">
      <c r="A217" s="27"/>
      <c r="B217" s="49"/>
      <c r="C217" s="41"/>
      <c r="D217" s="41"/>
      <c r="E217" s="352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37"/>
      <c r="AH217" s="41"/>
      <c r="AI217" s="41"/>
      <c r="AJ217" s="41"/>
      <c r="AK217" s="41"/>
      <c r="AL217" s="41"/>
      <c r="AM217" s="42"/>
      <c r="AN217" s="6"/>
    </row>
    <row r="218" spans="1:40" s="7" customFormat="1">
      <c r="A218" s="228" t="s">
        <v>727</v>
      </c>
      <c r="B218" s="49"/>
      <c r="C218" s="263"/>
      <c r="D218" s="263"/>
      <c r="E218" s="352"/>
      <c r="F218" s="263"/>
      <c r="G218" s="263"/>
      <c r="H218" s="263"/>
      <c r="I218" s="263"/>
      <c r="J218" s="263"/>
      <c r="K218" s="263"/>
      <c r="L218" s="263"/>
      <c r="M218" s="263"/>
      <c r="N218" s="263"/>
      <c r="O218" s="263"/>
      <c r="P218" s="263"/>
      <c r="Q218" s="263"/>
      <c r="R218" s="263"/>
      <c r="S218" s="263"/>
      <c r="T218" s="263"/>
      <c r="U218" s="263"/>
      <c r="V218" s="263"/>
      <c r="W218" s="263"/>
      <c r="X218" s="263"/>
      <c r="Y218" s="263"/>
      <c r="Z218" s="263"/>
      <c r="AA218" s="263"/>
      <c r="AB218" s="263"/>
      <c r="AC218" s="263"/>
      <c r="AD218" s="263"/>
      <c r="AE218" s="263"/>
      <c r="AF218" s="263"/>
      <c r="AG218" s="37"/>
      <c r="AH218" s="263"/>
      <c r="AI218" s="263"/>
      <c r="AJ218" s="263"/>
      <c r="AK218" s="263"/>
      <c r="AL218" s="263"/>
      <c r="AM218" s="42"/>
      <c r="AN218" s="6"/>
    </row>
    <row r="219" spans="1:40" s="7" customFormat="1">
      <c r="A219" s="267" t="s">
        <v>685</v>
      </c>
      <c r="B219" s="205"/>
      <c r="C219" s="262"/>
      <c r="D219" s="262" t="s">
        <v>82</v>
      </c>
      <c r="E219" s="313" t="s">
        <v>4</v>
      </c>
      <c r="F219" s="262" t="s">
        <v>5</v>
      </c>
      <c r="G219" s="262" t="s">
        <v>6</v>
      </c>
      <c r="H219" s="262" t="s">
        <v>15</v>
      </c>
      <c r="I219" s="262" t="s">
        <v>7</v>
      </c>
      <c r="J219" s="262" t="s">
        <v>8</v>
      </c>
      <c r="K219" s="262" t="s">
        <v>9</v>
      </c>
      <c r="L219" s="262" t="s">
        <v>10</v>
      </c>
      <c r="M219" s="262" t="s">
        <v>2</v>
      </c>
      <c r="N219" s="262" t="s">
        <v>12</v>
      </c>
      <c r="O219" s="262" t="s">
        <v>30</v>
      </c>
      <c r="P219" s="262" t="s">
        <v>13</v>
      </c>
      <c r="Q219" s="262" t="s">
        <v>14</v>
      </c>
      <c r="R219" s="262" t="s">
        <v>45</v>
      </c>
      <c r="S219" s="262" t="s">
        <v>16</v>
      </c>
      <c r="T219" s="262" t="s">
        <v>17</v>
      </c>
      <c r="U219" s="262" t="s">
        <v>20</v>
      </c>
      <c r="V219" s="262" t="s">
        <v>154</v>
      </c>
      <c r="W219" s="262" t="s">
        <v>18</v>
      </c>
      <c r="X219" s="262" t="s">
        <v>19</v>
      </c>
      <c r="Y219" s="262" t="s">
        <v>21</v>
      </c>
      <c r="Z219" s="262" t="s">
        <v>22</v>
      </c>
      <c r="AA219" s="262" t="s">
        <v>29</v>
      </c>
      <c r="AB219" s="262" t="s">
        <v>23</v>
      </c>
      <c r="AC219" s="262" t="s">
        <v>24</v>
      </c>
      <c r="AD219" s="262" t="s">
        <v>25</v>
      </c>
      <c r="AE219" s="262" t="s">
        <v>28</v>
      </c>
      <c r="AF219" s="262" t="s">
        <v>27</v>
      </c>
      <c r="AG219" s="262" t="s">
        <v>11</v>
      </c>
      <c r="AH219" s="262" t="s">
        <v>26</v>
      </c>
      <c r="AI219" s="262" t="s">
        <v>46</v>
      </c>
      <c r="AJ219" s="262" t="s">
        <v>31</v>
      </c>
      <c r="AK219" s="263"/>
      <c r="AL219" s="263"/>
      <c r="AM219" s="42"/>
      <c r="AN219" s="6"/>
    </row>
    <row r="220" spans="1:40" s="7" customFormat="1">
      <c r="A220" s="36">
        <v>2020</v>
      </c>
      <c r="B220" s="49"/>
      <c r="C220" s="388"/>
      <c r="D220" s="388">
        <v>0.2</v>
      </c>
      <c r="E220" s="357">
        <v>0.1</v>
      </c>
      <c r="F220" s="50">
        <v>0.3</v>
      </c>
      <c r="G220" s="50">
        <v>0</v>
      </c>
      <c r="H220" s="50">
        <v>0.1</v>
      </c>
      <c r="I220" s="50">
        <v>0.1</v>
      </c>
      <c r="J220" s="50">
        <v>0.1</v>
      </c>
      <c r="K220" s="50">
        <v>0.1</v>
      </c>
      <c r="L220" s="50">
        <v>0.2</v>
      </c>
      <c r="M220" s="50">
        <v>0.2</v>
      </c>
      <c r="N220" s="50">
        <v>0.3</v>
      </c>
      <c r="O220" s="50">
        <v>0.3</v>
      </c>
      <c r="P220" s="50">
        <v>0.2</v>
      </c>
      <c r="Q220" s="50">
        <v>0.1</v>
      </c>
      <c r="R220" s="50">
        <v>0.2</v>
      </c>
      <c r="S220" s="50">
        <v>0.2</v>
      </c>
      <c r="T220" s="50">
        <v>0.1</v>
      </c>
      <c r="U220" s="50">
        <v>0.1</v>
      </c>
      <c r="V220" s="50">
        <v>0.2</v>
      </c>
      <c r="W220" s="50">
        <v>0</v>
      </c>
      <c r="X220" s="50">
        <v>0.1</v>
      </c>
      <c r="Y220" s="50">
        <v>0.1</v>
      </c>
      <c r="Z220" s="50">
        <v>0.4</v>
      </c>
      <c r="AA220" s="50">
        <v>0.2</v>
      </c>
      <c r="AB220" s="50">
        <v>0</v>
      </c>
      <c r="AC220" s="50">
        <v>0.1</v>
      </c>
      <c r="AD220" s="50">
        <v>0</v>
      </c>
      <c r="AE220" s="50">
        <v>0.1</v>
      </c>
      <c r="AF220" s="50">
        <v>0.3</v>
      </c>
      <c r="AG220" s="50">
        <v>0.1</v>
      </c>
      <c r="AH220" s="50">
        <v>0.3</v>
      </c>
      <c r="AI220" s="50">
        <v>0.2</v>
      </c>
      <c r="AJ220" s="50">
        <v>0.4</v>
      </c>
      <c r="AK220" s="388"/>
      <c r="AL220" s="388"/>
      <c r="AM220" s="42"/>
      <c r="AN220" s="6"/>
    </row>
    <row r="221" spans="1:40" s="7" customFormat="1">
      <c r="A221" s="36">
        <v>2025</v>
      </c>
      <c r="B221" s="49"/>
      <c r="C221" s="388"/>
      <c r="D221" s="388">
        <v>0.4</v>
      </c>
      <c r="E221" s="357">
        <v>0.2</v>
      </c>
      <c r="F221" s="50">
        <v>0.4</v>
      </c>
      <c r="G221" s="50">
        <v>0.1</v>
      </c>
      <c r="H221" s="50">
        <v>0.3</v>
      </c>
      <c r="I221" s="50">
        <v>0.3</v>
      </c>
      <c r="J221" s="50">
        <v>0.2</v>
      </c>
      <c r="K221" s="50">
        <v>0.3</v>
      </c>
      <c r="L221" s="50">
        <v>0.3</v>
      </c>
      <c r="M221" s="50">
        <v>0.5</v>
      </c>
      <c r="N221" s="50">
        <v>0.6</v>
      </c>
      <c r="O221" s="50">
        <v>0.6</v>
      </c>
      <c r="P221" s="50">
        <v>0.5</v>
      </c>
      <c r="Q221" s="50">
        <v>0.2</v>
      </c>
      <c r="R221" s="50">
        <v>0.4</v>
      </c>
      <c r="S221" s="50">
        <v>0.3</v>
      </c>
      <c r="T221" s="50">
        <v>0.2</v>
      </c>
      <c r="U221" s="50">
        <v>0.2</v>
      </c>
      <c r="V221" s="50">
        <v>0.4</v>
      </c>
      <c r="W221" s="50">
        <v>0.1</v>
      </c>
      <c r="X221" s="50">
        <v>0.2</v>
      </c>
      <c r="Y221" s="50">
        <v>0.2</v>
      </c>
      <c r="Z221" s="50">
        <v>0.7</v>
      </c>
      <c r="AA221" s="50">
        <v>0.4</v>
      </c>
      <c r="AB221" s="50">
        <v>0.1</v>
      </c>
      <c r="AC221" s="50">
        <v>0.2</v>
      </c>
      <c r="AD221" s="50">
        <v>0.1</v>
      </c>
      <c r="AE221" s="50">
        <v>0.2</v>
      </c>
      <c r="AF221" s="50">
        <v>0.9</v>
      </c>
      <c r="AG221" s="50">
        <v>0.3</v>
      </c>
      <c r="AH221" s="50">
        <v>0.4</v>
      </c>
      <c r="AI221" s="50">
        <v>0.4</v>
      </c>
      <c r="AJ221" s="50">
        <v>0.6</v>
      </c>
      <c r="AK221" s="388"/>
      <c r="AL221" s="388"/>
      <c r="AM221" s="42"/>
      <c r="AN221" s="6"/>
    </row>
    <row r="222" spans="1:40" s="7" customFormat="1">
      <c r="A222" s="36">
        <v>2030</v>
      </c>
      <c r="B222" s="49"/>
      <c r="C222" s="263"/>
      <c r="D222" s="102">
        <v>0.9</v>
      </c>
      <c r="E222" s="357">
        <v>0.4</v>
      </c>
      <c r="F222" s="50">
        <v>0.6</v>
      </c>
      <c r="G222" s="50">
        <v>0.2</v>
      </c>
      <c r="H222" s="50">
        <v>0.8</v>
      </c>
      <c r="I222" s="50">
        <v>0.6</v>
      </c>
      <c r="J222" s="50">
        <v>0.4</v>
      </c>
      <c r="K222" s="50">
        <v>0.7</v>
      </c>
      <c r="L222" s="50">
        <v>0.6</v>
      </c>
      <c r="M222" s="50">
        <v>1.4</v>
      </c>
      <c r="N222" s="50">
        <v>1.3</v>
      </c>
      <c r="O222" s="50">
        <v>1.4</v>
      </c>
      <c r="P222" s="50">
        <v>1</v>
      </c>
      <c r="Q222" s="50">
        <v>0.4</v>
      </c>
      <c r="R222" s="104">
        <v>0.9</v>
      </c>
      <c r="S222" s="50">
        <v>0.7</v>
      </c>
      <c r="T222" s="50">
        <v>0.5</v>
      </c>
      <c r="U222" s="50">
        <v>0.7</v>
      </c>
      <c r="V222" s="104">
        <v>0.9</v>
      </c>
      <c r="W222" s="50">
        <v>0.3</v>
      </c>
      <c r="X222" s="50">
        <v>0.5</v>
      </c>
      <c r="Y222" s="50">
        <v>0.5</v>
      </c>
      <c r="Z222" s="50">
        <v>1.1000000000000001</v>
      </c>
      <c r="AA222" s="104">
        <v>0.9</v>
      </c>
      <c r="AB222" s="50">
        <v>0.2</v>
      </c>
      <c r="AC222" s="50">
        <v>0.4</v>
      </c>
      <c r="AD222" s="50">
        <v>0.3</v>
      </c>
      <c r="AE222" s="50">
        <v>0.4</v>
      </c>
      <c r="AF222" s="50">
        <v>1.7</v>
      </c>
      <c r="AG222" s="50">
        <v>0.5</v>
      </c>
      <c r="AH222" s="50">
        <v>0.7</v>
      </c>
      <c r="AI222" s="104">
        <v>0.9</v>
      </c>
      <c r="AJ222" s="50">
        <v>1.3</v>
      </c>
      <c r="AK222" s="263"/>
      <c r="AL222" s="263"/>
      <c r="AM222" s="42"/>
      <c r="AN222" s="6"/>
    </row>
    <row r="223" spans="1:40" s="7" customFormat="1">
      <c r="A223" s="36">
        <v>2035</v>
      </c>
      <c r="B223" s="49"/>
      <c r="C223" s="263"/>
      <c r="D223" s="102">
        <v>1.2</v>
      </c>
      <c r="E223" s="357">
        <v>0.6</v>
      </c>
      <c r="F223" s="50">
        <v>1</v>
      </c>
      <c r="G223" s="50">
        <v>0.3</v>
      </c>
      <c r="H223" s="50">
        <v>1</v>
      </c>
      <c r="I223" s="50">
        <v>0.9</v>
      </c>
      <c r="J223" s="50">
        <v>0.6</v>
      </c>
      <c r="K223" s="50">
        <v>1</v>
      </c>
      <c r="L223" s="50">
        <v>1</v>
      </c>
      <c r="M223" s="50">
        <v>1.7</v>
      </c>
      <c r="N223" s="50">
        <v>1.7</v>
      </c>
      <c r="O223" s="50">
        <v>1.9</v>
      </c>
      <c r="P223" s="50">
        <v>1.4</v>
      </c>
      <c r="Q223" s="50">
        <v>0.6</v>
      </c>
      <c r="R223" s="104">
        <v>1.2</v>
      </c>
      <c r="S223" s="50">
        <v>1</v>
      </c>
      <c r="T223" s="50">
        <v>0.8</v>
      </c>
      <c r="U223" s="50">
        <v>1.2</v>
      </c>
      <c r="V223" s="104">
        <v>1.2</v>
      </c>
      <c r="W223" s="50">
        <v>0.5</v>
      </c>
      <c r="X223" s="50">
        <v>0.4</v>
      </c>
      <c r="Y223" s="50">
        <v>0.8</v>
      </c>
      <c r="Z223" s="50">
        <v>1.5</v>
      </c>
      <c r="AA223" s="104">
        <v>1.2</v>
      </c>
      <c r="AB223" s="50">
        <v>0.4</v>
      </c>
      <c r="AC223" s="50">
        <v>0.8</v>
      </c>
      <c r="AD223" s="50">
        <v>0.5</v>
      </c>
      <c r="AE223" s="50">
        <v>0.6</v>
      </c>
      <c r="AF223" s="50">
        <v>2.1</v>
      </c>
      <c r="AG223" s="50">
        <v>0.8</v>
      </c>
      <c r="AH223" s="50">
        <v>1.3</v>
      </c>
      <c r="AI223" s="104">
        <v>1.2</v>
      </c>
      <c r="AJ223" s="50">
        <v>1.7</v>
      </c>
      <c r="AK223" s="263"/>
      <c r="AL223" s="263"/>
      <c r="AM223" s="42"/>
      <c r="AN223" s="6"/>
    </row>
    <row r="224" spans="1:40" s="7" customFormat="1">
      <c r="A224" s="36">
        <v>2040</v>
      </c>
      <c r="B224" s="49"/>
      <c r="C224" s="263"/>
      <c r="D224" s="102">
        <v>1.5</v>
      </c>
      <c r="E224" s="357">
        <v>0.8</v>
      </c>
      <c r="F224" s="50">
        <v>1.2</v>
      </c>
      <c r="G224" s="50">
        <v>0.4</v>
      </c>
      <c r="H224" s="50">
        <v>1.2</v>
      </c>
      <c r="I224" s="50">
        <v>1.3</v>
      </c>
      <c r="J224" s="50">
        <v>0.8</v>
      </c>
      <c r="K224" s="50">
        <v>1.3</v>
      </c>
      <c r="L224" s="50">
        <v>1.2</v>
      </c>
      <c r="M224" s="50">
        <v>2</v>
      </c>
      <c r="N224" s="50">
        <v>2.1</v>
      </c>
      <c r="O224" s="50">
        <v>2.2999999999999998</v>
      </c>
      <c r="P224" s="50">
        <v>1.7</v>
      </c>
      <c r="Q224" s="50">
        <v>0.8</v>
      </c>
      <c r="R224" s="104">
        <v>1.5</v>
      </c>
      <c r="S224" s="50">
        <v>1.3</v>
      </c>
      <c r="T224" s="50">
        <v>1.2</v>
      </c>
      <c r="U224" s="50">
        <v>1.5</v>
      </c>
      <c r="V224" s="104">
        <v>1.5</v>
      </c>
      <c r="W224" s="50">
        <v>0.6</v>
      </c>
      <c r="X224" s="50">
        <v>0.6</v>
      </c>
      <c r="Y224" s="50">
        <v>1</v>
      </c>
      <c r="Z224" s="50">
        <v>1.9</v>
      </c>
      <c r="AA224" s="104">
        <v>1.5</v>
      </c>
      <c r="AB224" s="50">
        <v>0.6</v>
      </c>
      <c r="AC224" s="50">
        <v>1.2</v>
      </c>
      <c r="AD224" s="50">
        <v>0.8</v>
      </c>
      <c r="AE224" s="50">
        <v>0.9</v>
      </c>
      <c r="AF224" s="50">
        <v>2.4</v>
      </c>
      <c r="AG224" s="50">
        <v>1</v>
      </c>
      <c r="AH224" s="50">
        <v>1.9</v>
      </c>
      <c r="AI224" s="104">
        <v>1.5</v>
      </c>
      <c r="AJ224" s="50">
        <v>2.1</v>
      </c>
      <c r="AK224" s="263"/>
      <c r="AL224" s="263"/>
      <c r="AM224" s="42"/>
      <c r="AN224" s="6"/>
    </row>
    <row r="225" spans="1:40" s="7" customFormat="1">
      <c r="A225" s="195">
        <v>2045</v>
      </c>
      <c r="B225" s="49"/>
      <c r="C225" s="307"/>
      <c r="D225" s="716">
        <v>1.9</v>
      </c>
      <c r="E225" s="357">
        <v>1</v>
      </c>
      <c r="F225" s="50">
        <v>1.5</v>
      </c>
      <c r="G225" s="50">
        <v>0.6</v>
      </c>
      <c r="H225" s="50">
        <v>1.6</v>
      </c>
      <c r="I225" s="50">
        <v>1.7</v>
      </c>
      <c r="J225" s="50">
        <v>1.1000000000000001</v>
      </c>
      <c r="K225" s="50">
        <v>1.7</v>
      </c>
      <c r="L225" s="50">
        <v>1.5</v>
      </c>
      <c r="M225" s="50">
        <v>2.2000000000000002</v>
      </c>
      <c r="N225" s="50">
        <v>2.5</v>
      </c>
      <c r="O225" s="50" t="s">
        <v>686</v>
      </c>
      <c r="P225" s="50">
        <v>2.1</v>
      </c>
      <c r="Q225" s="50">
        <v>1.1000000000000001</v>
      </c>
      <c r="R225" s="683">
        <v>1.9</v>
      </c>
      <c r="S225" s="50">
        <v>1.6</v>
      </c>
      <c r="T225" s="50">
        <v>1.4</v>
      </c>
      <c r="U225" s="50">
        <v>1.7</v>
      </c>
      <c r="V225" s="683">
        <v>1.9</v>
      </c>
      <c r="W225" s="50">
        <v>0.7</v>
      </c>
      <c r="X225" s="50">
        <v>0.9</v>
      </c>
      <c r="Y225" s="50">
        <v>1.4</v>
      </c>
      <c r="Z225" s="50">
        <v>2.2999999999999998</v>
      </c>
      <c r="AA225" s="683">
        <v>1.9</v>
      </c>
      <c r="AB225" s="50">
        <v>0.9</v>
      </c>
      <c r="AC225" s="50">
        <v>1.8</v>
      </c>
      <c r="AD225" s="50">
        <v>1.1000000000000001</v>
      </c>
      <c r="AE225" s="50">
        <v>1.2</v>
      </c>
      <c r="AF225" s="50">
        <v>2.8</v>
      </c>
      <c r="AG225" s="717">
        <v>1.2</v>
      </c>
      <c r="AH225" s="50">
        <v>2.5</v>
      </c>
      <c r="AI225" s="683">
        <v>1.9</v>
      </c>
      <c r="AJ225" s="50">
        <v>2.7</v>
      </c>
      <c r="AK225" s="263"/>
      <c r="AL225" s="263"/>
      <c r="AM225" s="42"/>
      <c r="AN225" s="6"/>
    </row>
    <row r="226" spans="1:40" s="7" customFormat="1">
      <c r="A226" s="195">
        <v>2050</v>
      </c>
      <c r="B226" s="2"/>
      <c r="C226" s="307"/>
      <c r="D226" s="553">
        <v>2.2999999999999998</v>
      </c>
      <c r="E226" s="593">
        <v>1.3</v>
      </c>
      <c r="F226" s="50">
        <v>1.7</v>
      </c>
      <c r="G226" s="50">
        <v>0.8</v>
      </c>
      <c r="H226" s="50">
        <v>1.8</v>
      </c>
      <c r="I226" s="50">
        <v>2</v>
      </c>
      <c r="J226" s="50">
        <v>1.4</v>
      </c>
      <c r="K226" s="50">
        <v>2.1</v>
      </c>
      <c r="L226" s="50">
        <v>1.7</v>
      </c>
      <c r="M226" s="50">
        <v>2.5</v>
      </c>
      <c r="N226" s="50">
        <v>3</v>
      </c>
      <c r="O226" s="50">
        <v>3.3</v>
      </c>
      <c r="P226" s="50">
        <v>2.2999999999999998</v>
      </c>
      <c r="Q226" s="50">
        <v>1.3</v>
      </c>
      <c r="R226" s="50">
        <v>2.2999999999999998</v>
      </c>
      <c r="S226" s="50">
        <v>1.9</v>
      </c>
      <c r="T226" s="50">
        <v>1.6</v>
      </c>
      <c r="U226" s="50">
        <v>1.8</v>
      </c>
      <c r="V226" s="50">
        <v>2.2999999999999998</v>
      </c>
      <c r="W226" s="50">
        <v>0.8</v>
      </c>
      <c r="X226" s="50">
        <v>1</v>
      </c>
      <c r="Y226" s="50">
        <v>1.7</v>
      </c>
      <c r="Z226" s="50">
        <v>2.6</v>
      </c>
      <c r="AA226" s="50">
        <v>2.2999999999999998</v>
      </c>
      <c r="AB226" s="50">
        <v>1.2</v>
      </c>
      <c r="AC226" s="50">
        <v>2.2999999999999998</v>
      </c>
      <c r="AD226" s="50">
        <v>1.3</v>
      </c>
      <c r="AE226" s="50">
        <v>1.4</v>
      </c>
      <c r="AF226" s="50">
        <v>3.1</v>
      </c>
      <c r="AG226" s="717">
        <v>1.5</v>
      </c>
      <c r="AH226" s="50">
        <v>2.8</v>
      </c>
      <c r="AI226" s="50">
        <v>2.2999999999999998</v>
      </c>
      <c r="AJ226" s="50">
        <v>3.3</v>
      </c>
      <c r="AK226" s="263"/>
      <c r="AL226" s="263"/>
      <c r="AM226" s="42"/>
      <c r="AN226" s="6"/>
    </row>
    <row r="227" spans="1:40" s="7" customFormat="1">
      <c r="A227" s="2"/>
      <c r="B227" s="2"/>
      <c r="C227" s="307"/>
      <c r="D227" s="371" t="s">
        <v>425</v>
      </c>
      <c r="E227" s="372"/>
      <c r="F227" s="263"/>
      <c r="G227" s="263"/>
      <c r="H227" s="263"/>
      <c r="I227" s="263"/>
      <c r="J227" s="263"/>
      <c r="K227" s="263"/>
      <c r="L227" s="263"/>
      <c r="M227" s="263"/>
      <c r="N227" s="263"/>
      <c r="O227" s="263"/>
      <c r="P227" s="263"/>
      <c r="Q227" s="263"/>
      <c r="R227" s="263" t="s">
        <v>82</v>
      </c>
      <c r="S227" s="263"/>
      <c r="T227" s="263"/>
      <c r="U227" s="263"/>
      <c r="V227" s="263" t="s">
        <v>82</v>
      </c>
      <c r="W227" s="263"/>
      <c r="X227" s="263"/>
      <c r="Y227" s="263"/>
      <c r="Z227" s="263"/>
      <c r="AA227" s="263" t="s">
        <v>82</v>
      </c>
      <c r="AB227" s="263"/>
      <c r="AC227" s="263"/>
      <c r="AD227" s="263"/>
      <c r="AE227" s="263"/>
      <c r="AF227" s="263"/>
      <c r="AG227" s="37"/>
      <c r="AH227" s="263"/>
      <c r="AI227" s="263" t="s">
        <v>82</v>
      </c>
      <c r="AJ227" s="263"/>
      <c r="AK227" s="263"/>
      <c r="AL227" s="263"/>
      <c r="AM227" s="42"/>
      <c r="AN227" s="6"/>
    </row>
    <row r="228" spans="1:40" s="7" customFormat="1">
      <c r="A228" s="2"/>
      <c r="B228" s="2"/>
      <c r="C228" s="645"/>
      <c r="D228" s="371" t="s">
        <v>42</v>
      </c>
      <c r="E228" s="370">
        <v>2015</v>
      </c>
      <c r="F228" s="645"/>
      <c r="G228" s="645"/>
      <c r="H228" s="645"/>
      <c r="I228" s="645"/>
      <c r="J228" s="645"/>
      <c r="K228" s="645"/>
      <c r="L228" s="645"/>
      <c r="M228" s="645"/>
      <c r="N228" s="645"/>
      <c r="O228" s="645"/>
      <c r="P228" s="645"/>
      <c r="Q228" s="645"/>
      <c r="R228" s="645"/>
      <c r="S228" s="645"/>
      <c r="T228" s="645"/>
      <c r="U228" s="645"/>
      <c r="V228" s="645"/>
      <c r="W228" s="645"/>
      <c r="X228" s="645"/>
      <c r="Y228" s="645"/>
      <c r="Z228" s="645"/>
      <c r="AA228" s="645"/>
      <c r="AB228" s="645"/>
      <c r="AC228" s="645"/>
      <c r="AD228" s="645"/>
      <c r="AE228" s="645"/>
      <c r="AF228" s="645"/>
      <c r="AG228" s="37"/>
      <c r="AH228" s="645"/>
      <c r="AI228" s="645"/>
      <c r="AJ228" s="645"/>
      <c r="AK228" s="645"/>
      <c r="AL228" s="645"/>
      <c r="AM228" s="42"/>
      <c r="AN228" s="6"/>
    </row>
    <row r="229" spans="1:40" s="7" customFormat="1">
      <c r="A229" s="2"/>
      <c r="B229" s="2"/>
      <c r="C229" s="645"/>
      <c r="D229" s="371" t="s">
        <v>1</v>
      </c>
      <c r="E229" s="372" t="s">
        <v>130</v>
      </c>
      <c r="F229" s="645"/>
      <c r="G229" s="645"/>
      <c r="H229" s="645"/>
      <c r="I229" s="645"/>
      <c r="J229" s="645"/>
      <c r="K229" s="645"/>
      <c r="L229" s="645"/>
      <c r="M229" s="645"/>
      <c r="N229" s="645"/>
      <c r="O229" s="645"/>
      <c r="P229" s="645"/>
      <c r="Q229" s="645"/>
      <c r="R229" s="645"/>
      <c r="S229" s="645"/>
      <c r="T229" s="645"/>
      <c r="U229" s="645"/>
      <c r="V229" s="645"/>
      <c r="W229" s="645"/>
      <c r="X229" s="645"/>
      <c r="Y229" s="645"/>
      <c r="Z229" s="645"/>
      <c r="AA229" s="645"/>
      <c r="AB229" s="645"/>
      <c r="AC229" s="645"/>
      <c r="AD229" s="645"/>
      <c r="AE229" s="645"/>
      <c r="AF229" s="645"/>
      <c r="AG229" s="37"/>
      <c r="AH229" s="645"/>
      <c r="AI229" s="645"/>
      <c r="AJ229" s="645"/>
      <c r="AK229" s="645"/>
      <c r="AL229" s="645"/>
      <c r="AM229" s="42"/>
      <c r="AN229" s="6"/>
    </row>
    <row r="230" spans="1:40" s="7" customFormat="1" ht="15.75" thickBot="1">
      <c r="A230" s="55"/>
      <c r="B230" s="52"/>
      <c r="C230" s="52"/>
      <c r="D230" s="56"/>
      <c r="E230" s="319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1"/>
      <c r="AH230" s="52"/>
      <c r="AI230" s="52"/>
      <c r="AJ230" s="52"/>
      <c r="AK230" s="52"/>
      <c r="AL230" s="52"/>
      <c r="AM230" s="53"/>
      <c r="AN230" s="6"/>
    </row>
    <row r="231" spans="1:40" ht="15.75" thickBot="1"/>
    <row r="232" spans="1:40" s="7" customFormat="1" ht="19.5" thickBot="1">
      <c r="A232" s="776" t="s">
        <v>486</v>
      </c>
      <c r="B232" s="773"/>
      <c r="C232" s="773"/>
      <c r="D232" s="773"/>
      <c r="E232" s="773"/>
      <c r="F232" s="773"/>
      <c r="G232" s="773"/>
      <c r="H232" s="773"/>
      <c r="I232" s="773"/>
      <c r="J232" s="773"/>
      <c r="K232" s="773"/>
      <c r="L232" s="773"/>
      <c r="M232" s="773"/>
      <c r="N232" s="773"/>
      <c r="O232" s="773"/>
      <c r="P232" s="773"/>
      <c r="Q232" s="773"/>
      <c r="R232" s="773"/>
      <c r="S232" s="773"/>
      <c r="T232" s="773"/>
      <c r="U232" s="773"/>
      <c r="V232" s="773"/>
      <c r="W232" s="773"/>
      <c r="X232" s="773"/>
      <c r="Y232" s="773"/>
      <c r="Z232" s="773"/>
      <c r="AA232" s="773"/>
      <c r="AB232" s="773"/>
      <c r="AC232" s="773"/>
      <c r="AD232" s="773"/>
      <c r="AE232" s="773"/>
      <c r="AF232" s="773"/>
      <c r="AG232" s="773"/>
      <c r="AH232" s="773"/>
      <c r="AI232" s="773"/>
      <c r="AJ232" s="773"/>
      <c r="AK232" s="773"/>
      <c r="AL232" s="773"/>
      <c r="AM232" s="774"/>
      <c r="AN232" s="6"/>
    </row>
    <row r="233" spans="1:40" s="7" customFormat="1">
      <c r="A233" s="9"/>
      <c r="B233" s="10"/>
      <c r="C233" s="10"/>
      <c r="D233" s="10"/>
      <c r="E233" s="36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9"/>
      <c r="AH233" s="10"/>
      <c r="AI233" s="10"/>
      <c r="AJ233" s="10"/>
      <c r="AK233" s="10"/>
      <c r="AL233" s="10"/>
      <c r="AM233" s="11"/>
      <c r="AN233" s="6"/>
    </row>
    <row r="234" spans="1:40" s="7" customFormat="1">
      <c r="A234" s="43" t="s">
        <v>487</v>
      </c>
      <c r="B234" s="41"/>
      <c r="C234" s="41"/>
      <c r="D234" s="41"/>
      <c r="E234" s="352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37"/>
      <c r="AH234" s="41"/>
      <c r="AI234" s="41"/>
      <c r="AJ234" s="41"/>
      <c r="AK234" s="41"/>
      <c r="AL234" s="41"/>
      <c r="AM234" s="42"/>
      <c r="AN234" s="6"/>
    </row>
    <row r="235" spans="1:40" s="7" customFormat="1">
      <c r="A235" s="63" t="s">
        <v>447</v>
      </c>
      <c r="B235" s="64"/>
      <c r="C235" s="64"/>
      <c r="D235" s="64" t="s">
        <v>82</v>
      </c>
      <c r="E235" s="313" t="s">
        <v>4</v>
      </c>
      <c r="F235" s="64" t="s">
        <v>5</v>
      </c>
      <c r="G235" s="64" t="s">
        <v>6</v>
      </c>
      <c r="H235" s="64" t="s">
        <v>15</v>
      </c>
      <c r="I235" s="64" t="s">
        <v>7</v>
      </c>
      <c r="J235" s="64" t="s">
        <v>8</v>
      </c>
      <c r="K235" s="64" t="s">
        <v>9</v>
      </c>
      <c r="L235" s="64" t="s">
        <v>10</v>
      </c>
      <c r="M235" s="64" t="s">
        <v>2</v>
      </c>
      <c r="N235" s="64" t="s">
        <v>12</v>
      </c>
      <c r="O235" s="64" t="s">
        <v>30</v>
      </c>
      <c r="P235" s="64" t="s">
        <v>13</v>
      </c>
      <c r="Q235" s="64" t="s">
        <v>14</v>
      </c>
      <c r="R235" s="64" t="s">
        <v>45</v>
      </c>
      <c r="S235" s="64" t="s">
        <v>16</v>
      </c>
      <c r="T235" s="64" t="s">
        <v>17</v>
      </c>
      <c r="U235" s="64" t="s">
        <v>20</v>
      </c>
      <c r="V235" s="194" t="s">
        <v>154</v>
      </c>
      <c r="W235" s="64" t="s">
        <v>18</v>
      </c>
      <c r="X235" s="64" t="s">
        <v>19</v>
      </c>
      <c r="Y235" s="64" t="s">
        <v>21</v>
      </c>
      <c r="Z235" s="64" t="s">
        <v>22</v>
      </c>
      <c r="AA235" s="64" t="s">
        <v>29</v>
      </c>
      <c r="AB235" s="64" t="s">
        <v>23</v>
      </c>
      <c r="AC235" s="64" t="s">
        <v>24</v>
      </c>
      <c r="AD235" s="64" t="s">
        <v>25</v>
      </c>
      <c r="AE235" s="64" t="s">
        <v>28</v>
      </c>
      <c r="AF235" s="64" t="s">
        <v>27</v>
      </c>
      <c r="AG235" s="64" t="s">
        <v>11</v>
      </c>
      <c r="AH235" s="64" t="s">
        <v>26</v>
      </c>
      <c r="AI235" s="64" t="s">
        <v>46</v>
      </c>
      <c r="AJ235" s="194" t="s">
        <v>31</v>
      </c>
      <c r="AK235" s="41"/>
      <c r="AL235" s="41"/>
      <c r="AM235" s="42"/>
      <c r="AN235" s="6"/>
    </row>
    <row r="236" spans="1:40" s="7" customFormat="1">
      <c r="A236" s="27" t="s">
        <v>84</v>
      </c>
      <c r="B236" s="49"/>
      <c r="C236" s="388"/>
      <c r="D236" s="411">
        <v>1</v>
      </c>
      <c r="E236" s="50">
        <v>1.9</v>
      </c>
      <c r="F236" s="388">
        <v>3.1</v>
      </c>
      <c r="G236" s="388">
        <v>-2.5</v>
      </c>
      <c r="H236" s="388">
        <v>2.7</v>
      </c>
      <c r="I236" s="50">
        <v>0</v>
      </c>
      <c r="J236" s="388">
        <v>0.1</v>
      </c>
      <c r="K236" s="388">
        <v>1.8</v>
      </c>
      <c r="L236" s="388">
        <v>-1.3</v>
      </c>
      <c r="M236" s="388">
        <v>1.4</v>
      </c>
      <c r="N236" s="388">
        <v>2.1</v>
      </c>
      <c r="O236" s="388">
        <v>1.1000000000000001</v>
      </c>
      <c r="P236" s="388">
        <v>-0.2</v>
      </c>
      <c r="Q236" s="388">
        <v>-1.8</v>
      </c>
      <c r="R236" s="104">
        <v>1</v>
      </c>
      <c r="S236" s="50">
        <v>2.7</v>
      </c>
      <c r="T236" s="388">
        <v>-0.2</v>
      </c>
      <c r="U236" s="388">
        <v>-1.2</v>
      </c>
      <c r="V236" s="388">
        <v>-4.8</v>
      </c>
      <c r="W236" s="388">
        <v>0.4</v>
      </c>
      <c r="X236" s="50">
        <v>0</v>
      </c>
      <c r="Y236" s="104">
        <v>1</v>
      </c>
      <c r="Z236" s="388">
        <v>0.5</v>
      </c>
      <c r="AA236" s="104">
        <v>1</v>
      </c>
      <c r="AB236" s="104">
        <v>1</v>
      </c>
      <c r="AC236" s="388">
        <v>-2.5</v>
      </c>
      <c r="AD236" s="388">
        <v>1.4</v>
      </c>
      <c r="AE236" s="50">
        <v>-3.3</v>
      </c>
      <c r="AF236" s="104">
        <v>1</v>
      </c>
      <c r="AG236" s="388">
        <v>-2.1</v>
      </c>
      <c r="AH236" s="50">
        <v>1.4</v>
      </c>
      <c r="AI236" s="388">
        <v>1.2</v>
      </c>
      <c r="AJ236" s="50">
        <v>2.8</v>
      </c>
      <c r="AK236" s="104">
        <v>1</v>
      </c>
      <c r="AL236" s="104">
        <v>1</v>
      </c>
      <c r="AM236" s="42">
        <v>3.5</v>
      </c>
      <c r="AN236" s="6"/>
    </row>
    <row r="237" spans="1:40" s="7" customFormat="1">
      <c r="A237" s="27" t="s">
        <v>85</v>
      </c>
      <c r="B237" s="49"/>
      <c r="C237" s="388"/>
      <c r="D237" s="410">
        <v>1.7</v>
      </c>
      <c r="E237" s="50">
        <v>2.1</v>
      </c>
      <c r="F237" s="388">
        <v>1.1000000000000001</v>
      </c>
      <c r="G237" s="388">
        <v>1.6</v>
      </c>
      <c r="H237" s="388">
        <v>1.3</v>
      </c>
      <c r="I237" s="50">
        <v>0</v>
      </c>
      <c r="J237" s="388">
        <v>2.5</v>
      </c>
      <c r="K237" s="388">
        <v>1.6</v>
      </c>
      <c r="L237" s="50">
        <v>3</v>
      </c>
      <c r="M237" s="388">
        <v>1.4</v>
      </c>
      <c r="N237" s="50">
        <v>1.5</v>
      </c>
      <c r="O237" s="388">
        <v>1.3</v>
      </c>
      <c r="P237" s="388">
        <v>0.9</v>
      </c>
      <c r="Q237" s="50">
        <v>2</v>
      </c>
      <c r="R237" s="102">
        <v>1.7</v>
      </c>
      <c r="S237" s="388">
        <v>0.9</v>
      </c>
      <c r="T237" s="388">
        <v>1.4</v>
      </c>
      <c r="U237" s="388">
        <v>1.7</v>
      </c>
      <c r="V237" s="388">
        <v>3.3</v>
      </c>
      <c r="W237" s="50">
        <v>3</v>
      </c>
      <c r="X237" s="50">
        <v>0</v>
      </c>
      <c r="Y237" s="102">
        <v>1.7</v>
      </c>
      <c r="Z237" s="388">
        <v>1.9</v>
      </c>
      <c r="AA237" s="102">
        <v>1.7</v>
      </c>
      <c r="AB237" s="102">
        <v>1.7</v>
      </c>
      <c r="AC237" s="388">
        <v>3.1</v>
      </c>
      <c r="AD237" s="388">
        <v>1.5</v>
      </c>
      <c r="AE237" s="388">
        <v>1.5</v>
      </c>
      <c r="AF237" s="102">
        <v>1.7</v>
      </c>
      <c r="AG237" s="50">
        <v>2.8</v>
      </c>
      <c r="AH237" s="50">
        <v>4</v>
      </c>
      <c r="AI237" s="388">
        <v>2.4</v>
      </c>
      <c r="AJ237" s="50">
        <v>2</v>
      </c>
      <c r="AK237" s="102">
        <v>1.7</v>
      </c>
      <c r="AL237" s="102">
        <v>1.7</v>
      </c>
      <c r="AM237" s="42">
        <v>1.8</v>
      </c>
      <c r="AN237" s="6"/>
    </row>
    <row r="238" spans="1:40" s="7" customFormat="1">
      <c r="A238" s="27" t="s">
        <v>83</v>
      </c>
      <c r="B238" s="49"/>
      <c r="C238" s="41"/>
      <c r="D238" s="102">
        <v>1.6</v>
      </c>
      <c r="E238" s="357">
        <v>1.4</v>
      </c>
      <c r="F238" s="41">
        <v>1.7</v>
      </c>
      <c r="G238" s="41">
        <v>1.6</v>
      </c>
      <c r="H238" s="41">
        <v>0.6</v>
      </c>
      <c r="I238" s="50">
        <v>0</v>
      </c>
      <c r="J238" s="41">
        <v>1.6</v>
      </c>
      <c r="K238" s="41">
        <v>1.9</v>
      </c>
      <c r="L238" s="41">
        <v>2.4</v>
      </c>
      <c r="M238" s="41">
        <v>1.1000000000000001</v>
      </c>
      <c r="N238" s="41">
        <v>1.4</v>
      </c>
      <c r="O238" s="41">
        <v>1.2</v>
      </c>
      <c r="P238" s="41">
        <v>1.4</v>
      </c>
      <c r="Q238" s="41">
        <v>2.1</v>
      </c>
      <c r="R238" s="102">
        <v>1.6</v>
      </c>
      <c r="S238" s="41">
        <v>0.8</v>
      </c>
      <c r="T238" s="41">
        <v>1.4</v>
      </c>
      <c r="U238" s="41">
        <v>2.6</v>
      </c>
      <c r="V238" s="1"/>
      <c r="W238" s="41">
        <v>1.2</v>
      </c>
      <c r="X238" s="50">
        <v>2.5</v>
      </c>
      <c r="Y238" s="50">
        <v>0</v>
      </c>
      <c r="Z238" s="41">
        <v>1.3</v>
      </c>
      <c r="AA238" s="102">
        <v>1.6</v>
      </c>
      <c r="AB238" s="41">
        <v>3.9</v>
      </c>
      <c r="AC238" s="41">
        <v>1.9</v>
      </c>
      <c r="AD238" s="50">
        <v>1.5</v>
      </c>
      <c r="AE238" s="41">
        <v>2.9</v>
      </c>
      <c r="AF238" s="50">
        <v>3.4</v>
      </c>
      <c r="AG238" s="41">
        <v>2.8</v>
      </c>
      <c r="AH238" s="50">
        <v>1.5</v>
      </c>
      <c r="AI238" s="102">
        <v>1.6</v>
      </c>
      <c r="AJ238" s="41">
        <v>1.1000000000000001</v>
      </c>
      <c r="AK238" s="41"/>
      <c r="AL238" s="41"/>
      <c r="AM238" s="42"/>
      <c r="AN238" s="6"/>
    </row>
    <row r="239" spans="1:40" s="7" customFormat="1">
      <c r="A239" s="27" t="s">
        <v>87</v>
      </c>
      <c r="B239" s="49"/>
      <c r="C239" s="41"/>
      <c r="D239" s="102">
        <v>1.2</v>
      </c>
      <c r="E239" s="357">
        <v>0.8</v>
      </c>
      <c r="F239" s="41">
        <v>1.7</v>
      </c>
      <c r="G239" s="41">
        <v>0.9</v>
      </c>
      <c r="H239" s="41">
        <v>0.6</v>
      </c>
      <c r="I239" s="50">
        <v>0</v>
      </c>
      <c r="J239" s="50">
        <v>1</v>
      </c>
      <c r="K239" s="41">
        <v>0.9</v>
      </c>
      <c r="L239" s="41">
        <v>1.2</v>
      </c>
      <c r="M239" s="41">
        <v>0.9</v>
      </c>
      <c r="N239" s="41">
        <v>1.5</v>
      </c>
      <c r="O239" s="41">
        <v>1.2</v>
      </c>
      <c r="P239" s="41">
        <v>1.3</v>
      </c>
      <c r="Q239" s="41">
        <v>1.6</v>
      </c>
      <c r="R239" s="102">
        <v>1.2</v>
      </c>
      <c r="S239" s="41">
        <v>0.6</v>
      </c>
      <c r="T239" s="41">
        <v>0.9</v>
      </c>
      <c r="U239" s="41">
        <v>1.4</v>
      </c>
      <c r="V239" s="1"/>
      <c r="W239" s="41">
        <v>0.9</v>
      </c>
      <c r="X239" s="41">
        <v>1.7</v>
      </c>
      <c r="Y239" s="50">
        <v>0</v>
      </c>
      <c r="Z239" s="41">
        <v>0.9</v>
      </c>
      <c r="AA239" s="102">
        <v>1.2</v>
      </c>
      <c r="AB239" s="41">
        <v>1.1000000000000001</v>
      </c>
      <c r="AC239" s="41">
        <v>1.2</v>
      </c>
      <c r="AD239" s="41">
        <v>1.4</v>
      </c>
      <c r="AE239" s="41">
        <v>1.1000000000000001</v>
      </c>
      <c r="AF239" s="50">
        <v>1.9</v>
      </c>
      <c r="AG239" s="50">
        <v>2</v>
      </c>
      <c r="AH239" s="50">
        <v>0.9</v>
      </c>
      <c r="AI239" s="102">
        <v>1.2</v>
      </c>
      <c r="AJ239" s="41">
        <v>0.6</v>
      </c>
      <c r="AK239" s="41"/>
      <c r="AL239" s="41"/>
      <c r="AM239" s="42"/>
      <c r="AN239" s="6"/>
    </row>
    <row r="240" spans="1:40" s="7" customFormat="1">
      <c r="A240" s="27" t="s">
        <v>88</v>
      </c>
      <c r="B240" s="49"/>
      <c r="C240" s="41"/>
      <c r="D240" s="102">
        <v>1.2</v>
      </c>
      <c r="E240" s="357">
        <v>0.8</v>
      </c>
      <c r="F240" s="41">
        <v>1.7</v>
      </c>
      <c r="G240" s="41">
        <v>0.9</v>
      </c>
      <c r="H240" s="41">
        <v>0.6</v>
      </c>
      <c r="I240" s="50">
        <v>0</v>
      </c>
      <c r="J240" s="50">
        <v>1</v>
      </c>
      <c r="K240" s="41">
        <v>0.9</v>
      </c>
      <c r="L240" s="41">
        <v>1.2</v>
      </c>
      <c r="M240" s="41">
        <v>0.9</v>
      </c>
      <c r="N240" s="41">
        <v>1.5</v>
      </c>
      <c r="O240" s="41">
        <v>1.2</v>
      </c>
      <c r="P240" s="41">
        <v>1.3</v>
      </c>
      <c r="Q240" s="41">
        <v>1.6</v>
      </c>
      <c r="R240" s="102">
        <v>1.2</v>
      </c>
      <c r="S240" s="41">
        <v>0.6</v>
      </c>
      <c r="T240" s="41">
        <v>0.9</v>
      </c>
      <c r="U240" s="41">
        <v>1.4</v>
      </c>
      <c r="V240" s="1"/>
      <c r="W240" s="41">
        <v>0.9</v>
      </c>
      <c r="X240" s="41">
        <v>1.7</v>
      </c>
      <c r="Y240" s="50">
        <v>0</v>
      </c>
      <c r="Z240" s="41">
        <v>0.9</v>
      </c>
      <c r="AA240" s="102">
        <v>1.2</v>
      </c>
      <c r="AB240" s="41">
        <v>1.1000000000000001</v>
      </c>
      <c r="AC240" s="41">
        <v>1.2</v>
      </c>
      <c r="AD240" s="41">
        <v>1.4</v>
      </c>
      <c r="AE240" s="41">
        <v>1.1000000000000001</v>
      </c>
      <c r="AF240" s="41">
        <v>1.9</v>
      </c>
      <c r="AG240" s="50">
        <v>2</v>
      </c>
      <c r="AH240" s="50">
        <v>0.9</v>
      </c>
      <c r="AI240" s="102">
        <v>1.2</v>
      </c>
      <c r="AJ240" s="41">
        <v>0.6</v>
      </c>
      <c r="AK240" s="41"/>
      <c r="AL240" s="41"/>
      <c r="AM240" s="42"/>
      <c r="AN240" s="6"/>
    </row>
    <row r="241" spans="1:40" s="7" customFormat="1">
      <c r="A241" s="2"/>
      <c r="B241" s="2"/>
      <c r="C241" s="307"/>
      <c r="D241" s="371" t="s">
        <v>42</v>
      </c>
      <c r="E241" s="370">
        <v>2015</v>
      </c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 t="s">
        <v>82</v>
      </c>
      <c r="S241" s="41"/>
      <c r="T241" s="41"/>
      <c r="U241" s="41"/>
      <c r="V241" s="41"/>
      <c r="W241" s="41"/>
      <c r="X241" s="41"/>
      <c r="Y241" s="41"/>
      <c r="Z241" s="41"/>
      <c r="AA241" s="41" t="s">
        <v>82</v>
      </c>
      <c r="AB241" s="41"/>
      <c r="AC241" s="41"/>
      <c r="AD241" s="41"/>
      <c r="AE241" s="37"/>
      <c r="AF241" s="41"/>
      <c r="AG241" s="41"/>
      <c r="AH241" s="41"/>
      <c r="AI241" s="41" t="s">
        <v>82</v>
      </c>
      <c r="AJ241" s="41"/>
      <c r="AK241" s="41"/>
      <c r="AL241" s="41"/>
      <c r="AM241" s="42"/>
      <c r="AN241" s="6"/>
    </row>
    <row r="242" spans="1:40" s="7" customFormat="1">
      <c r="A242" s="2"/>
      <c r="B242" s="2"/>
      <c r="C242" s="307"/>
      <c r="D242" s="371" t="s">
        <v>1</v>
      </c>
      <c r="E242" s="372" t="s">
        <v>86</v>
      </c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37"/>
      <c r="AH242" s="41"/>
      <c r="AI242" s="41"/>
      <c r="AJ242" s="41"/>
      <c r="AK242" s="41"/>
      <c r="AL242" s="41"/>
      <c r="AM242" s="42"/>
      <c r="AN242" s="6"/>
    </row>
    <row r="243" spans="1:40" s="7" customFormat="1">
      <c r="A243" s="47"/>
      <c r="B243" s="49"/>
      <c r="C243" s="41"/>
      <c r="D243" s="41"/>
      <c r="E243" s="352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37"/>
      <c r="AH243" s="41"/>
      <c r="AI243" s="41"/>
      <c r="AJ243" s="41"/>
      <c r="AK243" s="41"/>
      <c r="AL243" s="41"/>
      <c r="AM243" s="42"/>
      <c r="AN243" s="6"/>
    </row>
    <row r="244" spans="1:40" s="7" customFormat="1">
      <c r="A244" s="128" t="s">
        <v>488</v>
      </c>
      <c r="B244" s="72"/>
      <c r="C244" s="72"/>
      <c r="D244" s="64" t="s">
        <v>82</v>
      </c>
      <c r="E244" s="313" t="s">
        <v>4</v>
      </c>
      <c r="F244" s="64" t="s">
        <v>5</v>
      </c>
      <c r="G244" s="64" t="s">
        <v>6</v>
      </c>
      <c r="H244" s="64" t="s">
        <v>15</v>
      </c>
      <c r="I244" s="64" t="s">
        <v>7</v>
      </c>
      <c r="J244" s="64" t="s">
        <v>8</v>
      </c>
      <c r="K244" s="64" t="s">
        <v>9</v>
      </c>
      <c r="L244" s="64" t="s">
        <v>10</v>
      </c>
      <c r="M244" s="64" t="s">
        <v>2</v>
      </c>
      <c r="N244" s="64" t="s">
        <v>12</v>
      </c>
      <c r="O244" s="64" t="s">
        <v>30</v>
      </c>
      <c r="P244" s="64" t="s">
        <v>13</v>
      </c>
      <c r="Q244" s="64" t="s">
        <v>14</v>
      </c>
      <c r="R244" s="64" t="s">
        <v>45</v>
      </c>
      <c r="S244" s="64" t="s">
        <v>16</v>
      </c>
      <c r="T244" s="64" t="s">
        <v>17</v>
      </c>
      <c r="U244" s="64" t="s">
        <v>20</v>
      </c>
      <c r="V244" s="64" t="s">
        <v>18</v>
      </c>
      <c r="W244" s="64" t="s">
        <v>19</v>
      </c>
      <c r="X244" s="194" t="s">
        <v>19</v>
      </c>
      <c r="Y244" s="64" t="s">
        <v>21</v>
      </c>
      <c r="Z244" s="64" t="s">
        <v>22</v>
      </c>
      <c r="AA244" s="64" t="s">
        <v>29</v>
      </c>
      <c r="AB244" s="64" t="s">
        <v>23</v>
      </c>
      <c r="AC244" s="64" t="s">
        <v>24</v>
      </c>
      <c r="AD244" s="64" t="s">
        <v>25</v>
      </c>
      <c r="AE244" s="64" t="s">
        <v>28</v>
      </c>
      <c r="AF244" s="64" t="s">
        <v>27</v>
      </c>
      <c r="AG244" s="64" t="s">
        <v>11</v>
      </c>
      <c r="AH244" s="64" t="s">
        <v>26</v>
      </c>
      <c r="AI244" s="64" t="s">
        <v>46</v>
      </c>
      <c r="AJ244" s="194" t="s">
        <v>31</v>
      </c>
      <c r="AK244" s="41"/>
      <c r="AL244" s="41"/>
      <c r="AM244" s="42"/>
      <c r="AN244" s="6"/>
    </row>
    <row r="245" spans="1:40" s="7" customFormat="1">
      <c r="A245" s="27" t="s">
        <v>556</v>
      </c>
      <c r="B245" s="37"/>
      <c r="C245" s="37"/>
      <c r="D245" s="201">
        <v>18</v>
      </c>
      <c r="E245" s="427">
        <v>18</v>
      </c>
      <c r="F245" s="201">
        <v>18</v>
      </c>
      <c r="G245" s="201">
        <v>18</v>
      </c>
      <c r="H245" s="201">
        <v>18</v>
      </c>
      <c r="I245" s="201">
        <v>18</v>
      </c>
      <c r="J245" s="201">
        <v>18</v>
      </c>
      <c r="K245" s="201">
        <v>18</v>
      </c>
      <c r="L245" s="201">
        <v>18</v>
      </c>
      <c r="M245" s="201">
        <v>18</v>
      </c>
      <c r="N245" s="201">
        <v>18</v>
      </c>
      <c r="O245" s="201">
        <v>18</v>
      </c>
      <c r="P245" s="201">
        <v>18</v>
      </c>
      <c r="Q245" s="201">
        <v>18</v>
      </c>
      <c r="R245" s="201">
        <v>18</v>
      </c>
      <c r="S245" s="201">
        <v>18</v>
      </c>
      <c r="T245" s="201">
        <v>18</v>
      </c>
      <c r="U245" s="201">
        <v>18</v>
      </c>
      <c r="V245" s="201">
        <v>18</v>
      </c>
      <c r="W245" s="201">
        <v>18</v>
      </c>
      <c r="X245" s="201">
        <v>18</v>
      </c>
      <c r="Y245" s="201">
        <v>18</v>
      </c>
      <c r="Z245" s="201">
        <v>18</v>
      </c>
      <c r="AA245" s="201">
        <v>18</v>
      </c>
      <c r="AB245" s="201">
        <v>18</v>
      </c>
      <c r="AC245" s="201">
        <v>18</v>
      </c>
      <c r="AD245" s="201">
        <v>18</v>
      </c>
      <c r="AE245" s="201">
        <v>18</v>
      </c>
      <c r="AF245" s="201">
        <v>18</v>
      </c>
      <c r="AG245" s="201">
        <v>18</v>
      </c>
      <c r="AH245" s="201">
        <v>18</v>
      </c>
      <c r="AI245" s="201">
        <v>18</v>
      </c>
      <c r="AJ245" s="201">
        <v>18</v>
      </c>
      <c r="AK245" s="449"/>
      <c r="AL245" s="449"/>
      <c r="AM245" s="42"/>
      <c r="AN245" s="6"/>
    </row>
    <row r="246" spans="1:40" s="7" customFormat="1">
      <c r="A246" s="37" t="s">
        <v>557</v>
      </c>
      <c r="B246" s="37"/>
      <c r="C246" s="37"/>
      <c r="D246" s="432">
        <v>18</v>
      </c>
      <c r="E246" s="201">
        <v>18</v>
      </c>
      <c r="F246" s="201">
        <v>18</v>
      </c>
      <c r="G246" s="201">
        <v>18</v>
      </c>
      <c r="H246" s="201">
        <v>18</v>
      </c>
      <c r="I246" s="201">
        <v>18</v>
      </c>
      <c r="J246" s="201">
        <v>18</v>
      </c>
      <c r="K246" s="201">
        <v>18</v>
      </c>
      <c r="L246" s="201">
        <v>18</v>
      </c>
      <c r="M246" s="201">
        <v>18</v>
      </c>
      <c r="N246" s="201">
        <v>18</v>
      </c>
      <c r="O246" s="201">
        <v>18</v>
      </c>
      <c r="P246" s="201">
        <v>18</v>
      </c>
      <c r="Q246" s="201">
        <v>18</v>
      </c>
      <c r="R246" s="201">
        <v>18</v>
      </c>
      <c r="S246" s="201">
        <v>18</v>
      </c>
      <c r="T246" s="201">
        <v>18</v>
      </c>
      <c r="U246" s="201">
        <v>18</v>
      </c>
      <c r="V246" s="201">
        <v>18</v>
      </c>
      <c r="W246" s="201">
        <v>18</v>
      </c>
      <c r="X246" s="201">
        <v>18</v>
      </c>
      <c r="Y246" s="201">
        <v>18</v>
      </c>
      <c r="Z246" s="201">
        <v>18</v>
      </c>
      <c r="AA246" s="201">
        <v>18</v>
      </c>
      <c r="AB246" s="201">
        <v>18</v>
      </c>
      <c r="AC246" s="201">
        <v>18</v>
      </c>
      <c r="AD246" s="201">
        <v>18</v>
      </c>
      <c r="AE246" s="201">
        <v>18</v>
      </c>
      <c r="AF246" s="201">
        <v>18</v>
      </c>
      <c r="AG246" s="201">
        <v>18</v>
      </c>
      <c r="AH246" s="201">
        <v>18</v>
      </c>
      <c r="AI246" s="201">
        <v>18</v>
      </c>
      <c r="AJ246" s="201">
        <v>18</v>
      </c>
      <c r="AK246" s="449"/>
      <c r="AL246" s="449"/>
      <c r="AM246" s="42"/>
      <c r="AN246" s="6"/>
    </row>
    <row r="247" spans="1:40" s="7" customFormat="1">
      <c r="A247" s="1"/>
      <c r="B247" s="37"/>
      <c r="C247" s="37"/>
      <c r="D247" s="380" t="s">
        <v>42</v>
      </c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41"/>
      <c r="Z247" s="37"/>
      <c r="AA247" s="37"/>
      <c r="AB247" s="37"/>
      <c r="AC247" s="37"/>
      <c r="AD247" s="37"/>
      <c r="AE247" s="37"/>
      <c r="AF247" s="41"/>
      <c r="AG247" s="37"/>
      <c r="AH247" s="37"/>
      <c r="AI247" s="37"/>
      <c r="AJ247" s="41"/>
      <c r="AK247" s="449"/>
      <c r="AL247" s="449"/>
      <c r="AM247" s="42"/>
      <c r="AN247" s="6"/>
    </row>
    <row r="248" spans="1:40" s="7" customFormat="1">
      <c r="A248" s="1"/>
      <c r="B248" s="37"/>
      <c r="C248" s="37"/>
      <c r="D248" s="380" t="s">
        <v>1</v>
      </c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41"/>
      <c r="AK248" s="449"/>
      <c r="AL248" s="449"/>
      <c r="AM248" s="42"/>
      <c r="AN248" s="6"/>
    </row>
    <row r="249" spans="1:40" s="7" customFormat="1">
      <c r="A249" s="47"/>
      <c r="B249" s="37"/>
      <c r="C249" s="37"/>
      <c r="D249" s="37"/>
      <c r="E249" s="354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266"/>
      <c r="AK249" s="449"/>
      <c r="AL249" s="449"/>
      <c r="AM249" s="42"/>
      <c r="AN249" s="6"/>
    </row>
    <row r="250" spans="1:40" s="7" customFormat="1">
      <c r="A250" s="107" t="s">
        <v>489</v>
      </c>
      <c r="B250" s="72"/>
      <c r="C250" s="72"/>
      <c r="D250" s="72"/>
      <c r="E250" s="310" t="s">
        <v>4</v>
      </c>
      <c r="F250" s="166" t="s">
        <v>5</v>
      </c>
      <c r="G250" s="166" t="s">
        <v>6</v>
      </c>
      <c r="H250" s="166" t="s">
        <v>15</v>
      </c>
      <c r="I250" s="166" t="s">
        <v>7</v>
      </c>
      <c r="J250" s="166" t="s">
        <v>8</v>
      </c>
      <c r="K250" s="166" t="s">
        <v>9</v>
      </c>
      <c r="L250" s="166" t="s">
        <v>10</v>
      </c>
      <c r="M250" s="166" t="s">
        <v>2</v>
      </c>
      <c r="N250" s="166" t="s">
        <v>12</v>
      </c>
      <c r="O250" s="166" t="s">
        <v>30</v>
      </c>
      <c r="P250" s="166" t="s">
        <v>13</v>
      </c>
      <c r="Q250" s="166" t="s">
        <v>14</v>
      </c>
      <c r="R250" s="166" t="s">
        <v>45</v>
      </c>
      <c r="S250" s="166" t="s">
        <v>16</v>
      </c>
      <c r="T250" s="166" t="s">
        <v>17</v>
      </c>
      <c r="U250" s="166" t="s">
        <v>20</v>
      </c>
      <c r="V250" s="166" t="s">
        <v>154</v>
      </c>
      <c r="W250" s="166" t="s">
        <v>18</v>
      </c>
      <c r="X250" s="166" t="s">
        <v>19</v>
      </c>
      <c r="Y250" s="166" t="s">
        <v>21</v>
      </c>
      <c r="Z250" s="166" t="s">
        <v>22</v>
      </c>
      <c r="AA250" s="166" t="s">
        <v>29</v>
      </c>
      <c r="AB250" s="166" t="s">
        <v>23</v>
      </c>
      <c r="AC250" s="166" t="s">
        <v>24</v>
      </c>
      <c r="AD250" s="166" t="s">
        <v>25</v>
      </c>
      <c r="AE250" s="166" t="s">
        <v>28</v>
      </c>
      <c r="AF250" s="166" t="s">
        <v>27</v>
      </c>
      <c r="AG250" s="166" t="s">
        <v>11</v>
      </c>
      <c r="AH250" s="166" t="s">
        <v>26</v>
      </c>
      <c r="AI250" s="166" t="s">
        <v>46</v>
      </c>
      <c r="AJ250" s="166" t="s">
        <v>31</v>
      </c>
      <c r="AK250" s="266"/>
      <c r="AL250" s="266"/>
      <c r="AM250" s="42"/>
      <c r="AN250" s="6"/>
    </row>
    <row r="251" spans="1:40" s="7" customFormat="1">
      <c r="A251" s="47"/>
      <c r="B251" s="37"/>
      <c r="C251" s="37"/>
      <c r="D251" s="37"/>
      <c r="E251" s="345" t="s">
        <v>209</v>
      </c>
      <c r="F251" s="34" t="s">
        <v>210</v>
      </c>
      <c r="G251" s="34" t="s">
        <v>211</v>
      </c>
      <c r="H251" s="271" t="s">
        <v>159</v>
      </c>
      <c r="I251" s="271" t="s">
        <v>159</v>
      </c>
      <c r="J251" s="34" t="s">
        <v>212</v>
      </c>
      <c r="K251" s="34" t="s">
        <v>213</v>
      </c>
      <c r="L251" s="271" t="s">
        <v>159</v>
      </c>
      <c r="M251" s="34" t="s">
        <v>214</v>
      </c>
      <c r="N251" s="34" t="s">
        <v>215</v>
      </c>
      <c r="O251" s="34" t="s">
        <v>216</v>
      </c>
      <c r="P251" s="34" t="s">
        <v>217</v>
      </c>
      <c r="Q251" s="34" t="s">
        <v>218</v>
      </c>
      <c r="R251" s="271" t="s">
        <v>159</v>
      </c>
      <c r="S251" s="271" t="s">
        <v>159</v>
      </c>
      <c r="T251" s="34" t="s">
        <v>219</v>
      </c>
      <c r="U251" s="271" t="s">
        <v>159</v>
      </c>
      <c r="V251" s="271" t="s">
        <v>159</v>
      </c>
      <c r="W251" s="271" t="s">
        <v>159</v>
      </c>
      <c r="X251" s="271" t="s">
        <v>159</v>
      </c>
      <c r="Y251" s="271" t="s">
        <v>159</v>
      </c>
      <c r="Z251" s="34" t="s">
        <v>220</v>
      </c>
      <c r="AA251" s="34" t="s">
        <v>221</v>
      </c>
      <c r="AB251" s="34" t="s">
        <v>222</v>
      </c>
      <c r="AC251" s="34" t="s">
        <v>223</v>
      </c>
      <c r="AD251" s="34" t="s">
        <v>224</v>
      </c>
      <c r="AE251" s="271" t="s">
        <v>159</v>
      </c>
      <c r="AF251" s="271" t="s">
        <v>159</v>
      </c>
      <c r="AG251" s="34" t="s">
        <v>225</v>
      </c>
      <c r="AH251" s="34" t="s">
        <v>226</v>
      </c>
      <c r="AI251" s="34" t="s">
        <v>227</v>
      </c>
      <c r="AJ251" s="34" t="s">
        <v>228</v>
      </c>
      <c r="AK251" s="266"/>
      <c r="AL251" s="266"/>
      <c r="AM251" s="42"/>
      <c r="AN251" s="6"/>
    </row>
    <row r="252" spans="1:40" s="7" customFormat="1">
      <c r="A252" s="47"/>
      <c r="B252" s="37"/>
      <c r="C252" s="37"/>
      <c r="D252" s="37"/>
      <c r="E252" s="345" t="s">
        <v>97</v>
      </c>
      <c r="F252" s="34" t="s">
        <v>97</v>
      </c>
      <c r="G252" s="34" t="s">
        <v>97</v>
      </c>
      <c r="H252" s="34" t="s">
        <v>97</v>
      </c>
      <c r="I252" s="34" t="s">
        <v>97</v>
      </c>
      <c r="J252" s="34" t="s">
        <v>97</v>
      </c>
      <c r="K252" s="34" t="s">
        <v>97</v>
      </c>
      <c r="L252" s="34" t="s">
        <v>97</v>
      </c>
      <c r="M252" s="34" t="s">
        <v>97</v>
      </c>
      <c r="N252" s="34" t="s">
        <v>229</v>
      </c>
      <c r="O252" s="34" t="s">
        <v>230</v>
      </c>
      <c r="P252" s="279" t="s">
        <v>97</v>
      </c>
      <c r="Q252" s="279" t="s">
        <v>97</v>
      </c>
      <c r="R252" s="279" t="s">
        <v>97</v>
      </c>
      <c r="S252" s="279" t="s">
        <v>97</v>
      </c>
      <c r="T252" s="34" t="s">
        <v>231</v>
      </c>
      <c r="U252" s="279" t="s">
        <v>97</v>
      </c>
      <c r="V252" s="279" t="s">
        <v>97</v>
      </c>
      <c r="W252" s="279" t="s">
        <v>97</v>
      </c>
      <c r="X252" s="279" t="s">
        <v>97</v>
      </c>
      <c r="Y252" s="279" t="s">
        <v>97</v>
      </c>
      <c r="Z252" s="34" t="s">
        <v>232</v>
      </c>
      <c r="AA252" s="279" t="s">
        <v>97</v>
      </c>
      <c r="AB252" s="279" t="s">
        <v>97</v>
      </c>
      <c r="AC252" s="279" t="s">
        <v>97</v>
      </c>
      <c r="AD252" s="279" t="s">
        <v>97</v>
      </c>
      <c r="AE252" s="279" t="s">
        <v>97</v>
      </c>
      <c r="AF252" s="279" t="s">
        <v>97</v>
      </c>
      <c r="AG252" s="34" t="s">
        <v>233</v>
      </c>
      <c r="AH252" s="279" t="s">
        <v>97</v>
      </c>
      <c r="AI252" s="279" t="s">
        <v>97</v>
      </c>
      <c r="AJ252" s="34" t="s">
        <v>234</v>
      </c>
      <c r="AK252" s="266"/>
      <c r="AL252" s="266"/>
      <c r="AM252" s="42"/>
      <c r="AN252" s="6"/>
    </row>
    <row r="253" spans="1:40" s="7" customFormat="1">
      <c r="A253" s="47"/>
      <c r="B253" s="37"/>
      <c r="C253" s="37"/>
      <c r="D253" s="37"/>
      <c r="E253" s="345" t="s">
        <v>97</v>
      </c>
      <c r="F253" s="34" t="s">
        <v>97</v>
      </c>
      <c r="G253" s="34" t="s">
        <v>97</v>
      </c>
      <c r="H253" s="34" t="s">
        <v>97</v>
      </c>
      <c r="I253" s="34" t="s">
        <v>97</v>
      </c>
      <c r="J253" s="34" t="s">
        <v>97</v>
      </c>
      <c r="K253" s="34" t="s">
        <v>97</v>
      </c>
      <c r="L253" s="34" t="s">
        <v>97</v>
      </c>
      <c r="M253" s="34" t="s">
        <v>97</v>
      </c>
      <c r="N253" s="34" t="s">
        <v>235</v>
      </c>
      <c r="O253" s="34" t="s">
        <v>236</v>
      </c>
      <c r="P253" s="279" t="s">
        <v>97</v>
      </c>
      <c r="Q253" s="279" t="s">
        <v>97</v>
      </c>
      <c r="R253" s="279" t="s">
        <v>97</v>
      </c>
      <c r="S253" s="279" t="s">
        <v>97</v>
      </c>
      <c r="T253" s="34" t="s">
        <v>237</v>
      </c>
      <c r="U253" s="279" t="s">
        <v>97</v>
      </c>
      <c r="V253" s="279" t="s">
        <v>97</v>
      </c>
      <c r="W253" s="279" t="s">
        <v>97</v>
      </c>
      <c r="X253" s="279" t="s">
        <v>97</v>
      </c>
      <c r="Y253" s="279" t="s">
        <v>97</v>
      </c>
      <c r="Z253" s="279" t="s">
        <v>97</v>
      </c>
      <c r="AA253" s="279" t="s">
        <v>97</v>
      </c>
      <c r="AB253" s="279" t="s">
        <v>97</v>
      </c>
      <c r="AC253" s="279" t="s">
        <v>97</v>
      </c>
      <c r="AD253" s="279" t="s">
        <v>97</v>
      </c>
      <c r="AE253" s="279" t="s">
        <v>97</v>
      </c>
      <c r="AF253" s="279" t="s">
        <v>97</v>
      </c>
      <c r="AG253" s="34" t="s">
        <v>238</v>
      </c>
      <c r="AH253" s="279" t="s">
        <v>97</v>
      </c>
      <c r="AI253" s="279" t="s">
        <v>97</v>
      </c>
      <c r="AJ253" s="279" t="s">
        <v>97</v>
      </c>
      <c r="AK253" s="266"/>
      <c r="AL253" s="266"/>
      <c r="AM253" s="42"/>
      <c r="AN253" s="6"/>
    </row>
    <row r="254" spans="1:40" s="7" customFormat="1">
      <c r="A254" s="47"/>
      <c r="B254" s="37"/>
      <c r="C254" s="37"/>
      <c r="D254" s="37"/>
      <c r="E254" s="345" t="s">
        <v>97</v>
      </c>
      <c r="F254" s="34" t="s">
        <v>97</v>
      </c>
      <c r="G254" s="34" t="s">
        <v>97</v>
      </c>
      <c r="H254" s="34" t="s">
        <v>97</v>
      </c>
      <c r="I254" s="34" t="s">
        <v>97</v>
      </c>
      <c r="J254" s="34" t="s">
        <v>97</v>
      </c>
      <c r="K254" s="34" t="s">
        <v>97</v>
      </c>
      <c r="L254" s="34" t="s">
        <v>97</v>
      </c>
      <c r="M254" s="34" t="s">
        <v>97</v>
      </c>
      <c r="N254" s="34" t="s">
        <v>239</v>
      </c>
      <c r="O254" s="34" t="s">
        <v>240</v>
      </c>
      <c r="P254" s="279" t="s">
        <v>97</v>
      </c>
      <c r="Q254" s="279" t="s">
        <v>97</v>
      </c>
      <c r="R254" s="279" t="s">
        <v>97</v>
      </c>
      <c r="S254" s="279" t="s">
        <v>97</v>
      </c>
      <c r="T254" s="34" t="s">
        <v>241</v>
      </c>
      <c r="U254" s="279" t="s">
        <v>97</v>
      </c>
      <c r="V254" s="279" t="s">
        <v>97</v>
      </c>
      <c r="W254" s="279" t="s">
        <v>97</v>
      </c>
      <c r="X254" s="279" t="s">
        <v>97</v>
      </c>
      <c r="Y254" s="279" t="s">
        <v>97</v>
      </c>
      <c r="Z254" s="279" t="s">
        <v>97</v>
      </c>
      <c r="AA254" s="279" t="s">
        <v>97</v>
      </c>
      <c r="AB254" s="279" t="s">
        <v>97</v>
      </c>
      <c r="AC254" s="279" t="s">
        <v>97</v>
      </c>
      <c r="AD254" s="279" t="s">
        <v>97</v>
      </c>
      <c r="AE254" s="279" t="s">
        <v>97</v>
      </c>
      <c r="AF254" s="279" t="s">
        <v>97</v>
      </c>
      <c r="AG254" s="279" t="s">
        <v>97</v>
      </c>
      <c r="AH254" s="279" t="s">
        <v>97</v>
      </c>
      <c r="AI254" s="279" t="s">
        <v>97</v>
      </c>
      <c r="AJ254" s="279" t="s">
        <v>97</v>
      </c>
      <c r="AK254" s="266"/>
      <c r="AL254" s="266"/>
      <c r="AM254" s="42"/>
      <c r="AN254" s="6"/>
    </row>
    <row r="255" spans="1:40" s="7" customFormat="1">
      <c r="A255" s="47"/>
      <c r="B255" s="37"/>
      <c r="C255" s="37"/>
      <c r="D255" s="37"/>
      <c r="E255" s="345" t="s">
        <v>97</v>
      </c>
      <c r="F255" s="34" t="s">
        <v>97</v>
      </c>
      <c r="G255" s="34" t="s">
        <v>97</v>
      </c>
      <c r="H255" s="34" t="s">
        <v>97</v>
      </c>
      <c r="I255" s="34" t="s">
        <v>97</v>
      </c>
      <c r="J255" s="34" t="s">
        <v>97</v>
      </c>
      <c r="K255" s="34" t="s">
        <v>97</v>
      </c>
      <c r="L255" s="34" t="s">
        <v>97</v>
      </c>
      <c r="M255" s="34" t="s">
        <v>97</v>
      </c>
      <c r="N255" s="34" t="s">
        <v>242</v>
      </c>
      <c r="O255" s="279" t="s">
        <v>97</v>
      </c>
      <c r="P255" s="279" t="s">
        <v>97</v>
      </c>
      <c r="Q255" s="279" t="s">
        <v>97</v>
      </c>
      <c r="R255" s="279" t="s">
        <v>97</v>
      </c>
      <c r="S255" s="279" t="s">
        <v>97</v>
      </c>
      <c r="T255" s="34" t="s">
        <v>243</v>
      </c>
      <c r="U255" s="279" t="s">
        <v>97</v>
      </c>
      <c r="V255" s="279" t="s">
        <v>97</v>
      </c>
      <c r="W255" s="279" t="s">
        <v>97</v>
      </c>
      <c r="X255" s="279" t="s">
        <v>97</v>
      </c>
      <c r="Y255" s="279" t="s">
        <v>97</v>
      </c>
      <c r="Z255" s="279" t="s">
        <v>97</v>
      </c>
      <c r="AA255" s="279" t="s">
        <v>97</v>
      </c>
      <c r="AB255" s="279" t="s">
        <v>97</v>
      </c>
      <c r="AC255" s="279" t="s">
        <v>97</v>
      </c>
      <c r="AD255" s="279" t="s">
        <v>97</v>
      </c>
      <c r="AE255" s="279" t="s">
        <v>97</v>
      </c>
      <c r="AF255" s="279" t="s">
        <v>97</v>
      </c>
      <c r="AG255" s="279" t="s">
        <v>97</v>
      </c>
      <c r="AH255" s="279" t="s">
        <v>97</v>
      </c>
      <c r="AI255" s="279" t="s">
        <v>97</v>
      </c>
      <c r="AJ255" s="279" t="s">
        <v>97</v>
      </c>
      <c r="AK255" s="266"/>
      <c r="AL255" s="266"/>
      <c r="AM255" s="42"/>
      <c r="AN255" s="6"/>
    </row>
    <row r="256" spans="1:40" s="7" customFormat="1">
      <c r="A256" s="47"/>
      <c r="B256" s="37"/>
      <c r="C256" s="37"/>
      <c r="D256" s="37"/>
      <c r="E256" s="345" t="s">
        <v>97</v>
      </c>
      <c r="F256" s="34" t="s">
        <v>97</v>
      </c>
      <c r="G256" s="34" t="s">
        <v>97</v>
      </c>
      <c r="H256" s="34" t="s">
        <v>97</v>
      </c>
      <c r="I256" s="34" t="s">
        <v>97</v>
      </c>
      <c r="J256" s="34" t="s">
        <v>97</v>
      </c>
      <c r="K256" s="34" t="s">
        <v>97</v>
      </c>
      <c r="L256" s="34" t="s">
        <v>97</v>
      </c>
      <c r="M256" s="34" t="s">
        <v>97</v>
      </c>
      <c r="N256" s="34" t="s">
        <v>244</v>
      </c>
      <c r="O256" s="279" t="s">
        <v>97</v>
      </c>
      <c r="P256" s="279" t="s">
        <v>97</v>
      </c>
      <c r="Q256" s="279" t="s">
        <v>97</v>
      </c>
      <c r="R256" s="279" t="s">
        <v>97</v>
      </c>
      <c r="S256" s="279" t="s">
        <v>97</v>
      </c>
      <c r="T256" s="34" t="s">
        <v>245</v>
      </c>
      <c r="U256" s="279" t="s">
        <v>97</v>
      </c>
      <c r="V256" s="279" t="s">
        <v>97</v>
      </c>
      <c r="W256" s="279" t="s">
        <v>97</v>
      </c>
      <c r="X256" s="279" t="s">
        <v>97</v>
      </c>
      <c r="Y256" s="279" t="s">
        <v>97</v>
      </c>
      <c r="Z256" s="279" t="s">
        <v>97</v>
      </c>
      <c r="AA256" s="279" t="s">
        <v>97</v>
      </c>
      <c r="AB256" s="279" t="s">
        <v>97</v>
      </c>
      <c r="AC256" s="279" t="s">
        <v>97</v>
      </c>
      <c r="AD256" s="279" t="s">
        <v>97</v>
      </c>
      <c r="AE256" s="279" t="s">
        <v>97</v>
      </c>
      <c r="AF256" s="279" t="s">
        <v>97</v>
      </c>
      <c r="AG256" s="279" t="s">
        <v>97</v>
      </c>
      <c r="AH256" s="279" t="s">
        <v>97</v>
      </c>
      <c r="AI256" s="279" t="s">
        <v>97</v>
      </c>
      <c r="AJ256" s="279" t="s">
        <v>97</v>
      </c>
      <c r="AK256" s="266"/>
      <c r="AL256" s="266"/>
      <c r="AM256" s="42"/>
      <c r="AN256" s="6"/>
    </row>
    <row r="257" spans="1:40" s="7" customFormat="1">
      <c r="A257" s="47"/>
      <c r="B257" s="37"/>
      <c r="C257" s="37"/>
      <c r="D257" s="37"/>
      <c r="E257" s="345" t="s">
        <v>97</v>
      </c>
      <c r="F257" s="34" t="s">
        <v>97</v>
      </c>
      <c r="G257" s="34" t="s">
        <v>97</v>
      </c>
      <c r="H257" s="34" t="s">
        <v>97</v>
      </c>
      <c r="I257" s="34" t="s">
        <v>97</v>
      </c>
      <c r="J257" s="34" t="s">
        <v>97</v>
      </c>
      <c r="K257" s="34" t="s">
        <v>97</v>
      </c>
      <c r="L257" s="34" t="s">
        <v>97</v>
      </c>
      <c r="M257" s="34" t="s">
        <v>97</v>
      </c>
      <c r="N257" s="34" t="s">
        <v>97</v>
      </c>
      <c r="O257" s="279" t="s">
        <v>97</v>
      </c>
      <c r="P257" s="279" t="s">
        <v>97</v>
      </c>
      <c r="Q257" s="279" t="s">
        <v>97</v>
      </c>
      <c r="R257" s="279" t="s">
        <v>97</v>
      </c>
      <c r="S257" s="279" t="s">
        <v>97</v>
      </c>
      <c r="T257" s="34" t="s">
        <v>246</v>
      </c>
      <c r="U257" s="279" t="s">
        <v>97</v>
      </c>
      <c r="V257" s="279" t="s">
        <v>97</v>
      </c>
      <c r="W257" s="279" t="s">
        <v>97</v>
      </c>
      <c r="X257" s="279" t="s">
        <v>97</v>
      </c>
      <c r="Y257" s="279" t="s">
        <v>97</v>
      </c>
      <c r="Z257" s="279" t="s">
        <v>97</v>
      </c>
      <c r="AA257" s="279" t="s">
        <v>97</v>
      </c>
      <c r="AB257" s="279" t="s">
        <v>97</v>
      </c>
      <c r="AC257" s="279" t="s">
        <v>97</v>
      </c>
      <c r="AD257" s="279" t="s">
        <v>97</v>
      </c>
      <c r="AE257" s="279" t="s">
        <v>97</v>
      </c>
      <c r="AF257" s="279" t="s">
        <v>97</v>
      </c>
      <c r="AG257" s="279" t="s">
        <v>97</v>
      </c>
      <c r="AH257" s="279" t="s">
        <v>97</v>
      </c>
      <c r="AI257" s="279" t="s">
        <v>97</v>
      </c>
      <c r="AJ257" s="279" t="s">
        <v>97</v>
      </c>
      <c r="AK257" s="266"/>
      <c r="AL257" s="266"/>
      <c r="AM257" s="42"/>
      <c r="AN257" s="6"/>
    </row>
    <row r="258" spans="1:40" s="7" customFormat="1">
      <c r="A258" s="47"/>
      <c r="B258" s="37"/>
      <c r="C258" s="37"/>
      <c r="D258" s="37"/>
      <c r="E258" s="345"/>
      <c r="F258" s="34"/>
      <c r="G258" s="279"/>
      <c r="H258" s="279"/>
      <c r="I258" s="279"/>
      <c r="J258" s="279"/>
      <c r="K258" s="279"/>
      <c r="L258" s="279"/>
      <c r="M258" s="279"/>
      <c r="N258" s="34"/>
      <c r="O258" s="279"/>
      <c r="P258" s="279"/>
      <c r="Q258" s="279"/>
      <c r="R258" s="279"/>
      <c r="S258" s="279"/>
      <c r="T258" s="34"/>
      <c r="U258" s="279"/>
      <c r="V258" s="279"/>
      <c r="W258" s="279"/>
      <c r="X258" s="279"/>
      <c r="Y258" s="279"/>
      <c r="Z258" s="279"/>
      <c r="AA258" s="279"/>
      <c r="AB258" s="279"/>
      <c r="AC258" s="279"/>
      <c r="AD258" s="279"/>
      <c r="AE258" s="279"/>
      <c r="AF258" s="279"/>
      <c r="AG258" s="279"/>
      <c r="AH258" s="279"/>
      <c r="AI258" s="279"/>
      <c r="AJ258" s="279"/>
      <c r="AK258" s="266"/>
      <c r="AL258" s="266"/>
      <c r="AM258" s="42"/>
      <c r="AN258" s="6"/>
    </row>
    <row r="259" spans="1:40" s="7" customFormat="1">
      <c r="A259" s="107" t="s">
        <v>490</v>
      </c>
      <c r="B259" s="72"/>
      <c r="C259" s="72"/>
      <c r="D259" s="72"/>
      <c r="E259" s="310" t="s">
        <v>4</v>
      </c>
      <c r="F259" s="166" t="s">
        <v>5</v>
      </c>
      <c r="G259" s="166" t="s">
        <v>6</v>
      </c>
      <c r="H259" s="166" t="s">
        <v>15</v>
      </c>
      <c r="I259" s="166" t="s">
        <v>7</v>
      </c>
      <c r="J259" s="166" t="s">
        <v>8</v>
      </c>
      <c r="K259" s="166" t="s">
        <v>9</v>
      </c>
      <c r="L259" s="166" t="s">
        <v>10</v>
      </c>
      <c r="M259" s="166" t="s">
        <v>2</v>
      </c>
      <c r="N259" s="166" t="s">
        <v>12</v>
      </c>
      <c r="O259" s="166" t="s">
        <v>30</v>
      </c>
      <c r="P259" s="166" t="s">
        <v>13</v>
      </c>
      <c r="Q259" s="166" t="s">
        <v>14</v>
      </c>
      <c r="R259" s="166" t="s">
        <v>45</v>
      </c>
      <c r="S259" s="166" t="s">
        <v>16</v>
      </c>
      <c r="T259" s="166" t="s">
        <v>17</v>
      </c>
      <c r="U259" s="166" t="s">
        <v>20</v>
      </c>
      <c r="V259" s="166" t="s">
        <v>154</v>
      </c>
      <c r="W259" s="166" t="s">
        <v>18</v>
      </c>
      <c r="X259" s="166" t="s">
        <v>19</v>
      </c>
      <c r="Y259" s="166" t="s">
        <v>21</v>
      </c>
      <c r="Z259" s="166" t="s">
        <v>22</v>
      </c>
      <c r="AA259" s="166" t="s">
        <v>29</v>
      </c>
      <c r="AB259" s="166" t="s">
        <v>23</v>
      </c>
      <c r="AC259" s="166" t="s">
        <v>24</v>
      </c>
      <c r="AD259" s="166" t="s">
        <v>25</v>
      </c>
      <c r="AE259" s="166" t="s">
        <v>28</v>
      </c>
      <c r="AF259" s="166" t="s">
        <v>27</v>
      </c>
      <c r="AG259" s="166" t="s">
        <v>11</v>
      </c>
      <c r="AH259" s="166" t="s">
        <v>26</v>
      </c>
      <c r="AI259" s="166" t="s">
        <v>46</v>
      </c>
      <c r="AJ259" s="166" t="s">
        <v>31</v>
      </c>
      <c r="AK259" s="266"/>
      <c r="AL259" s="266"/>
      <c r="AM259" s="42"/>
      <c r="AN259" s="6"/>
    </row>
    <row r="260" spans="1:40" s="7" customFormat="1">
      <c r="A260" s="36" t="s">
        <v>252</v>
      </c>
      <c r="B260" s="37"/>
      <c r="C260" s="1"/>
      <c r="D260" s="457" t="s">
        <v>420</v>
      </c>
      <c r="E260" s="317">
        <f>E35/E245*1000/2</f>
        <v>199.77650816800761</v>
      </c>
      <c r="F260" s="172">
        <f>F35/F245*1000/2</f>
        <v>38.789909401841818</v>
      </c>
      <c r="G260" s="172">
        <f>G35/G245*1000/2</f>
        <v>30.138888888888889</v>
      </c>
      <c r="H260" s="278">
        <v>0</v>
      </c>
      <c r="I260" s="278">
        <v>0</v>
      </c>
      <c r="J260" s="172">
        <f>J35/J245*1000/2</f>
        <v>298.18888888888887</v>
      </c>
      <c r="K260" s="172">
        <f>K35/K245*1000/2</f>
        <v>9.7777777777777768</v>
      </c>
      <c r="L260" s="278">
        <v>0</v>
      </c>
      <c r="M260" s="172">
        <f>M35/M245*1000/2</f>
        <v>18.186702717692739</v>
      </c>
      <c r="N260" s="172">
        <f>N35/N245*1000/2</f>
        <v>299.98370529026829</v>
      </c>
      <c r="O260" s="172">
        <f>O35/O245*1000/2</f>
        <v>488.88888888888891</v>
      </c>
      <c r="P260" s="172">
        <f>P35/P245*1000/2</f>
        <v>46.904116125829823</v>
      </c>
      <c r="Q260" s="172">
        <f>Q35/Q245*1000/2</f>
        <v>75.213888888888889</v>
      </c>
      <c r="R260" s="278">
        <v>0</v>
      </c>
      <c r="S260" s="278">
        <v>0</v>
      </c>
      <c r="T260" s="172">
        <f>T35/T245*1000/2</f>
        <v>190.69444444444446</v>
      </c>
      <c r="U260" s="278">
        <v>0</v>
      </c>
      <c r="V260" s="278">
        <v>0</v>
      </c>
      <c r="W260" s="278">
        <v>0</v>
      </c>
      <c r="X260" s="278">
        <v>0</v>
      </c>
      <c r="Y260" s="278">
        <v>0</v>
      </c>
      <c r="Z260" s="172">
        <f>Z35/Z245*1000/2</f>
        <v>28.916666666666664</v>
      </c>
      <c r="AA260" s="172">
        <f>AA35/AA245*1000/2</f>
        <v>27.666666666666664</v>
      </c>
      <c r="AB260" s="172">
        <f>AB35/AB245*1000/2</f>
        <v>120.89652042027235</v>
      </c>
      <c r="AC260" s="172">
        <f>AC35/AC245*1000/2</f>
        <v>32.666666666666664</v>
      </c>
      <c r="AD260" s="172">
        <f>AD35/AD245*1000/2</f>
        <v>241.80121049111105</v>
      </c>
      <c r="AE260" s="278">
        <v>0</v>
      </c>
      <c r="AF260" s="278">
        <v>0</v>
      </c>
      <c r="AG260" s="172">
        <f>AG35/AG245*1000/2</f>
        <v>242.4722222222222</v>
      </c>
      <c r="AH260" s="172">
        <f>AH35/AH245*1000/2</f>
        <v>76.027777777777771</v>
      </c>
      <c r="AI260" s="172">
        <f>AI35/AI245*1000/2</f>
        <v>32.638888888888893</v>
      </c>
      <c r="AJ260" s="279">
        <v>73</v>
      </c>
      <c r="AK260" s="48" t="s">
        <v>255</v>
      </c>
      <c r="AL260" s="266"/>
      <c r="AM260" s="42"/>
      <c r="AN260" s="6"/>
    </row>
    <row r="261" spans="1:40" s="7" customFormat="1">
      <c r="A261" s="371"/>
      <c r="B261" s="2"/>
      <c r="C261" s="212"/>
      <c r="D261" s="371" t="s">
        <v>254</v>
      </c>
      <c r="E261" s="345"/>
      <c r="F261" s="34"/>
      <c r="G261" s="279"/>
      <c r="H261" s="279"/>
      <c r="I261" s="279"/>
      <c r="J261" s="279"/>
      <c r="K261" s="279"/>
      <c r="L261" s="279"/>
      <c r="M261" s="279"/>
      <c r="N261" s="34"/>
      <c r="O261" s="279"/>
      <c r="P261" s="279"/>
      <c r="Q261" s="279"/>
      <c r="R261" s="279"/>
      <c r="S261" s="279"/>
      <c r="T261" s="34"/>
      <c r="U261" s="279"/>
      <c r="V261" s="279"/>
      <c r="W261" s="279"/>
      <c r="X261" s="279"/>
      <c r="Y261" s="279"/>
      <c r="Z261" s="279"/>
      <c r="AA261" s="279"/>
      <c r="AB261" s="279"/>
      <c r="AC261" s="279"/>
      <c r="AD261" s="279"/>
      <c r="AE261" s="279"/>
      <c r="AF261" s="279"/>
      <c r="AG261" s="279"/>
      <c r="AH261" s="279"/>
      <c r="AI261" s="279"/>
      <c r="AJ261" s="279"/>
      <c r="AK261" s="266"/>
      <c r="AL261" s="266"/>
      <c r="AM261" s="42"/>
      <c r="AN261" s="6"/>
    </row>
    <row r="262" spans="1:40" s="7" customFormat="1">
      <c r="A262" s="2"/>
      <c r="B262" s="2"/>
      <c r="C262" s="2"/>
      <c r="D262" s="371" t="s">
        <v>1</v>
      </c>
      <c r="E262" s="381" t="s">
        <v>253</v>
      </c>
      <c r="F262" s="37"/>
      <c r="G262" s="37"/>
      <c r="H262" s="279"/>
      <c r="I262" s="279"/>
      <c r="J262" s="279"/>
      <c r="K262" s="279"/>
      <c r="L262" s="279"/>
      <c r="M262" s="279"/>
      <c r="N262" s="34"/>
      <c r="O262" s="279"/>
      <c r="P262" s="279"/>
      <c r="Q262" s="279"/>
      <c r="R262" s="279"/>
      <c r="S262" s="279"/>
      <c r="T262" s="34"/>
      <c r="U262" s="279"/>
      <c r="V262" s="279"/>
      <c r="W262" s="279"/>
      <c r="X262" s="279"/>
      <c r="Y262" s="279"/>
      <c r="Z262" s="279"/>
      <c r="AA262" s="279"/>
      <c r="AB262" s="279"/>
      <c r="AC262" s="279"/>
      <c r="AD262" s="279"/>
      <c r="AE262" s="279"/>
      <c r="AF262" s="279"/>
      <c r="AG262" s="279"/>
      <c r="AH262" s="279"/>
      <c r="AI262" s="279"/>
      <c r="AJ262" s="279"/>
      <c r="AK262" s="266"/>
      <c r="AL262" s="266"/>
      <c r="AM262" s="42"/>
      <c r="AN262" s="6"/>
    </row>
    <row r="263" spans="1:40" s="7" customFormat="1">
      <c r="A263" s="47"/>
      <c r="B263" s="37"/>
      <c r="C263" s="37"/>
      <c r="D263" s="37"/>
      <c r="E263" s="345"/>
      <c r="F263" s="34"/>
      <c r="G263" s="279"/>
      <c r="H263" s="279"/>
      <c r="I263" s="279"/>
      <c r="J263" s="279"/>
      <c r="K263" s="279"/>
      <c r="L263" s="279"/>
      <c r="M263" s="279"/>
      <c r="N263" s="34"/>
      <c r="O263" s="279"/>
      <c r="P263" s="279"/>
      <c r="Q263" s="279"/>
      <c r="R263" s="279"/>
      <c r="S263" s="279"/>
      <c r="T263" s="34"/>
      <c r="U263" s="279"/>
      <c r="V263" s="279"/>
      <c r="W263" s="279"/>
      <c r="X263" s="279"/>
      <c r="Y263" s="279"/>
      <c r="Z263" s="279"/>
      <c r="AA263" s="279"/>
      <c r="AB263" s="279"/>
      <c r="AC263" s="279"/>
      <c r="AD263" s="279"/>
      <c r="AE263" s="279"/>
      <c r="AF263" s="279"/>
      <c r="AG263" s="279"/>
      <c r="AH263" s="279"/>
      <c r="AI263" s="279"/>
      <c r="AJ263" s="279"/>
      <c r="AK263" s="266"/>
      <c r="AL263" s="266"/>
      <c r="AM263" s="42"/>
      <c r="AN263" s="6"/>
    </row>
    <row r="264" spans="1:40" s="7" customFormat="1">
      <c r="A264" s="107" t="s">
        <v>772</v>
      </c>
      <c r="B264" s="72"/>
      <c r="C264" s="72"/>
      <c r="D264" s="72"/>
      <c r="E264" s="310" t="s">
        <v>4</v>
      </c>
      <c r="F264" s="166" t="s">
        <v>5</v>
      </c>
      <c r="G264" s="166" t="s">
        <v>6</v>
      </c>
      <c r="H264" s="166" t="s">
        <v>15</v>
      </c>
      <c r="I264" s="166" t="s">
        <v>7</v>
      </c>
      <c r="J264" s="166" t="s">
        <v>8</v>
      </c>
      <c r="K264" s="166" t="s">
        <v>9</v>
      </c>
      <c r="L264" s="166" t="s">
        <v>10</v>
      </c>
      <c r="M264" s="166" t="s">
        <v>2</v>
      </c>
      <c r="N264" s="166" t="s">
        <v>12</v>
      </c>
      <c r="O264" s="166" t="s">
        <v>30</v>
      </c>
      <c r="P264" s="280" t="s">
        <v>13</v>
      </c>
      <c r="Q264" s="166" t="s">
        <v>14</v>
      </c>
      <c r="R264" s="166" t="s">
        <v>45</v>
      </c>
      <c r="S264" s="166" t="s">
        <v>16</v>
      </c>
      <c r="T264" s="166" t="s">
        <v>17</v>
      </c>
      <c r="U264" s="166" t="s">
        <v>20</v>
      </c>
      <c r="V264" s="166" t="s">
        <v>154</v>
      </c>
      <c r="W264" s="166" t="s">
        <v>18</v>
      </c>
      <c r="X264" s="166" t="s">
        <v>19</v>
      </c>
      <c r="Y264" s="166" t="s">
        <v>21</v>
      </c>
      <c r="Z264" s="166" t="s">
        <v>22</v>
      </c>
      <c r="AA264" s="166" t="s">
        <v>29</v>
      </c>
      <c r="AB264" s="166" t="s">
        <v>23</v>
      </c>
      <c r="AC264" s="166" t="s">
        <v>24</v>
      </c>
      <c r="AD264" s="166" t="s">
        <v>25</v>
      </c>
      <c r="AE264" s="166" t="s">
        <v>28</v>
      </c>
      <c r="AF264" s="166" t="s">
        <v>27</v>
      </c>
      <c r="AG264" s="166" t="s">
        <v>11</v>
      </c>
      <c r="AH264" s="166" t="s">
        <v>26</v>
      </c>
      <c r="AI264" s="166" t="s">
        <v>46</v>
      </c>
      <c r="AJ264" s="166" t="s">
        <v>31</v>
      </c>
      <c r="AK264" s="266"/>
      <c r="AL264" s="266"/>
      <c r="AM264" s="42"/>
      <c r="AN264" s="6"/>
    </row>
    <row r="265" spans="1:40" s="7" customFormat="1">
      <c r="A265" s="36" t="s">
        <v>247</v>
      </c>
      <c r="B265" s="37"/>
      <c r="C265" s="37"/>
      <c r="D265" s="37"/>
      <c r="E265" s="345">
        <v>100</v>
      </c>
      <c r="F265" s="34">
        <v>100</v>
      </c>
      <c r="G265" s="34">
        <v>100</v>
      </c>
      <c r="H265" s="279">
        <v>0</v>
      </c>
      <c r="I265" s="279">
        <v>0</v>
      </c>
      <c r="J265" s="34">
        <v>100</v>
      </c>
      <c r="K265" s="34">
        <v>100</v>
      </c>
      <c r="L265" s="279">
        <v>0</v>
      </c>
      <c r="M265" s="279">
        <v>100</v>
      </c>
      <c r="N265" s="278">
        <v>11.095484034615428</v>
      </c>
      <c r="O265" s="278">
        <v>40.558220052310062</v>
      </c>
      <c r="P265" s="279">
        <v>100</v>
      </c>
      <c r="Q265" s="279">
        <v>100</v>
      </c>
      <c r="R265" s="279">
        <v>0</v>
      </c>
      <c r="S265" s="279">
        <v>0</v>
      </c>
      <c r="T265" s="278">
        <v>4.2118202278404633</v>
      </c>
      <c r="U265" s="279">
        <v>0</v>
      </c>
      <c r="V265" s="279">
        <v>0</v>
      </c>
      <c r="W265" s="279">
        <v>0</v>
      </c>
      <c r="X265" s="279">
        <v>0</v>
      </c>
      <c r="Y265" s="279">
        <v>0</v>
      </c>
      <c r="Z265" s="278">
        <v>40.989700387719338</v>
      </c>
      <c r="AA265" s="279">
        <v>100</v>
      </c>
      <c r="AB265" s="279">
        <v>100</v>
      </c>
      <c r="AC265" s="279">
        <v>100</v>
      </c>
      <c r="AD265" s="279">
        <v>100</v>
      </c>
      <c r="AE265" s="279">
        <v>0</v>
      </c>
      <c r="AF265" s="279">
        <v>0</v>
      </c>
      <c r="AG265" s="278">
        <v>29.939654686843411</v>
      </c>
      <c r="AH265" s="279">
        <v>100</v>
      </c>
      <c r="AI265" s="279">
        <v>100</v>
      </c>
      <c r="AJ265" s="278">
        <v>0.54794520547945202</v>
      </c>
      <c r="AK265" s="266"/>
      <c r="AL265" s="266"/>
      <c r="AM265" s="42"/>
      <c r="AN265" s="6"/>
    </row>
    <row r="266" spans="1:40" s="7" customFormat="1">
      <c r="A266" s="47"/>
      <c r="B266" s="2"/>
      <c r="C266" s="37"/>
      <c r="D266" s="371" t="s">
        <v>248</v>
      </c>
      <c r="E266" s="345"/>
      <c r="F266" s="34"/>
      <c r="G266" s="279"/>
      <c r="H266" s="279"/>
      <c r="I266" s="279"/>
      <c r="J266" s="279"/>
      <c r="K266" s="279"/>
      <c r="L266" s="279"/>
      <c r="M266" s="279"/>
      <c r="N266" s="278">
        <v>12.723175888369386</v>
      </c>
      <c r="O266" s="278">
        <v>22.656953454346912</v>
      </c>
      <c r="P266" s="279"/>
      <c r="Q266" s="279"/>
      <c r="R266" s="279"/>
      <c r="S266" s="279"/>
      <c r="T266" s="278">
        <v>2.331295400435367</v>
      </c>
      <c r="U266" s="279"/>
      <c r="V266" s="279"/>
      <c r="W266" s="279"/>
      <c r="X266" s="279"/>
      <c r="Y266" s="279"/>
      <c r="Z266" s="278">
        <v>59.010299612280662</v>
      </c>
      <c r="AA266" s="279"/>
      <c r="AB266" s="279"/>
      <c r="AC266" s="279"/>
      <c r="AD266" s="279"/>
      <c r="AE266" s="279"/>
      <c r="AF266" s="279"/>
      <c r="AG266" s="278">
        <v>11.89270577897301</v>
      </c>
      <c r="AH266" s="279"/>
      <c r="AI266" s="279"/>
      <c r="AJ266" s="278">
        <v>99.452054794520535</v>
      </c>
      <c r="AK266" s="266"/>
      <c r="AL266" s="266"/>
      <c r="AM266" s="42"/>
      <c r="AN266" s="6"/>
    </row>
    <row r="267" spans="1:40" s="7" customFormat="1">
      <c r="A267" s="47"/>
      <c r="B267" s="37"/>
      <c r="C267" s="37"/>
      <c r="D267" s="37"/>
      <c r="E267" s="345"/>
      <c r="F267" s="34"/>
      <c r="G267" s="279"/>
      <c r="H267" s="279"/>
      <c r="I267" s="279"/>
      <c r="J267" s="279"/>
      <c r="K267" s="279"/>
      <c r="L267" s="279"/>
      <c r="M267" s="279"/>
      <c r="N267" s="278">
        <v>6.0001595225583664</v>
      </c>
      <c r="O267" s="278">
        <v>27.721901059043162</v>
      </c>
      <c r="P267" s="279"/>
      <c r="Q267" s="279"/>
      <c r="R267" s="279"/>
      <c r="S267" s="279"/>
      <c r="T267" s="278">
        <v>2.5205638063985449</v>
      </c>
      <c r="U267" s="279"/>
      <c r="V267" s="279"/>
      <c r="W267" s="279"/>
      <c r="X267" s="279"/>
      <c r="Y267" s="279"/>
      <c r="Z267" s="279"/>
      <c r="AA267" s="279"/>
      <c r="AB267" s="279"/>
      <c r="AC267" s="279"/>
      <c r="AD267" s="279"/>
      <c r="AE267" s="279"/>
      <c r="AF267" s="279"/>
      <c r="AG267" s="278">
        <v>58.167639534183593</v>
      </c>
      <c r="AH267" s="279"/>
      <c r="AI267" s="279"/>
      <c r="AJ267" s="278"/>
      <c r="AK267" s="266"/>
      <c r="AL267" s="266"/>
      <c r="AM267" s="42"/>
      <c r="AN267" s="6"/>
    </row>
    <row r="268" spans="1:40" s="7" customFormat="1">
      <c r="A268" s="47"/>
      <c r="B268" s="37"/>
      <c r="C268" s="37"/>
      <c r="D268" s="37"/>
      <c r="E268" s="345"/>
      <c r="F268" s="34"/>
      <c r="G268" s="279"/>
      <c r="H268" s="279"/>
      <c r="I268" s="279"/>
      <c r="J268" s="279"/>
      <c r="K268" s="279"/>
      <c r="L268" s="279"/>
      <c r="M268" s="279"/>
      <c r="N268" s="278">
        <v>59.079226830221543</v>
      </c>
      <c r="O268" s="278">
        <v>9.06292543429986</v>
      </c>
      <c r="P268" s="279"/>
      <c r="Q268" s="279"/>
      <c r="R268" s="279"/>
      <c r="S268" s="279"/>
      <c r="T268" s="278">
        <v>45.097393225555109</v>
      </c>
      <c r="U268" s="279"/>
      <c r="V268" s="279"/>
      <c r="W268" s="279"/>
      <c r="X268" s="279"/>
      <c r="Y268" s="279"/>
      <c r="Z268" s="279"/>
      <c r="AA268" s="279"/>
      <c r="AB268" s="279"/>
      <c r="AC268" s="279"/>
      <c r="AD268" s="279"/>
      <c r="AE268" s="279"/>
      <c r="AF268" s="279"/>
      <c r="AG268" s="299"/>
      <c r="AH268" s="279"/>
      <c r="AI268" s="279"/>
      <c r="AJ268" s="279"/>
      <c r="AK268" s="266"/>
      <c r="AL268" s="266"/>
      <c r="AM268" s="42"/>
      <c r="AN268" s="6"/>
    </row>
    <row r="269" spans="1:40" s="7" customFormat="1">
      <c r="A269" s="47"/>
      <c r="B269" s="37"/>
      <c r="C269" s="37"/>
      <c r="D269" s="37"/>
      <c r="E269" s="345"/>
      <c r="F269" s="34"/>
      <c r="G269" s="279"/>
      <c r="H269" s="279"/>
      <c r="I269" s="279"/>
      <c r="J269" s="279"/>
      <c r="K269" s="279"/>
      <c r="L269" s="279"/>
      <c r="M269" s="279"/>
      <c r="N269" s="278">
        <v>2.713556143693006</v>
      </c>
      <c r="O269" s="279"/>
      <c r="P269" s="279"/>
      <c r="Q269" s="279"/>
      <c r="R269" s="279"/>
      <c r="S269" s="279"/>
      <c r="T269" s="278">
        <v>7.0924242720195503</v>
      </c>
      <c r="U269" s="279"/>
      <c r="V269" s="279"/>
      <c r="W269" s="279"/>
      <c r="X269" s="279"/>
      <c r="Y269" s="279"/>
      <c r="Z269" s="279"/>
      <c r="AA269" s="279"/>
      <c r="AB269" s="279"/>
      <c r="AC269" s="279"/>
      <c r="AD269" s="279"/>
      <c r="AE269" s="279"/>
      <c r="AF269" s="279"/>
      <c r="AG269" s="279"/>
      <c r="AH269" s="279"/>
      <c r="AI269" s="279"/>
      <c r="AJ269" s="279"/>
      <c r="AK269" s="266"/>
      <c r="AL269" s="266"/>
      <c r="AM269" s="42"/>
      <c r="AN269" s="6"/>
    </row>
    <row r="270" spans="1:40" s="7" customFormat="1">
      <c r="A270" s="47"/>
      <c r="B270" s="37"/>
      <c r="C270" s="37"/>
      <c r="D270" s="37"/>
      <c r="E270" s="345"/>
      <c r="F270" s="34"/>
      <c r="G270" s="279"/>
      <c r="H270" s="279"/>
      <c r="I270" s="279"/>
      <c r="J270" s="279"/>
      <c r="K270" s="279"/>
      <c r="L270" s="279"/>
      <c r="M270" s="279"/>
      <c r="N270" s="278">
        <v>8.3883975805422715</v>
      </c>
      <c r="O270" s="279"/>
      <c r="P270" s="279"/>
      <c r="Q270" s="279"/>
      <c r="R270" s="279"/>
      <c r="S270" s="279"/>
      <c r="T270" s="278">
        <v>32.785977979907152</v>
      </c>
      <c r="U270" s="279"/>
      <c r="V270" s="279"/>
      <c r="W270" s="279"/>
      <c r="X270" s="279"/>
      <c r="Y270" s="279"/>
      <c r="Z270" s="279"/>
      <c r="AA270" s="279"/>
      <c r="AB270" s="279"/>
      <c r="AC270" s="279"/>
      <c r="AD270" s="279"/>
      <c r="AE270" s="279"/>
      <c r="AF270" s="279"/>
      <c r="AG270" s="279"/>
      <c r="AH270" s="279"/>
      <c r="AI270" s="279"/>
      <c r="AJ270" s="279"/>
      <c r="AK270" s="266"/>
      <c r="AL270" s="266"/>
      <c r="AM270" s="42"/>
      <c r="AN270" s="6"/>
    </row>
    <row r="271" spans="1:40" s="7" customFormat="1">
      <c r="A271" s="47"/>
      <c r="B271" s="37"/>
      <c r="C271" s="37"/>
      <c r="D271" s="37"/>
      <c r="E271" s="345"/>
      <c r="F271" s="34"/>
      <c r="G271" s="279"/>
      <c r="H271" s="279"/>
      <c r="I271" s="279"/>
      <c r="J271" s="279"/>
      <c r="K271" s="279"/>
      <c r="L271" s="279"/>
      <c r="M271" s="279"/>
      <c r="N271" s="278"/>
      <c r="O271" s="279"/>
      <c r="P271" s="279"/>
      <c r="Q271" s="279"/>
      <c r="R271" s="279"/>
      <c r="S271" s="279"/>
      <c r="T271" s="278">
        <v>5.9605250878438056</v>
      </c>
      <c r="U271" s="279"/>
      <c r="V271" s="279"/>
      <c r="W271" s="279"/>
      <c r="X271" s="279"/>
      <c r="Y271" s="279"/>
      <c r="Z271" s="279"/>
      <c r="AA271" s="279"/>
      <c r="AB271" s="279"/>
      <c r="AC271" s="279"/>
      <c r="AD271" s="279"/>
      <c r="AE271" s="279"/>
      <c r="AF271" s="279"/>
      <c r="AG271" s="279"/>
      <c r="AH271" s="279"/>
      <c r="AI271" s="279"/>
      <c r="AJ271" s="279"/>
      <c r="AK271" s="297"/>
      <c r="AL271" s="297"/>
      <c r="AM271" s="42"/>
      <c r="AN271" s="6"/>
    </row>
    <row r="272" spans="1:40" s="7" customFormat="1">
      <c r="A272" s="47"/>
      <c r="B272" s="37"/>
      <c r="C272" s="37"/>
      <c r="D272" s="37"/>
      <c r="E272" s="345"/>
      <c r="F272" s="34"/>
      <c r="G272" s="279"/>
      <c r="H272" s="279"/>
      <c r="I272" s="279"/>
      <c r="J272" s="279"/>
      <c r="K272" s="279"/>
      <c r="L272" s="279"/>
      <c r="M272" s="279"/>
      <c r="N272" s="278"/>
      <c r="O272" s="279"/>
      <c r="P272" s="279"/>
      <c r="Q272" s="279"/>
      <c r="R272" s="279"/>
      <c r="S272" s="279"/>
      <c r="T272" s="278"/>
      <c r="U272" s="279"/>
      <c r="V272" s="279"/>
      <c r="W272" s="279"/>
      <c r="X272" s="279"/>
      <c r="Y272" s="279"/>
      <c r="Z272" s="279"/>
      <c r="AA272" s="279"/>
      <c r="AB272" s="279"/>
      <c r="AC272" s="279"/>
      <c r="AD272" s="279"/>
      <c r="AE272" s="279"/>
      <c r="AF272" s="279"/>
      <c r="AG272" s="279"/>
      <c r="AH272" s="279"/>
      <c r="AI272" s="279"/>
      <c r="AJ272" s="279"/>
      <c r="AK272" s="276"/>
      <c r="AL272" s="276"/>
      <c r="AM272" s="42"/>
      <c r="AN272" s="6"/>
    </row>
    <row r="273" spans="1:40" s="7" customFormat="1" ht="14.45" customHeight="1">
      <c r="A273" s="107" t="s">
        <v>491</v>
      </c>
      <c r="B273" s="72"/>
      <c r="C273" s="72"/>
      <c r="D273" s="72"/>
      <c r="E273" s="310" t="s">
        <v>4</v>
      </c>
      <c r="F273" s="166" t="s">
        <v>5</v>
      </c>
      <c r="G273" s="166" t="s">
        <v>6</v>
      </c>
      <c r="H273" s="166" t="s">
        <v>15</v>
      </c>
      <c r="I273" s="166" t="s">
        <v>7</v>
      </c>
      <c r="J273" s="166" t="s">
        <v>8</v>
      </c>
      <c r="K273" s="166" t="s">
        <v>9</v>
      </c>
      <c r="L273" s="166" t="s">
        <v>10</v>
      </c>
      <c r="M273" s="166" t="s">
        <v>2</v>
      </c>
      <c r="N273" s="166" t="s">
        <v>12</v>
      </c>
      <c r="O273" s="166" t="s">
        <v>30</v>
      </c>
      <c r="P273" s="166" t="s">
        <v>13</v>
      </c>
      <c r="Q273" s="166" t="s">
        <v>14</v>
      </c>
      <c r="R273" s="166" t="s">
        <v>45</v>
      </c>
      <c r="S273" s="166" t="s">
        <v>16</v>
      </c>
      <c r="T273" s="166" t="s">
        <v>17</v>
      </c>
      <c r="U273" s="166" t="s">
        <v>20</v>
      </c>
      <c r="V273" s="166" t="s">
        <v>154</v>
      </c>
      <c r="W273" s="166" t="s">
        <v>18</v>
      </c>
      <c r="X273" s="166" t="s">
        <v>19</v>
      </c>
      <c r="Y273" s="166" t="s">
        <v>21</v>
      </c>
      <c r="Z273" s="166" t="s">
        <v>22</v>
      </c>
      <c r="AA273" s="166" t="s">
        <v>29</v>
      </c>
      <c r="AB273" s="166" t="s">
        <v>23</v>
      </c>
      <c r="AC273" s="166" t="s">
        <v>24</v>
      </c>
      <c r="AD273" s="166" t="s">
        <v>25</v>
      </c>
      <c r="AE273" s="166" t="s">
        <v>28</v>
      </c>
      <c r="AF273" s="166" t="s">
        <v>27</v>
      </c>
      <c r="AG273" s="166" t="s">
        <v>11</v>
      </c>
      <c r="AH273" s="166" t="s">
        <v>26</v>
      </c>
      <c r="AI273" s="166" t="s">
        <v>46</v>
      </c>
      <c r="AJ273" s="166" t="s">
        <v>31</v>
      </c>
      <c r="AK273" s="276"/>
      <c r="AL273" s="276"/>
      <c r="AM273" s="42"/>
      <c r="AN273" s="6"/>
    </row>
    <row r="274" spans="1:40" s="7" customFormat="1" ht="14.45" customHeight="1">
      <c r="A274" s="47"/>
      <c r="B274" s="37"/>
      <c r="C274" s="37"/>
      <c r="D274" s="37"/>
      <c r="E274" s="344" t="s">
        <v>256</v>
      </c>
      <c r="F274" s="285" t="s">
        <v>257</v>
      </c>
      <c r="G274" s="285" t="s">
        <v>211</v>
      </c>
      <c r="H274" s="285" t="s">
        <v>258</v>
      </c>
      <c r="I274" s="286" t="s">
        <v>259</v>
      </c>
      <c r="J274" s="285" t="s">
        <v>260</v>
      </c>
      <c r="K274" s="285" t="s">
        <v>261</v>
      </c>
      <c r="L274" s="287" t="s">
        <v>262</v>
      </c>
      <c r="M274" s="285" t="s">
        <v>214</v>
      </c>
      <c r="N274" s="285" t="s">
        <v>263</v>
      </c>
      <c r="O274" s="285" t="s">
        <v>264</v>
      </c>
      <c r="P274" s="285" t="s">
        <v>217</v>
      </c>
      <c r="Q274" s="285" t="s">
        <v>218</v>
      </c>
      <c r="R274" s="286" t="s">
        <v>259</v>
      </c>
      <c r="S274" s="285" t="s">
        <v>265</v>
      </c>
      <c r="T274" s="285" t="s">
        <v>266</v>
      </c>
      <c r="U274" s="285" t="s">
        <v>267</v>
      </c>
      <c r="V274" s="286" t="s">
        <v>259</v>
      </c>
      <c r="W274" s="286" t="s">
        <v>259</v>
      </c>
      <c r="X274" s="285" t="s">
        <v>19</v>
      </c>
      <c r="Y274" s="286" t="s">
        <v>259</v>
      </c>
      <c r="Z274" s="285" t="s">
        <v>220</v>
      </c>
      <c r="AA274" s="285" t="s">
        <v>268</v>
      </c>
      <c r="AB274" s="285" t="s">
        <v>269</v>
      </c>
      <c r="AC274" s="285" t="s">
        <v>270</v>
      </c>
      <c r="AD274" s="287" t="s">
        <v>271</v>
      </c>
      <c r="AE274" s="285" t="s">
        <v>272</v>
      </c>
      <c r="AF274" s="289" t="s">
        <v>259</v>
      </c>
      <c r="AG274" s="285" t="s">
        <v>273</v>
      </c>
      <c r="AH274" s="285" t="s">
        <v>274</v>
      </c>
      <c r="AI274" s="287" t="s">
        <v>275</v>
      </c>
      <c r="AJ274" s="285" t="s">
        <v>276</v>
      </c>
      <c r="AK274" s="276"/>
      <c r="AL274" s="276"/>
      <c r="AM274" s="42"/>
      <c r="AN274" s="6"/>
    </row>
    <row r="275" spans="1:40" s="7" customFormat="1" ht="14.45" customHeight="1">
      <c r="A275" s="47"/>
      <c r="B275" s="37"/>
      <c r="C275" s="37"/>
      <c r="D275" s="37"/>
      <c r="E275" s="344" t="s">
        <v>277</v>
      </c>
      <c r="F275" s="285" t="s">
        <v>278</v>
      </c>
      <c r="G275" s="34" t="s">
        <v>97</v>
      </c>
      <c r="H275" s="285" t="s">
        <v>279</v>
      </c>
      <c r="I275" s="279" t="s">
        <v>97</v>
      </c>
      <c r="J275" s="285" t="s">
        <v>280</v>
      </c>
      <c r="K275" s="34" t="s">
        <v>97</v>
      </c>
      <c r="L275" s="34" t="s">
        <v>97</v>
      </c>
      <c r="M275" s="285" t="s">
        <v>281</v>
      </c>
      <c r="N275" s="285" t="s">
        <v>282</v>
      </c>
      <c r="O275" s="285" t="s">
        <v>283</v>
      </c>
      <c r="P275" s="34" t="s">
        <v>97</v>
      </c>
      <c r="Q275" s="285" t="s">
        <v>284</v>
      </c>
      <c r="R275" s="34" t="s">
        <v>97</v>
      </c>
      <c r="S275" s="34" t="s">
        <v>97</v>
      </c>
      <c r="T275" s="285" t="s">
        <v>285</v>
      </c>
      <c r="U275" s="285" t="s">
        <v>286</v>
      </c>
      <c r="V275" s="279" t="s">
        <v>97</v>
      </c>
      <c r="W275" s="279" t="s">
        <v>97</v>
      </c>
      <c r="X275" s="279" t="s">
        <v>97</v>
      </c>
      <c r="Y275" s="279" t="s">
        <v>97</v>
      </c>
      <c r="Z275" s="285" t="s">
        <v>232</v>
      </c>
      <c r="AA275" s="285" t="s">
        <v>221</v>
      </c>
      <c r="AB275" s="285" t="s">
        <v>287</v>
      </c>
      <c r="AC275" s="285" t="s">
        <v>223</v>
      </c>
      <c r="AD275" s="285" t="s">
        <v>288</v>
      </c>
      <c r="AE275" s="285" t="s">
        <v>289</v>
      </c>
      <c r="AF275" s="299" t="s">
        <v>97</v>
      </c>
      <c r="AG275" s="285" t="s">
        <v>225</v>
      </c>
      <c r="AH275" s="285" t="s">
        <v>290</v>
      </c>
      <c r="AI275" s="285" t="s">
        <v>291</v>
      </c>
      <c r="AJ275" s="285" t="s">
        <v>292</v>
      </c>
      <c r="AK275" s="276"/>
      <c r="AL275" s="276"/>
      <c r="AM275" s="42"/>
      <c r="AN275" s="6"/>
    </row>
    <row r="276" spans="1:40" s="7" customFormat="1" ht="14.45" customHeight="1">
      <c r="A276" s="47"/>
      <c r="B276" s="37"/>
      <c r="C276" s="37"/>
      <c r="D276" s="37"/>
      <c r="E276" s="344" t="s">
        <v>293</v>
      </c>
      <c r="F276" s="285" t="s">
        <v>210</v>
      </c>
      <c r="G276" s="34" t="s">
        <v>97</v>
      </c>
      <c r="H276" s="34" t="s">
        <v>97</v>
      </c>
      <c r="I276" s="279" t="s">
        <v>97</v>
      </c>
      <c r="J276" s="287" t="s">
        <v>294</v>
      </c>
      <c r="K276" s="34" t="s">
        <v>97</v>
      </c>
      <c r="L276" s="34" t="s">
        <v>97</v>
      </c>
      <c r="M276" s="34" t="s">
        <v>97</v>
      </c>
      <c r="N276" s="287" t="s">
        <v>295</v>
      </c>
      <c r="O276" s="287" t="s">
        <v>216</v>
      </c>
      <c r="P276" s="34" t="s">
        <v>97</v>
      </c>
      <c r="Q276" s="285" t="s">
        <v>296</v>
      </c>
      <c r="R276" s="34" t="s">
        <v>97</v>
      </c>
      <c r="S276" s="34" t="s">
        <v>97</v>
      </c>
      <c r="T276" s="285" t="s">
        <v>297</v>
      </c>
      <c r="U276" s="287" t="s">
        <v>298</v>
      </c>
      <c r="V276" s="279" t="s">
        <v>97</v>
      </c>
      <c r="W276" s="279" t="s">
        <v>97</v>
      </c>
      <c r="X276" s="279" t="s">
        <v>97</v>
      </c>
      <c r="Y276" s="279" t="s">
        <v>97</v>
      </c>
      <c r="Z276" s="285" t="s">
        <v>299</v>
      </c>
      <c r="AA276" s="285" t="s">
        <v>300</v>
      </c>
      <c r="AB276" s="285" t="s">
        <v>301</v>
      </c>
      <c r="AC276" s="285" t="s">
        <v>302</v>
      </c>
      <c r="AD276" s="285" t="s">
        <v>303</v>
      </c>
      <c r="AE276" s="288" t="s">
        <v>304</v>
      </c>
      <c r="AF276" s="299" t="s">
        <v>97</v>
      </c>
      <c r="AG276" s="285" t="s">
        <v>233</v>
      </c>
      <c r="AH276" s="285" t="s">
        <v>305</v>
      </c>
      <c r="AI276" s="285" t="s">
        <v>306</v>
      </c>
      <c r="AJ276" s="285" t="s">
        <v>307</v>
      </c>
      <c r="AK276" s="276"/>
      <c r="AL276" s="276"/>
      <c r="AM276" s="42"/>
      <c r="AN276" s="6"/>
    </row>
    <row r="277" spans="1:40" s="7" customFormat="1" ht="14.45" customHeight="1">
      <c r="A277" s="47"/>
      <c r="B277" s="37"/>
      <c r="C277" s="37"/>
      <c r="D277" s="37"/>
      <c r="E277" s="344" t="s">
        <v>308</v>
      </c>
      <c r="F277" s="285" t="s">
        <v>309</v>
      </c>
      <c r="G277" s="34" t="s">
        <v>97</v>
      </c>
      <c r="H277" s="34" t="s">
        <v>97</v>
      </c>
      <c r="I277" s="279" t="s">
        <v>97</v>
      </c>
      <c r="J277" s="287" t="s">
        <v>310</v>
      </c>
      <c r="K277" s="34" t="s">
        <v>97</v>
      </c>
      <c r="L277" s="34" t="s">
        <v>97</v>
      </c>
      <c r="M277" s="34" t="s">
        <v>97</v>
      </c>
      <c r="N277" s="285" t="s">
        <v>311</v>
      </c>
      <c r="O277" s="285" t="s">
        <v>312</v>
      </c>
      <c r="P277" s="34" t="s">
        <v>97</v>
      </c>
      <c r="Q277" s="285" t="s">
        <v>313</v>
      </c>
      <c r="R277" s="34" t="s">
        <v>97</v>
      </c>
      <c r="S277" s="34" t="s">
        <v>97</v>
      </c>
      <c r="T277" s="285" t="s">
        <v>314</v>
      </c>
      <c r="U277" s="34" t="s">
        <v>97</v>
      </c>
      <c r="V277" s="279" t="s">
        <v>97</v>
      </c>
      <c r="W277" s="279" t="s">
        <v>97</v>
      </c>
      <c r="X277" s="279" t="s">
        <v>97</v>
      </c>
      <c r="Y277" s="279" t="s">
        <v>97</v>
      </c>
      <c r="Z277" s="285" t="s">
        <v>315</v>
      </c>
      <c r="AA277" s="34" t="s">
        <v>97</v>
      </c>
      <c r="AB277" s="285" t="s">
        <v>316</v>
      </c>
      <c r="AC277" s="285" t="s">
        <v>317</v>
      </c>
      <c r="AD277" s="287" t="s">
        <v>224</v>
      </c>
      <c r="AE277" s="34" t="s">
        <v>97</v>
      </c>
      <c r="AF277" s="299" t="s">
        <v>97</v>
      </c>
      <c r="AG277" s="285" t="s">
        <v>318</v>
      </c>
      <c r="AH277" s="285" t="s">
        <v>226</v>
      </c>
      <c r="AI277" s="287" t="s">
        <v>227</v>
      </c>
      <c r="AJ277" s="285" t="s">
        <v>319</v>
      </c>
      <c r="AK277" s="276"/>
      <c r="AL277" s="276"/>
      <c r="AM277" s="42"/>
      <c r="AN277" s="6"/>
    </row>
    <row r="278" spans="1:40" s="7" customFormat="1" ht="14.45" customHeight="1">
      <c r="A278" s="47"/>
      <c r="B278" s="37"/>
      <c r="C278" s="37"/>
      <c r="D278" s="37"/>
      <c r="E278" s="344" t="s">
        <v>320</v>
      </c>
      <c r="F278" s="31" t="s">
        <v>321</v>
      </c>
      <c r="G278" s="34" t="s">
        <v>97</v>
      </c>
      <c r="H278" s="34" t="s">
        <v>97</v>
      </c>
      <c r="I278" s="279" t="s">
        <v>97</v>
      </c>
      <c r="J278" s="287" t="s">
        <v>322</v>
      </c>
      <c r="K278" s="34" t="s">
        <v>97</v>
      </c>
      <c r="L278" s="34" t="s">
        <v>97</v>
      </c>
      <c r="M278" s="34" t="s">
        <v>97</v>
      </c>
      <c r="N278" s="285" t="s">
        <v>323</v>
      </c>
      <c r="O278" s="288" t="s">
        <v>324</v>
      </c>
      <c r="P278" s="34" t="s">
        <v>97</v>
      </c>
      <c r="Q278" s="34" t="s">
        <v>97</v>
      </c>
      <c r="R278" s="34" t="s">
        <v>97</v>
      </c>
      <c r="S278" s="34" t="s">
        <v>97</v>
      </c>
      <c r="T278" s="285" t="s">
        <v>325</v>
      </c>
      <c r="U278" s="34" t="s">
        <v>97</v>
      </c>
      <c r="V278" s="279" t="s">
        <v>97</v>
      </c>
      <c r="W278" s="279" t="s">
        <v>97</v>
      </c>
      <c r="X278" s="279" t="s">
        <v>97</v>
      </c>
      <c r="Y278" s="279" t="s">
        <v>97</v>
      </c>
      <c r="Z278" s="279" t="s">
        <v>97</v>
      </c>
      <c r="AA278" s="279" t="s">
        <v>97</v>
      </c>
      <c r="AB278" s="285" t="s">
        <v>326</v>
      </c>
      <c r="AC278" s="287" t="s">
        <v>327</v>
      </c>
      <c r="AD278" s="285" t="s">
        <v>328</v>
      </c>
      <c r="AE278" s="34" t="s">
        <v>97</v>
      </c>
      <c r="AF278" s="299" t="s">
        <v>97</v>
      </c>
      <c r="AG278" s="285" t="s">
        <v>238</v>
      </c>
      <c r="AH278" s="34" t="s">
        <v>97</v>
      </c>
      <c r="AI278" s="285" t="s">
        <v>329</v>
      </c>
      <c r="AJ278" s="285" t="s">
        <v>330</v>
      </c>
      <c r="AK278" s="276"/>
      <c r="AL278" s="276"/>
      <c r="AM278" s="42"/>
      <c r="AN278" s="6"/>
    </row>
    <row r="279" spans="1:40" s="7" customFormat="1" ht="14.45" customHeight="1">
      <c r="A279" s="47"/>
      <c r="B279" s="37"/>
      <c r="C279" s="37"/>
      <c r="D279" s="37"/>
      <c r="E279" s="344" t="s">
        <v>331</v>
      </c>
      <c r="F279" s="34" t="s">
        <v>97</v>
      </c>
      <c r="G279" s="34" t="s">
        <v>97</v>
      </c>
      <c r="H279" s="34" t="s">
        <v>97</v>
      </c>
      <c r="I279" s="279" t="s">
        <v>97</v>
      </c>
      <c r="J279" s="287" t="s">
        <v>332</v>
      </c>
      <c r="K279" s="34" t="s">
        <v>97</v>
      </c>
      <c r="L279" s="34" t="s">
        <v>97</v>
      </c>
      <c r="M279" s="34" t="s">
        <v>97</v>
      </c>
      <c r="N279" s="285" t="s">
        <v>333</v>
      </c>
      <c r="O279" s="288" t="s">
        <v>334</v>
      </c>
      <c r="P279" s="34" t="s">
        <v>97</v>
      </c>
      <c r="Q279" s="34" t="s">
        <v>97</v>
      </c>
      <c r="R279" s="34" t="s">
        <v>97</v>
      </c>
      <c r="S279" s="34" t="s">
        <v>97</v>
      </c>
      <c r="T279" s="285" t="s">
        <v>241</v>
      </c>
      <c r="U279" s="34" t="s">
        <v>97</v>
      </c>
      <c r="V279" s="279" t="s">
        <v>97</v>
      </c>
      <c r="W279" s="279" t="s">
        <v>97</v>
      </c>
      <c r="X279" s="279" t="s">
        <v>97</v>
      </c>
      <c r="Y279" s="279" t="s">
        <v>97</v>
      </c>
      <c r="Z279" s="279" t="s">
        <v>97</v>
      </c>
      <c r="AA279" s="279" t="s">
        <v>97</v>
      </c>
      <c r="AB279" s="285" t="s">
        <v>335</v>
      </c>
      <c r="AC279" s="34" t="s">
        <v>97</v>
      </c>
      <c r="AD279" s="285" t="s">
        <v>336</v>
      </c>
      <c r="AE279" s="34" t="s">
        <v>97</v>
      </c>
      <c r="AF279" s="299" t="s">
        <v>97</v>
      </c>
      <c r="AG279" s="285" t="s">
        <v>337</v>
      </c>
      <c r="AH279" s="34" t="s">
        <v>97</v>
      </c>
      <c r="AI279" s="287" t="s">
        <v>338</v>
      </c>
      <c r="AJ279" s="285" t="s">
        <v>339</v>
      </c>
      <c r="AK279" s="276"/>
      <c r="AL279" s="276"/>
      <c r="AM279" s="42"/>
      <c r="AN279" s="6"/>
    </row>
    <row r="280" spans="1:40" s="7" customFormat="1" ht="14.45" customHeight="1">
      <c r="A280" s="47"/>
      <c r="B280" s="37"/>
      <c r="C280" s="37"/>
      <c r="D280" s="37"/>
      <c r="E280" s="345" t="s">
        <v>97</v>
      </c>
      <c r="F280" s="34" t="s">
        <v>97</v>
      </c>
      <c r="G280" s="34" t="s">
        <v>97</v>
      </c>
      <c r="H280" s="34" t="s">
        <v>97</v>
      </c>
      <c r="I280" s="34" t="s">
        <v>97</v>
      </c>
      <c r="J280" s="34" t="s">
        <v>97</v>
      </c>
      <c r="K280" s="34" t="s">
        <v>97</v>
      </c>
      <c r="L280" s="34" t="s">
        <v>97</v>
      </c>
      <c r="M280" s="34" t="s">
        <v>97</v>
      </c>
      <c r="N280" s="34" t="s">
        <v>97</v>
      </c>
      <c r="O280" s="285" t="s">
        <v>340</v>
      </c>
      <c r="P280" s="34" t="s">
        <v>97</v>
      </c>
      <c r="Q280" s="34" t="s">
        <v>97</v>
      </c>
      <c r="R280" s="34" t="s">
        <v>97</v>
      </c>
      <c r="S280" s="34" t="s">
        <v>97</v>
      </c>
      <c r="T280" s="285" t="s">
        <v>243</v>
      </c>
      <c r="U280" s="34" t="s">
        <v>97</v>
      </c>
      <c r="V280" s="279" t="s">
        <v>97</v>
      </c>
      <c r="W280" s="279" t="s">
        <v>97</v>
      </c>
      <c r="X280" s="279" t="s">
        <v>97</v>
      </c>
      <c r="Y280" s="279" t="s">
        <v>97</v>
      </c>
      <c r="Z280" s="279" t="s">
        <v>97</v>
      </c>
      <c r="AA280" s="279" t="s">
        <v>97</v>
      </c>
      <c r="AB280" s="285" t="s">
        <v>341</v>
      </c>
      <c r="AC280" s="34" t="s">
        <v>97</v>
      </c>
      <c r="AD280" s="287" t="s">
        <v>342</v>
      </c>
      <c r="AE280" s="34" t="s">
        <v>97</v>
      </c>
      <c r="AF280" s="299" t="s">
        <v>97</v>
      </c>
      <c r="AG280" s="285" t="s">
        <v>343</v>
      </c>
      <c r="AH280" s="34" t="s">
        <v>97</v>
      </c>
      <c r="AI280" s="304" t="s">
        <v>97</v>
      </c>
      <c r="AJ280" s="285" t="s">
        <v>344</v>
      </c>
      <c r="AK280" s="276"/>
      <c r="AL280" s="276"/>
      <c r="AM280" s="42"/>
      <c r="AN280" s="6"/>
    </row>
    <row r="281" spans="1:40" s="7" customFormat="1" ht="14.45" customHeight="1">
      <c r="A281" s="47"/>
      <c r="B281" s="37"/>
      <c r="C281" s="37"/>
      <c r="D281" s="37"/>
      <c r="E281" s="345" t="s">
        <v>97</v>
      </c>
      <c r="F281" s="34" t="s">
        <v>97</v>
      </c>
      <c r="G281" s="34" t="s">
        <v>97</v>
      </c>
      <c r="H281" s="34" t="s">
        <v>97</v>
      </c>
      <c r="I281" s="34" t="s">
        <v>97</v>
      </c>
      <c r="J281" s="34" t="s">
        <v>97</v>
      </c>
      <c r="K281" s="34" t="s">
        <v>97</v>
      </c>
      <c r="L281" s="34" t="s">
        <v>97</v>
      </c>
      <c r="M281" s="34" t="s">
        <v>97</v>
      </c>
      <c r="N281" s="34" t="s">
        <v>97</v>
      </c>
      <c r="O281" s="285" t="s">
        <v>345</v>
      </c>
      <c r="P281" s="34" t="s">
        <v>97</v>
      </c>
      <c r="Q281" s="34" t="s">
        <v>97</v>
      </c>
      <c r="R281" s="34" t="s">
        <v>97</v>
      </c>
      <c r="S281" s="34" t="s">
        <v>97</v>
      </c>
      <c r="T281" s="285" t="s">
        <v>346</v>
      </c>
      <c r="U281" s="34" t="s">
        <v>97</v>
      </c>
      <c r="V281" s="279" t="s">
        <v>97</v>
      </c>
      <c r="W281" s="279" t="s">
        <v>97</v>
      </c>
      <c r="X281" s="279" t="s">
        <v>97</v>
      </c>
      <c r="Y281" s="279" t="s">
        <v>97</v>
      </c>
      <c r="Z281" s="279" t="s">
        <v>97</v>
      </c>
      <c r="AA281" s="279" t="s">
        <v>97</v>
      </c>
      <c r="AB281" s="285" t="s">
        <v>347</v>
      </c>
      <c r="AC281" s="34" t="s">
        <v>97</v>
      </c>
      <c r="AD281" s="288" t="s">
        <v>348</v>
      </c>
      <c r="AE281" s="34" t="s">
        <v>97</v>
      </c>
      <c r="AF281" s="299" t="s">
        <v>97</v>
      </c>
      <c r="AG281" s="285" t="s">
        <v>349</v>
      </c>
      <c r="AH281" s="34" t="s">
        <v>97</v>
      </c>
      <c r="AI281" s="304" t="s">
        <v>97</v>
      </c>
      <c r="AJ281" s="285" t="s">
        <v>350</v>
      </c>
      <c r="AK281" s="276"/>
      <c r="AL281" s="276"/>
      <c r="AM281" s="42"/>
      <c r="AN281" s="6"/>
    </row>
    <row r="282" spans="1:40" s="7" customFormat="1" ht="14.45" customHeight="1">
      <c r="A282" s="47"/>
      <c r="B282" s="37"/>
      <c r="C282" s="37"/>
      <c r="D282" s="37"/>
      <c r="E282" s="345" t="s">
        <v>97</v>
      </c>
      <c r="F282" s="34" t="s">
        <v>97</v>
      </c>
      <c r="G282" s="34" t="s">
        <v>97</v>
      </c>
      <c r="H282" s="34" t="s">
        <v>97</v>
      </c>
      <c r="I282" s="34" t="s">
        <v>97</v>
      </c>
      <c r="J282" s="34" t="s">
        <v>97</v>
      </c>
      <c r="K282" s="34" t="s">
        <v>97</v>
      </c>
      <c r="L282" s="34" t="s">
        <v>97</v>
      </c>
      <c r="M282" s="34" t="s">
        <v>97</v>
      </c>
      <c r="N282" s="34" t="s">
        <v>97</v>
      </c>
      <c r="O282" s="285" t="s">
        <v>351</v>
      </c>
      <c r="P282" s="34" t="s">
        <v>97</v>
      </c>
      <c r="Q282" s="34" t="s">
        <v>97</v>
      </c>
      <c r="R282" s="34" t="s">
        <v>97</v>
      </c>
      <c r="S282" s="34" t="s">
        <v>97</v>
      </c>
      <c r="T282" s="285" t="s">
        <v>352</v>
      </c>
      <c r="U282" s="34" t="s">
        <v>97</v>
      </c>
      <c r="V282" s="279" t="s">
        <v>97</v>
      </c>
      <c r="W282" s="279" t="s">
        <v>97</v>
      </c>
      <c r="X282" s="279" t="s">
        <v>97</v>
      </c>
      <c r="Y282" s="279" t="s">
        <v>97</v>
      </c>
      <c r="Z282" s="279" t="s">
        <v>97</v>
      </c>
      <c r="AA282" s="279" t="s">
        <v>97</v>
      </c>
      <c r="AB282" s="285" t="s">
        <v>353</v>
      </c>
      <c r="AC282" s="34" t="s">
        <v>97</v>
      </c>
      <c r="AD282" s="287" t="s">
        <v>354</v>
      </c>
      <c r="AE282" s="34" t="s">
        <v>97</v>
      </c>
      <c r="AF282" s="299" t="s">
        <v>97</v>
      </c>
      <c r="AG282" s="285" t="s">
        <v>355</v>
      </c>
      <c r="AH282" s="34" t="s">
        <v>97</v>
      </c>
      <c r="AI282" s="304" t="s">
        <v>97</v>
      </c>
      <c r="AJ282" s="285" t="s">
        <v>356</v>
      </c>
      <c r="AK282" s="276"/>
      <c r="AL282" s="276"/>
      <c r="AM282" s="42"/>
      <c r="AN282" s="6"/>
    </row>
    <row r="283" spans="1:40" s="7" customFormat="1" ht="14.45" customHeight="1">
      <c r="A283" s="47"/>
      <c r="B283" s="37"/>
      <c r="C283" s="37"/>
      <c r="D283" s="37"/>
      <c r="E283" s="345" t="s">
        <v>97</v>
      </c>
      <c r="F283" s="34" t="s">
        <v>97</v>
      </c>
      <c r="G283" s="34" t="s">
        <v>97</v>
      </c>
      <c r="H283" s="34" t="s">
        <v>97</v>
      </c>
      <c r="I283" s="34" t="s">
        <v>97</v>
      </c>
      <c r="J283" s="34" t="s">
        <v>97</v>
      </c>
      <c r="K283" s="34" t="s">
        <v>97</v>
      </c>
      <c r="L283" s="34" t="s">
        <v>97</v>
      </c>
      <c r="M283" s="34" t="s">
        <v>97</v>
      </c>
      <c r="N283" s="34" t="s">
        <v>97</v>
      </c>
      <c r="O283" s="285" t="s">
        <v>357</v>
      </c>
      <c r="P283" s="34" t="s">
        <v>97</v>
      </c>
      <c r="Q283" s="34" t="s">
        <v>97</v>
      </c>
      <c r="R283" s="34" t="s">
        <v>97</v>
      </c>
      <c r="S283" s="34" t="s">
        <v>97</v>
      </c>
      <c r="T283" s="285" t="s">
        <v>245</v>
      </c>
      <c r="U283" s="34" t="s">
        <v>97</v>
      </c>
      <c r="V283" s="279" t="s">
        <v>97</v>
      </c>
      <c r="W283" s="279" t="s">
        <v>97</v>
      </c>
      <c r="X283" s="279" t="s">
        <v>97</v>
      </c>
      <c r="Y283" s="279" t="s">
        <v>97</v>
      </c>
      <c r="Z283" s="279" t="s">
        <v>97</v>
      </c>
      <c r="AA283" s="279" t="s">
        <v>97</v>
      </c>
      <c r="AB283" s="285" t="s">
        <v>358</v>
      </c>
      <c r="AC283" s="34" t="s">
        <v>97</v>
      </c>
      <c r="AD283" s="285" t="s">
        <v>359</v>
      </c>
      <c r="AE283" s="34" t="s">
        <v>97</v>
      </c>
      <c r="AF283" s="299" t="s">
        <v>97</v>
      </c>
      <c r="AG283" s="285" t="s">
        <v>360</v>
      </c>
      <c r="AH283" s="34" t="s">
        <v>97</v>
      </c>
      <c r="AI283" s="304" t="s">
        <v>97</v>
      </c>
      <c r="AJ283" s="34" t="s">
        <v>97</v>
      </c>
      <c r="AK283" s="276"/>
      <c r="AL283" s="276"/>
      <c r="AM283" s="42"/>
      <c r="AN283" s="6"/>
    </row>
    <row r="284" spans="1:40" s="7" customFormat="1" ht="14.45" customHeight="1">
      <c r="A284" s="47"/>
      <c r="B284" s="37"/>
      <c r="C284" s="37"/>
      <c r="D284" s="37"/>
      <c r="E284" s="345" t="s">
        <v>97</v>
      </c>
      <c r="F284" s="34" t="s">
        <v>97</v>
      </c>
      <c r="G284" s="34" t="s">
        <v>97</v>
      </c>
      <c r="H284" s="34" t="s">
        <v>97</v>
      </c>
      <c r="I284" s="34" t="s">
        <v>97</v>
      </c>
      <c r="J284" s="34" t="s">
        <v>97</v>
      </c>
      <c r="K284" s="34" t="s">
        <v>97</v>
      </c>
      <c r="L284" s="34" t="s">
        <v>97</v>
      </c>
      <c r="M284" s="34" t="s">
        <v>97</v>
      </c>
      <c r="N284" s="34" t="s">
        <v>97</v>
      </c>
      <c r="O284" s="285" t="s">
        <v>361</v>
      </c>
      <c r="P284" s="34" t="s">
        <v>97</v>
      </c>
      <c r="Q284" s="34" t="s">
        <v>97</v>
      </c>
      <c r="R284" s="34" t="s">
        <v>97</v>
      </c>
      <c r="S284" s="34" t="s">
        <v>97</v>
      </c>
      <c r="T284" s="285" t="s">
        <v>362</v>
      </c>
      <c r="U284" s="34" t="s">
        <v>97</v>
      </c>
      <c r="V284" s="279" t="s">
        <v>97</v>
      </c>
      <c r="W284" s="279" t="s">
        <v>97</v>
      </c>
      <c r="X284" s="279" t="s">
        <v>97</v>
      </c>
      <c r="Y284" s="279" t="s">
        <v>97</v>
      </c>
      <c r="Z284" s="279" t="s">
        <v>97</v>
      </c>
      <c r="AA284" s="279" t="s">
        <v>97</v>
      </c>
      <c r="AB284" s="285" t="s">
        <v>363</v>
      </c>
      <c r="AC284" s="34" t="s">
        <v>97</v>
      </c>
      <c r="AD284" s="285" t="s">
        <v>364</v>
      </c>
      <c r="AE284" s="34" t="s">
        <v>97</v>
      </c>
      <c r="AF284" s="299" t="s">
        <v>97</v>
      </c>
      <c r="AG284" s="285" t="s">
        <v>365</v>
      </c>
      <c r="AH284" s="34" t="s">
        <v>97</v>
      </c>
      <c r="AI284" s="304" t="s">
        <v>97</v>
      </c>
      <c r="AJ284" s="34" t="s">
        <v>97</v>
      </c>
      <c r="AK284" s="276"/>
      <c r="AL284" s="276"/>
      <c r="AM284" s="42"/>
      <c r="AN284" s="6"/>
    </row>
    <row r="285" spans="1:40" s="7" customFormat="1" ht="14.45" customHeight="1">
      <c r="A285" s="47"/>
      <c r="B285" s="37"/>
      <c r="C285" s="37"/>
      <c r="D285" s="37"/>
      <c r="E285" s="345" t="s">
        <v>97</v>
      </c>
      <c r="F285" s="34" t="s">
        <v>97</v>
      </c>
      <c r="G285" s="34" t="s">
        <v>97</v>
      </c>
      <c r="H285" s="34" t="s">
        <v>97</v>
      </c>
      <c r="I285" s="34" t="s">
        <v>97</v>
      </c>
      <c r="J285" s="34" t="s">
        <v>97</v>
      </c>
      <c r="K285" s="34" t="s">
        <v>97</v>
      </c>
      <c r="L285" s="34" t="s">
        <v>97</v>
      </c>
      <c r="M285" s="34" t="s">
        <v>97</v>
      </c>
      <c r="N285" s="34" t="s">
        <v>97</v>
      </c>
      <c r="O285" s="285" t="s">
        <v>366</v>
      </c>
      <c r="P285" s="34" t="s">
        <v>97</v>
      </c>
      <c r="Q285" s="34" t="s">
        <v>97</v>
      </c>
      <c r="R285" s="34" t="s">
        <v>97</v>
      </c>
      <c r="S285" s="34" t="s">
        <v>97</v>
      </c>
      <c r="T285" s="285" t="s">
        <v>246</v>
      </c>
      <c r="U285" s="34" t="s">
        <v>97</v>
      </c>
      <c r="V285" s="279" t="s">
        <v>97</v>
      </c>
      <c r="W285" s="279" t="s">
        <v>97</v>
      </c>
      <c r="X285" s="279" t="s">
        <v>97</v>
      </c>
      <c r="Y285" s="279" t="s">
        <v>97</v>
      </c>
      <c r="Z285" s="279" t="s">
        <v>97</v>
      </c>
      <c r="AA285" s="279" t="s">
        <v>97</v>
      </c>
      <c r="AB285" s="285" t="s">
        <v>367</v>
      </c>
      <c r="AC285" s="34" t="s">
        <v>97</v>
      </c>
      <c r="AD285" s="34" t="s">
        <v>97</v>
      </c>
      <c r="AE285" s="34" t="s">
        <v>97</v>
      </c>
      <c r="AF285" s="299" t="s">
        <v>97</v>
      </c>
      <c r="AG285" s="288" t="s">
        <v>368</v>
      </c>
      <c r="AH285" s="34" t="s">
        <v>97</v>
      </c>
      <c r="AI285" s="304" t="s">
        <v>97</v>
      </c>
      <c r="AJ285" s="34" t="s">
        <v>97</v>
      </c>
      <c r="AK285" s="276"/>
      <c r="AL285" s="276"/>
      <c r="AM285" s="42"/>
      <c r="AN285" s="6"/>
    </row>
    <row r="286" spans="1:40" s="7" customFormat="1" ht="14.45" customHeight="1">
      <c r="A286" s="47"/>
      <c r="B286" s="37"/>
      <c r="C286" s="37"/>
      <c r="D286" s="37"/>
      <c r="E286" s="345" t="s">
        <v>97</v>
      </c>
      <c r="F286" s="34" t="s">
        <v>97</v>
      </c>
      <c r="G286" s="34" t="s">
        <v>97</v>
      </c>
      <c r="H286" s="34" t="s">
        <v>97</v>
      </c>
      <c r="I286" s="34" t="s">
        <v>97</v>
      </c>
      <c r="J286" s="34" t="s">
        <v>97</v>
      </c>
      <c r="K286" s="34" t="s">
        <v>97</v>
      </c>
      <c r="L286" s="34" t="s">
        <v>97</v>
      </c>
      <c r="M286" s="34" t="s">
        <v>97</v>
      </c>
      <c r="N286" s="34" t="s">
        <v>97</v>
      </c>
      <c r="O286" s="285" t="s">
        <v>369</v>
      </c>
      <c r="P286" s="34" t="s">
        <v>97</v>
      </c>
      <c r="Q286" s="34" t="s">
        <v>97</v>
      </c>
      <c r="R286" s="34" t="s">
        <v>97</v>
      </c>
      <c r="S286" s="34" t="s">
        <v>97</v>
      </c>
      <c r="T286" s="285" t="s">
        <v>370</v>
      </c>
      <c r="U286" s="34" t="s">
        <v>97</v>
      </c>
      <c r="V286" s="279" t="s">
        <v>97</v>
      </c>
      <c r="W286" s="279" t="s">
        <v>97</v>
      </c>
      <c r="X286" s="279" t="s">
        <v>97</v>
      </c>
      <c r="Y286" s="279" t="s">
        <v>97</v>
      </c>
      <c r="Z286" s="279" t="s">
        <v>97</v>
      </c>
      <c r="AA286" s="279" t="s">
        <v>97</v>
      </c>
      <c r="AB286" s="285" t="s">
        <v>371</v>
      </c>
      <c r="AC286" s="34" t="s">
        <v>97</v>
      </c>
      <c r="AD286" s="34" t="s">
        <v>97</v>
      </c>
      <c r="AE286" s="34" t="s">
        <v>97</v>
      </c>
      <c r="AF286" s="299" t="s">
        <v>97</v>
      </c>
      <c r="AG286" s="285" t="s">
        <v>372</v>
      </c>
      <c r="AH286" s="34" t="s">
        <v>97</v>
      </c>
      <c r="AI286" s="304" t="s">
        <v>97</v>
      </c>
      <c r="AJ286" s="34" t="s">
        <v>97</v>
      </c>
      <c r="AK286" s="276"/>
      <c r="AL286" s="276"/>
      <c r="AM286" s="42"/>
      <c r="AN286" s="6"/>
    </row>
    <row r="287" spans="1:40" s="7" customFormat="1" ht="14.45" customHeight="1">
      <c r="A287" s="47"/>
      <c r="B287" s="37"/>
      <c r="C287" s="37"/>
      <c r="D287" s="37"/>
      <c r="E287" s="345" t="s">
        <v>97</v>
      </c>
      <c r="F287" s="34" t="s">
        <v>97</v>
      </c>
      <c r="G287" s="34" t="s">
        <v>97</v>
      </c>
      <c r="H287" s="34" t="s">
        <v>97</v>
      </c>
      <c r="I287" s="34" t="s">
        <v>97</v>
      </c>
      <c r="J287" s="34" t="s">
        <v>97</v>
      </c>
      <c r="K287" s="34" t="s">
        <v>97</v>
      </c>
      <c r="L287" s="34" t="s">
        <v>97</v>
      </c>
      <c r="M287" s="34" t="s">
        <v>97</v>
      </c>
      <c r="N287" s="34" t="s">
        <v>97</v>
      </c>
      <c r="O287" s="285" t="s">
        <v>373</v>
      </c>
      <c r="P287" s="34" t="s">
        <v>97</v>
      </c>
      <c r="Q287" s="34" t="s">
        <v>97</v>
      </c>
      <c r="R287" s="34" t="s">
        <v>97</v>
      </c>
      <c r="S287" s="34" t="s">
        <v>97</v>
      </c>
      <c r="T287" s="34" t="s">
        <v>97</v>
      </c>
      <c r="U287" s="34" t="s">
        <v>97</v>
      </c>
      <c r="V287" s="279" t="s">
        <v>97</v>
      </c>
      <c r="W287" s="279" t="s">
        <v>97</v>
      </c>
      <c r="X287" s="279" t="s">
        <v>97</v>
      </c>
      <c r="Y287" s="279" t="s">
        <v>97</v>
      </c>
      <c r="Z287" s="279" t="s">
        <v>97</v>
      </c>
      <c r="AA287" s="279" t="s">
        <v>97</v>
      </c>
      <c r="AB287" s="285" t="s">
        <v>374</v>
      </c>
      <c r="AC287" s="34" t="s">
        <v>97</v>
      </c>
      <c r="AD287" s="34" t="s">
        <v>97</v>
      </c>
      <c r="AE287" s="34" t="s">
        <v>97</v>
      </c>
      <c r="AF287" s="299" t="s">
        <v>97</v>
      </c>
      <c r="AG287" s="34" t="s">
        <v>97</v>
      </c>
      <c r="AH287" s="34" t="s">
        <v>97</v>
      </c>
      <c r="AI287" s="304" t="s">
        <v>97</v>
      </c>
      <c r="AJ287" s="34" t="s">
        <v>97</v>
      </c>
      <c r="AK287" s="276"/>
      <c r="AL287" s="276"/>
      <c r="AM287" s="42"/>
      <c r="AN287" s="6"/>
    </row>
    <row r="288" spans="1:40" s="7" customFormat="1" ht="14.45" customHeight="1">
      <c r="A288" s="47"/>
      <c r="B288" s="37"/>
      <c r="C288" s="37"/>
      <c r="D288" s="37"/>
      <c r="E288" s="345" t="s">
        <v>97</v>
      </c>
      <c r="F288" s="34" t="s">
        <v>97</v>
      </c>
      <c r="G288" s="34" t="s">
        <v>97</v>
      </c>
      <c r="H288" s="34" t="s">
        <v>97</v>
      </c>
      <c r="I288" s="34" t="s">
        <v>97</v>
      </c>
      <c r="J288" s="34" t="s">
        <v>97</v>
      </c>
      <c r="K288" s="34" t="s">
        <v>97</v>
      </c>
      <c r="L288" s="34" t="s">
        <v>97</v>
      </c>
      <c r="M288" s="34" t="s">
        <v>97</v>
      </c>
      <c r="N288" s="34" t="s">
        <v>97</v>
      </c>
      <c r="O288" s="285" t="s">
        <v>375</v>
      </c>
      <c r="P288" s="34" t="s">
        <v>97</v>
      </c>
      <c r="Q288" s="34" t="s">
        <v>97</v>
      </c>
      <c r="R288" s="34" t="s">
        <v>97</v>
      </c>
      <c r="S288" s="34" t="s">
        <v>97</v>
      </c>
      <c r="T288" s="34" t="s">
        <v>97</v>
      </c>
      <c r="U288" s="34" t="s">
        <v>97</v>
      </c>
      <c r="V288" s="279" t="s">
        <v>97</v>
      </c>
      <c r="W288" s="279" t="s">
        <v>97</v>
      </c>
      <c r="X288" s="279" t="s">
        <v>97</v>
      </c>
      <c r="Y288" s="279" t="s">
        <v>97</v>
      </c>
      <c r="Z288" s="279" t="s">
        <v>97</v>
      </c>
      <c r="AA288" s="279" t="s">
        <v>97</v>
      </c>
      <c r="AB288" s="285" t="s">
        <v>376</v>
      </c>
      <c r="AC288" s="34" t="s">
        <v>97</v>
      </c>
      <c r="AD288" s="34" t="s">
        <v>97</v>
      </c>
      <c r="AE288" s="34" t="s">
        <v>97</v>
      </c>
      <c r="AF288" s="299" t="s">
        <v>97</v>
      </c>
      <c r="AG288" s="34" t="s">
        <v>97</v>
      </c>
      <c r="AH288" s="34" t="s">
        <v>97</v>
      </c>
      <c r="AI288" s="304" t="s">
        <v>97</v>
      </c>
      <c r="AJ288" s="34" t="s">
        <v>97</v>
      </c>
      <c r="AK288" s="276"/>
      <c r="AL288" s="276"/>
      <c r="AM288" s="42"/>
      <c r="AN288" s="6"/>
    </row>
    <row r="289" spans="1:40" s="7" customFormat="1" ht="14.45" customHeight="1">
      <c r="A289" s="47"/>
      <c r="B289" s="37"/>
      <c r="C289" s="37"/>
      <c r="D289" s="37"/>
      <c r="E289" s="345" t="s">
        <v>97</v>
      </c>
      <c r="F289" s="34" t="s">
        <v>97</v>
      </c>
      <c r="G289" s="34" t="s">
        <v>97</v>
      </c>
      <c r="H289" s="34" t="s">
        <v>97</v>
      </c>
      <c r="I289" s="34" t="s">
        <v>97</v>
      </c>
      <c r="J289" s="34" t="s">
        <v>97</v>
      </c>
      <c r="K289" s="34" t="s">
        <v>97</v>
      </c>
      <c r="L289" s="34" t="s">
        <v>97</v>
      </c>
      <c r="M289" s="34" t="s">
        <v>97</v>
      </c>
      <c r="N289" s="34" t="s">
        <v>97</v>
      </c>
      <c r="O289" s="285" t="s">
        <v>377</v>
      </c>
      <c r="P289" s="34" t="s">
        <v>97</v>
      </c>
      <c r="Q289" s="34" t="s">
        <v>97</v>
      </c>
      <c r="R289" s="34" t="s">
        <v>97</v>
      </c>
      <c r="S289" s="34" t="s">
        <v>97</v>
      </c>
      <c r="T289" s="34" t="s">
        <v>97</v>
      </c>
      <c r="U289" s="34" t="s">
        <v>97</v>
      </c>
      <c r="V289" s="279" t="s">
        <v>97</v>
      </c>
      <c r="W289" s="279" t="s">
        <v>97</v>
      </c>
      <c r="X289" s="279" t="s">
        <v>97</v>
      </c>
      <c r="Y289" s="279" t="s">
        <v>97</v>
      </c>
      <c r="Z289" s="279" t="s">
        <v>97</v>
      </c>
      <c r="AA289" s="279" t="s">
        <v>97</v>
      </c>
      <c r="AB289" s="285" t="s">
        <v>222</v>
      </c>
      <c r="AC289" s="34" t="s">
        <v>97</v>
      </c>
      <c r="AD289" s="34" t="s">
        <v>97</v>
      </c>
      <c r="AE289" s="34" t="s">
        <v>97</v>
      </c>
      <c r="AF289" s="299" t="s">
        <v>97</v>
      </c>
      <c r="AG289" s="34" t="s">
        <v>97</v>
      </c>
      <c r="AH289" s="34" t="s">
        <v>97</v>
      </c>
      <c r="AI289" s="304" t="s">
        <v>97</v>
      </c>
      <c r="AJ289" s="34" t="s">
        <v>97</v>
      </c>
      <c r="AK289" s="276"/>
      <c r="AL289" s="276"/>
      <c r="AM289" s="42"/>
      <c r="AN289" s="6"/>
    </row>
    <row r="290" spans="1:40" s="7" customFormat="1" ht="14.45" customHeight="1">
      <c r="A290" s="47"/>
      <c r="B290" s="37"/>
      <c r="C290" s="37"/>
      <c r="D290" s="37"/>
      <c r="E290" s="345" t="s">
        <v>97</v>
      </c>
      <c r="F290" s="34" t="s">
        <v>97</v>
      </c>
      <c r="G290" s="34" t="s">
        <v>97</v>
      </c>
      <c r="H290" s="34" t="s">
        <v>97</v>
      </c>
      <c r="I290" s="34" t="s">
        <v>97</v>
      </c>
      <c r="J290" s="34" t="s">
        <v>97</v>
      </c>
      <c r="K290" s="34" t="s">
        <v>97</v>
      </c>
      <c r="L290" s="34" t="s">
        <v>97</v>
      </c>
      <c r="M290" s="34" t="s">
        <v>97</v>
      </c>
      <c r="N290" s="34" t="s">
        <v>97</v>
      </c>
      <c r="O290" s="285" t="s">
        <v>378</v>
      </c>
      <c r="P290" s="34" t="s">
        <v>97</v>
      </c>
      <c r="Q290" s="34" t="s">
        <v>97</v>
      </c>
      <c r="R290" s="34" t="s">
        <v>97</v>
      </c>
      <c r="S290" s="34" t="s">
        <v>97</v>
      </c>
      <c r="T290" s="34" t="s">
        <v>97</v>
      </c>
      <c r="U290" s="34" t="s">
        <v>97</v>
      </c>
      <c r="V290" s="279" t="s">
        <v>97</v>
      </c>
      <c r="W290" s="279" t="s">
        <v>97</v>
      </c>
      <c r="X290" s="279" t="s">
        <v>97</v>
      </c>
      <c r="Y290" s="279" t="s">
        <v>97</v>
      </c>
      <c r="Z290" s="279" t="s">
        <v>97</v>
      </c>
      <c r="AA290" s="279" t="s">
        <v>97</v>
      </c>
      <c r="AB290" s="285" t="s">
        <v>379</v>
      </c>
      <c r="AC290" s="34" t="s">
        <v>97</v>
      </c>
      <c r="AD290" s="34" t="s">
        <v>97</v>
      </c>
      <c r="AE290" s="34" t="s">
        <v>97</v>
      </c>
      <c r="AF290" s="299" t="s">
        <v>97</v>
      </c>
      <c r="AG290" s="34" t="s">
        <v>97</v>
      </c>
      <c r="AH290" s="34" t="s">
        <v>97</v>
      </c>
      <c r="AI290" s="304" t="s">
        <v>97</v>
      </c>
      <c r="AJ290" s="34" t="s">
        <v>97</v>
      </c>
      <c r="AK290" s="276"/>
      <c r="AL290" s="276"/>
      <c r="AM290" s="42"/>
      <c r="AN290" s="6"/>
    </row>
    <row r="291" spans="1:40" s="7" customFormat="1" ht="14.45" customHeight="1">
      <c r="A291" s="47"/>
      <c r="B291" s="37"/>
      <c r="C291" s="37"/>
      <c r="D291" s="37"/>
      <c r="E291" s="345" t="s">
        <v>97</v>
      </c>
      <c r="F291" s="34" t="s">
        <v>97</v>
      </c>
      <c r="G291" s="34" t="s">
        <v>97</v>
      </c>
      <c r="H291" s="34" t="s">
        <v>97</v>
      </c>
      <c r="I291" s="34" t="s">
        <v>97</v>
      </c>
      <c r="J291" s="34" t="s">
        <v>97</v>
      </c>
      <c r="K291" s="34" t="s">
        <v>97</v>
      </c>
      <c r="L291" s="34" t="s">
        <v>97</v>
      </c>
      <c r="M291" s="34" t="s">
        <v>97</v>
      </c>
      <c r="N291" s="34" t="s">
        <v>97</v>
      </c>
      <c r="O291" s="285" t="s">
        <v>380</v>
      </c>
      <c r="P291" s="34" t="s">
        <v>97</v>
      </c>
      <c r="Q291" s="34" t="s">
        <v>97</v>
      </c>
      <c r="R291" s="34" t="s">
        <v>97</v>
      </c>
      <c r="S291" s="34" t="s">
        <v>97</v>
      </c>
      <c r="T291" s="34" t="s">
        <v>97</v>
      </c>
      <c r="U291" s="34" t="s">
        <v>97</v>
      </c>
      <c r="V291" s="279" t="s">
        <v>97</v>
      </c>
      <c r="W291" s="279" t="s">
        <v>97</v>
      </c>
      <c r="X291" s="279" t="s">
        <v>97</v>
      </c>
      <c r="Y291" s="279" t="s">
        <v>97</v>
      </c>
      <c r="Z291" s="279" t="s">
        <v>97</v>
      </c>
      <c r="AA291" s="279" t="s">
        <v>97</v>
      </c>
      <c r="AB291" s="279" t="s">
        <v>97</v>
      </c>
      <c r="AC291" s="279" t="s">
        <v>97</v>
      </c>
      <c r="AD291" s="279" t="s">
        <v>97</v>
      </c>
      <c r="AE291" s="34" t="s">
        <v>97</v>
      </c>
      <c r="AF291" s="299" t="s">
        <v>97</v>
      </c>
      <c r="AG291" s="34" t="s">
        <v>97</v>
      </c>
      <c r="AH291" s="34" t="s">
        <v>97</v>
      </c>
      <c r="AI291" s="304" t="s">
        <v>97</v>
      </c>
      <c r="AJ291" s="34" t="s">
        <v>97</v>
      </c>
      <c r="AK291" s="276"/>
      <c r="AL291" s="276"/>
      <c r="AM291" s="42"/>
      <c r="AN291" s="6"/>
    </row>
    <row r="292" spans="1:40" s="7" customFormat="1" ht="14.45" customHeight="1">
      <c r="A292" s="47"/>
      <c r="B292" s="37"/>
      <c r="C292" s="37"/>
      <c r="D292" s="37"/>
      <c r="E292" s="345" t="s">
        <v>97</v>
      </c>
      <c r="F292" s="34" t="s">
        <v>97</v>
      </c>
      <c r="G292" s="34" t="s">
        <v>97</v>
      </c>
      <c r="H292" s="34" t="s">
        <v>97</v>
      </c>
      <c r="I292" s="34" t="s">
        <v>97</v>
      </c>
      <c r="J292" s="34" t="s">
        <v>97</v>
      </c>
      <c r="K292" s="34" t="s">
        <v>97</v>
      </c>
      <c r="L292" s="34" t="s">
        <v>97</v>
      </c>
      <c r="M292" s="34" t="s">
        <v>97</v>
      </c>
      <c r="N292" s="34" t="s">
        <v>97</v>
      </c>
      <c r="O292" s="285" t="s">
        <v>381</v>
      </c>
      <c r="P292" s="34" t="s">
        <v>97</v>
      </c>
      <c r="Q292" s="34" t="s">
        <v>97</v>
      </c>
      <c r="R292" s="34" t="s">
        <v>97</v>
      </c>
      <c r="S292" s="34" t="s">
        <v>97</v>
      </c>
      <c r="T292" s="34" t="s">
        <v>97</v>
      </c>
      <c r="U292" s="34" t="s">
        <v>97</v>
      </c>
      <c r="V292" s="279" t="s">
        <v>97</v>
      </c>
      <c r="W292" s="279" t="s">
        <v>97</v>
      </c>
      <c r="X292" s="279" t="s">
        <v>97</v>
      </c>
      <c r="Y292" s="279" t="s">
        <v>97</v>
      </c>
      <c r="Z292" s="279" t="s">
        <v>97</v>
      </c>
      <c r="AA292" s="279" t="s">
        <v>97</v>
      </c>
      <c r="AB292" s="279" t="s">
        <v>97</v>
      </c>
      <c r="AC292" s="279" t="s">
        <v>97</v>
      </c>
      <c r="AD292" s="279" t="s">
        <v>97</v>
      </c>
      <c r="AE292" s="34" t="s">
        <v>97</v>
      </c>
      <c r="AF292" s="299" t="s">
        <v>97</v>
      </c>
      <c r="AG292" s="34" t="s">
        <v>97</v>
      </c>
      <c r="AH292" s="34" t="s">
        <v>97</v>
      </c>
      <c r="AI292" s="304" t="s">
        <v>97</v>
      </c>
      <c r="AJ292" s="34" t="s">
        <v>97</v>
      </c>
      <c r="AK292" s="276"/>
      <c r="AL292" s="276"/>
      <c r="AM292" s="42"/>
      <c r="AN292" s="6"/>
    </row>
    <row r="293" spans="1:40" s="7" customFormat="1" ht="14.45" customHeight="1">
      <c r="A293" s="47"/>
      <c r="B293" s="37"/>
      <c r="C293" s="37"/>
      <c r="D293" s="37"/>
      <c r="E293" s="345" t="s">
        <v>97</v>
      </c>
      <c r="F293" s="34" t="s">
        <v>97</v>
      </c>
      <c r="G293" s="34" t="s">
        <v>97</v>
      </c>
      <c r="H293" s="34" t="s">
        <v>97</v>
      </c>
      <c r="I293" s="34" t="s">
        <v>97</v>
      </c>
      <c r="J293" s="34" t="s">
        <v>97</v>
      </c>
      <c r="K293" s="34" t="s">
        <v>97</v>
      </c>
      <c r="L293" s="34" t="s">
        <v>97</v>
      </c>
      <c r="M293" s="34" t="s">
        <v>97</v>
      </c>
      <c r="N293" s="34" t="s">
        <v>97</v>
      </c>
      <c r="O293" s="285" t="s">
        <v>382</v>
      </c>
      <c r="P293" s="34" t="s">
        <v>97</v>
      </c>
      <c r="Q293" s="34" t="s">
        <v>97</v>
      </c>
      <c r="R293" s="34" t="s">
        <v>97</v>
      </c>
      <c r="S293" s="34" t="s">
        <v>97</v>
      </c>
      <c r="T293" s="34" t="s">
        <v>97</v>
      </c>
      <c r="U293" s="34" t="s">
        <v>97</v>
      </c>
      <c r="V293" s="279" t="s">
        <v>97</v>
      </c>
      <c r="W293" s="279" t="s">
        <v>97</v>
      </c>
      <c r="X293" s="279" t="s">
        <v>97</v>
      </c>
      <c r="Y293" s="279" t="s">
        <v>97</v>
      </c>
      <c r="Z293" s="279" t="s">
        <v>97</v>
      </c>
      <c r="AA293" s="279" t="s">
        <v>97</v>
      </c>
      <c r="AB293" s="279" t="s">
        <v>97</v>
      </c>
      <c r="AC293" s="279" t="s">
        <v>97</v>
      </c>
      <c r="AD293" s="279" t="s">
        <v>97</v>
      </c>
      <c r="AE293" s="34" t="s">
        <v>97</v>
      </c>
      <c r="AF293" s="299" t="s">
        <v>97</v>
      </c>
      <c r="AG293" s="34" t="s">
        <v>97</v>
      </c>
      <c r="AH293" s="34" t="s">
        <v>97</v>
      </c>
      <c r="AI293" s="304" t="s">
        <v>97</v>
      </c>
      <c r="AJ293" s="34" t="s">
        <v>97</v>
      </c>
      <c r="AK293" s="276"/>
      <c r="AL293" s="276"/>
      <c r="AM293" s="42"/>
      <c r="AN293" s="6"/>
    </row>
    <row r="294" spans="1:40" s="7" customFormat="1" ht="14.45" customHeight="1">
      <c r="A294" s="47"/>
      <c r="B294" s="37"/>
      <c r="C294" s="37"/>
      <c r="D294" s="37"/>
      <c r="E294" s="345" t="s">
        <v>97</v>
      </c>
      <c r="F294" s="34" t="s">
        <v>97</v>
      </c>
      <c r="G294" s="34" t="s">
        <v>97</v>
      </c>
      <c r="H294" s="34" t="s">
        <v>97</v>
      </c>
      <c r="I294" s="34" t="s">
        <v>97</v>
      </c>
      <c r="J294" s="34" t="s">
        <v>97</v>
      </c>
      <c r="K294" s="34" t="s">
        <v>97</v>
      </c>
      <c r="L294" s="34" t="s">
        <v>97</v>
      </c>
      <c r="M294" s="34" t="s">
        <v>97</v>
      </c>
      <c r="N294" s="34" t="s">
        <v>97</v>
      </c>
      <c r="O294" s="285" t="s">
        <v>383</v>
      </c>
      <c r="P294" s="34" t="s">
        <v>97</v>
      </c>
      <c r="Q294" s="34" t="s">
        <v>97</v>
      </c>
      <c r="R294" s="34" t="s">
        <v>97</v>
      </c>
      <c r="S294" s="34" t="s">
        <v>97</v>
      </c>
      <c r="T294" s="34" t="s">
        <v>97</v>
      </c>
      <c r="U294" s="34" t="s">
        <v>97</v>
      </c>
      <c r="V294" s="279" t="s">
        <v>97</v>
      </c>
      <c r="W294" s="279" t="s">
        <v>97</v>
      </c>
      <c r="X294" s="279" t="s">
        <v>97</v>
      </c>
      <c r="Y294" s="279" t="s">
        <v>97</v>
      </c>
      <c r="Z294" s="279" t="s">
        <v>97</v>
      </c>
      <c r="AA294" s="279" t="s">
        <v>97</v>
      </c>
      <c r="AB294" s="279" t="s">
        <v>97</v>
      </c>
      <c r="AC294" s="279" t="s">
        <v>97</v>
      </c>
      <c r="AD294" s="279" t="s">
        <v>97</v>
      </c>
      <c r="AE294" s="34" t="s">
        <v>97</v>
      </c>
      <c r="AF294" s="299" t="s">
        <v>97</v>
      </c>
      <c r="AG294" s="34" t="s">
        <v>97</v>
      </c>
      <c r="AH294" s="34" t="s">
        <v>97</v>
      </c>
      <c r="AI294" s="304" t="s">
        <v>97</v>
      </c>
      <c r="AJ294" s="34" t="s">
        <v>97</v>
      </c>
      <c r="AK294" s="276"/>
      <c r="AL294" s="276"/>
      <c r="AM294" s="42"/>
      <c r="AN294" s="6"/>
    </row>
    <row r="295" spans="1:40" s="7" customFormat="1" ht="14.45" customHeight="1">
      <c r="A295" s="47"/>
      <c r="B295" s="37"/>
      <c r="C295" s="37"/>
      <c r="D295" s="37"/>
      <c r="E295" s="345" t="s">
        <v>97</v>
      </c>
      <c r="F295" s="34" t="s">
        <v>97</v>
      </c>
      <c r="G295" s="34" t="s">
        <v>97</v>
      </c>
      <c r="H295" s="34" t="s">
        <v>97</v>
      </c>
      <c r="I295" s="34" t="s">
        <v>97</v>
      </c>
      <c r="J295" s="34" t="s">
        <v>97</v>
      </c>
      <c r="K295" s="34" t="s">
        <v>97</v>
      </c>
      <c r="L295" s="34" t="s">
        <v>97</v>
      </c>
      <c r="M295" s="34" t="s">
        <v>97</v>
      </c>
      <c r="N295" s="34" t="s">
        <v>97</v>
      </c>
      <c r="O295" s="285" t="s">
        <v>384</v>
      </c>
      <c r="P295" s="34" t="s">
        <v>97</v>
      </c>
      <c r="Q295" s="34" t="s">
        <v>97</v>
      </c>
      <c r="R295" s="34" t="s">
        <v>97</v>
      </c>
      <c r="S295" s="34" t="s">
        <v>97</v>
      </c>
      <c r="T295" s="34" t="s">
        <v>97</v>
      </c>
      <c r="U295" s="34" t="s">
        <v>97</v>
      </c>
      <c r="V295" s="279" t="s">
        <v>97</v>
      </c>
      <c r="W295" s="279" t="s">
        <v>97</v>
      </c>
      <c r="X295" s="279" t="s">
        <v>97</v>
      </c>
      <c r="Y295" s="279" t="s">
        <v>97</v>
      </c>
      <c r="Z295" s="279" t="s">
        <v>97</v>
      </c>
      <c r="AA295" s="279" t="s">
        <v>97</v>
      </c>
      <c r="AB295" s="279" t="s">
        <v>97</v>
      </c>
      <c r="AC295" s="279" t="s">
        <v>97</v>
      </c>
      <c r="AD295" s="279" t="s">
        <v>97</v>
      </c>
      <c r="AE295" s="34" t="s">
        <v>97</v>
      </c>
      <c r="AF295" s="299" t="s">
        <v>97</v>
      </c>
      <c r="AG295" s="34" t="s">
        <v>97</v>
      </c>
      <c r="AH295" s="34" t="s">
        <v>97</v>
      </c>
      <c r="AI295" s="304" t="s">
        <v>97</v>
      </c>
      <c r="AJ295" s="34" t="s">
        <v>97</v>
      </c>
      <c r="AK295" s="276"/>
      <c r="AL295" s="276"/>
      <c r="AM295" s="42"/>
      <c r="AN295" s="6"/>
    </row>
    <row r="296" spans="1:40" s="7" customFormat="1" ht="14.45" customHeight="1">
      <c r="A296" s="47"/>
      <c r="B296" s="37"/>
      <c r="C296" s="37"/>
      <c r="D296" s="37"/>
      <c r="E296" s="345" t="s">
        <v>97</v>
      </c>
      <c r="F296" s="34" t="s">
        <v>97</v>
      </c>
      <c r="G296" s="34" t="s">
        <v>97</v>
      </c>
      <c r="H296" s="34" t="s">
        <v>97</v>
      </c>
      <c r="I296" s="34" t="s">
        <v>97</v>
      </c>
      <c r="J296" s="34" t="s">
        <v>97</v>
      </c>
      <c r="K296" s="34" t="s">
        <v>97</v>
      </c>
      <c r="L296" s="34" t="s">
        <v>97</v>
      </c>
      <c r="M296" s="34" t="s">
        <v>97</v>
      </c>
      <c r="N296" s="34" t="s">
        <v>97</v>
      </c>
      <c r="O296" s="288" t="s">
        <v>385</v>
      </c>
      <c r="P296" s="34" t="s">
        <v>97</v>
      </c>
      <c r="Q296" s="34" t="s">
        <v>97</v>
      </c>
      <c r="R296" s="34" t="s">
        <v>97</v>
      </c>
      <c r="S296" s="34" t="s">
        <v>97</v>
      </c>
      <c r="T296" s="34" t="s">
        <v>97</v>
      </c>
      <c r="U296" s="34" t="s">
        <v>97</v>
      </c>
      <c r="V296" s="279" t="s">
        <v>97</v>
      </c>
      <c r="W296" s="279" t="s">
        <v>97</v>
      </c>
      <c r="X296" s="279" t="s">
        <v>97</v>
      </c>
      <c r="Y296" s="279" t="s">
        <v>97</v>
      </c>
      <c r="Z296" s="279" t="s">
        <v>97</v>
      </c>
      <c r="AA296" s="279" t="s">
        <v>97</v>
      </c>
      <c r="AB296" s="279" t="s">
        <v>97</v>
      </c>
      <c r="AC296" s="279" t="s">
        <v>97</v>
      </c>
      <c r="AD296" s="279" t="s">
        <v>97</v>
      </c>
      <c r="AE296" s="34" t="s">
        <v>97</v>
      </c>
      <c r="AF296" s="299" t="s">
        <v>97</v>
      </c>
      <c r="AG296" s="34" t="s">
        <v>97</v>
      </c>
      <c r="AH296" s="34" t="s">
        <v>97</v>
      </c>
      <c r="AI296" s="304" t="s">
        <v>97</v>
      </c>
      <c r="AJ296" s="34" t="s">
        <v>97</v>
      </c>
      <c r="AK296" s="276"/>
      <c r="AL296" s="276"/>
      <c r="AM296" s="42"/>
      <c r="AN296" s="6"/>
    </row>
    <row r="297" spans="1:40" s="7" customFormat="1" ht="14.45" customHeight="1">
      <c r="A297" s="47"/>
      <c r="B297" s="37"/>
      <c r="C297" s="37"/>
      <c r="D297" s="37"/>
      <c r="E297" s="345" t="s">
        <v>97</v>
      </c>
      <c r="F297" s="34" t="s">
        <v>97</v>
      </c>
      <c r="G297" s="34" t="s">
        <v>97</v>
      </c>
      <c r="H297" s="34" t="s">
        <v>97</v>
      </c>
      <c r="I297" s="34" t="s">
        <v>97</v>
      </c>
      <c r="J297" s="34" t="s">
        <v>97</v>
      </c>
      <c r="K297" s="34" t="s">
        <v>97</v>
      </c>
      <c r="L297" s="34" t="s">
        <v>97</v>
      </c>
      <c r="M297" s="34" t="s">
        <v>97</v>
      </c>
      <c r="N297" s="34" t="s">
        <v>97</v>
      </c>
      <c r="O297" s="285" t="s">
        <v>386</v>
      </c>
      <c r="P297" s="34" t="s">
        <v>97</v>
      </c>
      <c r="Q297" s="34" t="s">
        <v>97</v>
      </c>
      <c r="R297" s="34" t="s">
        <v>97</v>
      </c>
      <c r="S297" s="34" t="s">
        <v>97</v>
      </c>
      <c r="T297" s="34" t="s">
        <v>97</v>
      </c>
      <c r="U297" s="34" t="s">
        <v>97</v>
      </c>
      <c r="V297" s="279" t="s">
        <v>97</v>
      </c>
      <c r="W297" s="279" t="s">
        <v>97</v>
      </c>
      <c r="X297" s="279" t="s">
        <v>97</v>
      </c>
      <c r="Y297" s="279" t="s">
        <v>97</v>
      </c>
      <c r="Z297" s="279" t="s">
        <v>97</v>
      </c>
      <c r="AA297" s="279" t="s">
        <v>97</v>
      </c>
      <c r="AB297" s="279" t="s">
        <v>97</v>
      </c>
      <c r="AC297" s="279" t="s">
        <v>97</v>
      </c>
      <c r="AD297" s="279" t="s">
        <v>97</v>
      </c>
      <c r="AE297" s="34" t="s">
        <v>97</v>
      </c>
      <c r="AF297" s="299" t="s">
        <v>97</v>
      </c>
      <c r="AG297" s="34" t="s">
        <v>97</v>
      </c>
      <c r="AH297" s="34" t="s">
        <v>97</v>
      </c>
      <c r="AI297" s="304" t="s">
        <v>97</v>
      </c>
      <c r="AJ297" s="34" t="s">
        <v>97</v>
      </c>
      <c r="AK297" s="276"/>
      <c r="AL297" s="276"/>
      <c r="AM297" s="42"/>
      <c r="AN297" s="6"/>
    </row>
    <row r="298" spans="1:40" s="7" customFormat="1" ht="14.45" customHeight="1">
      <c r="A298" s="47"/>
      <c r="B298" s="37"/>
      <c r="C298" s="37"/>
      <c r="D298" s="37"/>
      <c r="E298" s="345" t="s">
        <v>97</v>
      </c>
      <c r="F298" s="34" t="s">
        <v>97</v>
      </c>
      <c r="G298" s="34" t="s">
        <v>97</v>
      </c>
      <c r="H298" s="34" t="s">
        <v>97</v>
      </c>
      <c r="I298" s="34" t="s">
        <v>97</v>
      </c>
      <c r="J298" s="34" t="s">
        <v>97</v>
      </c>
      <c r="K298" s="34" t="s">
        <v>97</v>
      </c>
      <c r="L298" s="34" t="s">
        <v>97</v>
      </c>
      <c r="M298" s="34" t="s">
        <v>97</v>
      </c>
      <c r="N298" s="34" t="s">
        <v>97</v>
      </c>
      <c r="O298" s="285" t="s">
        <v>387</v>
      </c>
      <c r="P298" s="34" t="s">
        <v>97</v>
      </c>
      <c r="Q298" s="34" t="s">
        <v>97</v>
      </c>
      <c r="R298" s="34" t="s">
        <v>97</v>
      </c>
      <c r="S298" s="34" t="s">
        <v>97</v>
      </c>
      <c r="T298" s="34" t="s">
        <v>97</v>
      </c>
      <c r="U298" s="34" t="s">
        <v>97</v>
      </c>
      <c r="V298" s="279" t="s">
        <v>97</v>
      </c>
      <c r="W298" s="279" t="s">
        <v>97</v>
      </c>
      <c r="X298" s="279" t="s">
        <v>97</v>
      </c>
      <c r="Y298" s="279" t="s">
        <v>97</v>
      </c>
      <c r="Z298" s="279" t="s">
        <v>97</v>
      </c>
      <c r="AA298" s="279" t="s">
        <v>97</v>
      </c>
      <c r="AB298" s="279" t="s">
        <v>97</v>
      </c>
      <c r="AC298" s="279" t="s">
        <v>97</v>
      </c>
      <c r="AD298" s="279" t="s">
        <v>97</v>
      </c>
      <c r="AE298" s="34" t="s">
        <v>97</v>
      </c>
      <c r="AF298" s="299" t="s">
        <v>97</v>
      </c>
      <c r="AG298" s="34" t="s">
        <v>97</v>
      </c>
      <c r="AH298" s="34" t="s">
        <v>97</v>
      </c>
      <c r="AI298" s="304" t="s">
        <v>97</v>
      </c>
      <c r="AJ298" s="34" t="s">
        <v>97</v>
      </c>
      <c r="AK298" s="276"/>
      <c r="AL298" s="276"/>
      <c r="AM298" s="42"/>
      <c r="AN298" s="6"/>
    </row>
    <row r="299" spans="1:40" s="7" customFormat="1" ht="14.45" customHeight="1">
      <c r="A299" s="47"/>
      <c r="B299" s="37"/>
      <c r="C299" s="37"/>
      <c r="D299" s="37"/>
      <c r="E299" s="345" t="s">
        <v>97</v>
      </c>
      <c r="F299" s="34" t="s">
        <v>97</v>
      </c>
      <c r="G299" s="34" t="s">
        <v>97</v>
      </c>
      <c r="H299" s="34" t="s">
        <v>97</v>
      </c>
      <c r="I299" s="34" t="s">
        <v>97</v>
      </c>
      <c r="J299" s="34" t="s">
        <v>97</v>
      </c>
      <c r="K299" s="34" t="s">
        <v>97</v>
      </c>
      <c r="L299" s="34" t="s">
        <v>97</v>
      </c>
      <c r="M299" s="34" t="s">
        <v>97</v>
      </c>
      <c r="N299" s="34" t="s">
        <v>97</v>
      </c>
      <c r="O299" s="285" t="s">
        <v>388</v>
      </c>
      <c r="P299" s="34" t="s">
        <v>97</v>
      </c>
      <c r="Q299" s="34" t="s">
        <v>97</v>
      </c>
      <c r="R299" s="34" t="s">
        <v>97</v>
      </c>
      <c r="S299" s="34" t="s">
        <v>97</v>
      </c>
      <c r="T299" s="34" t="s">
        <v>97</v>
      </c>
      <c r="U299" s="34" t="s">
        <v>97</v>
      </c>
      <c r="V299" s="279" t="s">
        <v>97</v>
      </c>
      <c r="W299" s="279" t="s">
        <v>97</v>
      </c>
      <c r="X299" s="279" t="s">
        <v>97</v>
      </c>
      <c r="Y299" s="279" t="s">
        <v>97</v>
      </c>
      <c r="Z299" s="279" t="s">
        <v>97</v>
      </c>
      <c r="AA299" s="279" t="s">
        <v>97</v>
      </c>
      <c r="AB299" s="279" t="s">
        <v>97</v>
      </c>
      <c r="AC299" s="279" t="s">
        <v>97</v>
      </c>
      <c r="AD299" s="279" t="s">
        <v>97</v>
      </c>
      <c r="AE299" s="34" t="s">
        <v>97</v>
      </c>
      <c r="AF299" s="299" t="s">
        <v>97</v>
      </c>
      <c r="AG299" s="34" t="s">
        <v>97</v>
      </c>
      <c r="AH299" s="34" t="s">
        <v>97</v>
      </c>
      <c r="AI299" s="304" t="s">
        <v>97</v>
      </c>
      <c r="AJ299" s="34" t="s">
        <v>97</v>
      </c>
      <c r="AK299" s="276"/>
      <c r="AL299" s="276"/>
      <c r="AM299" s="42"/>
      <c r="AN299" s="6"/>
    </row>
    <row r="300" spans="1:40" s="7" customFormat="1" ht="14.45" customHeight="1">
      <c r="A300" s="47"/>
      <c r="B300" s="37"/>
      <c r="C300" s="37"/>
      <c r="D300" s="37"/>
      <c r="E300" s="345" t="s">
        <v>97</v>
      </c>
      <c r="F300" s="34" t="s">
        <v>97</v>
      </c>
      <c r="G300" s="34" t="s">
        <v>97</v>
      </c>
      <c r="H300" s="34" t="s">
        <v>97</v>
      </c>
      <c r="I300" s="34" t="s">
        <v>97</v>
      </c>
      <c r="J300" s="34" t="s">
        <v>97</v>
      </c>
      <c r="K300" s="34" t="s">
        <v>97</v>
      </c>
      <c r="L300" s="34" t="s">
        <v>97</v>
      </c>
      <c r="M300" s="34" t="s">
        <v>97</v>
      </c>
      <c r="N300" s="34" t="s">
        <v>97</v>
      </c>
      <c r="O300" s="285" t="s">
        <v>389</v>
      </c>
      <c r="P300" s="34" t="s">
        <v>97</v>
      </c>
      <c r="Q300" s="34" t="s">
        <v>97</v>
      </c>
      <c r="R300" s="34" t="s">
        <v>97</v>
      </c>
      <c r="S300" s="34" t="s">
        <v>97</v>
      </c>
      <c r="T300" s="34" t="s">
        <v>97</v>
      </c>
      <c r="U300" s="34" t="s">
        <v>97</v>
      </c>
      <c r="V300" s="279" t="s">
        <v>97</v>
      </c>
      <c r="W300" s="279" t="s">
        <v>97</v>
      </c>
      <c r="X300" s="279" t="s">
        <v>97</v>
      </c>
      <c r="Y300" s="279" t="s">
        <v>97</v>
      </c>
      <c r="Z300" s="279" t="s">
        <v>97</v>
      </c>
      <c r="AA300" s="279" t="s">
        <v>97</v>
      </c>
      <c r="AB300" s="279" t="s">
        <v>97</v>
      </c>
      <c r="AC300" s="279" t="s">
        <v>97</v>
      </c>
      <c r="AD300" s="279" t="s">
        <v>97</v>
      </c>
      <c r="AE300" s="34" t="s">
        <v>97</v>
      </c>
      <c r="AF300" s="299" t="s">
        <v>97</v>
      </c>
      <c r="AG300" s="34" t="s">
        <v>97</v>
      </c>
      <c r="AH300" s="34" t="s">
        <v>97</v>
      </c>
      <c r="AI300" s="304" t="s">
        <v>97</v>
      </c>
      <c r="AJ300" s="34" t="s">
        <v>97</v>
      </c>
      <c r="AK300" s="276"/>
      <c r="AL300" s="276"/>
      <c r="AM300" s="42"/>
      <c r="AN300" s="6"/>
    </row>
    <row r="301" spans="1:40" s="7" customFormat="1" ht="14.45" customHeight="1">
      <c r="A301" s="47"/>
      <c r="B301" s="37"/>
      <c r="C301" s="37"/>
      <c r="D301" s="37"/>
      <c r="E301" s="345" t="s">
        <v>97</v>
      </c>
      <c r="F301" s="34" t="s">
        <v>97</v>
      </c>
      <c r="G301" s="34" t="s">
        <v>97</v>
      </c>
      <c r="H301" s="34" t="s">
        <v>97</v>
      </c>
      <c r="I301" s="34" t="s">
        <v>97</v>
      </c>
      <c r="J301" s="34" t="s">
        <v>97</v>
      </c>
      <c r="K301" s="34" t="s">
        <v>97</v>
      </c>
      <c r="L301" s="34" t="s">
        <v>97</v>
      </c>
      <c r="M301" s="34" t="s">
        <v>97</v>
      </c>
      <c r="N301" s="34" t="s">
        <v>97</v>
      </c>
      <c r="O301" s="285" t="s">
        <v>390</v>
      </c>
      <c r="P301" s="34" t="s">
        <v>97</v>
      </c>
      <c r="Q301" s="34" t="s">
        <v>97</v>
      </c>
      <c r="R301" s="34" t="s">
        <v>97</v>
      </c>
      <c r="S301" s="34" t="s">
        <v>97</v>
      </c>
      <c r="T301" s="34" t="s">
        <v>97</v>
      </c>
      <c r="U301" s="34" t="s">
        <v>97</v>
      </c>
      <c r="V301" s="279" t="s">
        <v>97</v>
      </c>
      <c r="W301" s="279" t="s">
        <v>97</v>
      </c>
      <c r="X301" s="279" t="s">
        <v>97</v>
      </c>
      <c r="Y301" s="279" t="s">
        <v>97</v>
      </c>
      <c r="Z301" s="279" t="s">
        <v>97</v>
      </c>
      <c r="AA301" s="279" t="s">
        <v>97</v>
      </c>
      <c r="AB301" s="279" t="s">
        <v>97</v>
      </c>
      <c r="AC301" s="279" t="s">
        <v>97</v>
      </c>
      <c r="AD301" s="279" t="s">
        <v>97</v>
      </c>
      <c r="AE301" s="34" t="s">
        <v>97</v>
      </c>
      <c r="AF301" s="299" t="s">
        <v>97</v>
      </c>
      <c r="AG301" s="34" t="s">
        <v>97</v>
      </c>
      <c r="AH301" s="34" t="s">
        <v>97</v>
      </c>
      <c r="AI301" s="304" t="s">
        <v>97</v>
      </c>
      <c r="AJ301" s="34" t="s">
        <v>97</v>
      </c>
      <c r="AK301" s="276"/>
      <c r="AL301" s="276"/>
      <c r="AM301" s="42"/>
      <c r="AN301" s="6"/>
    </row>
    <row r="302" spans="1:40" s="7" customFormat="1" ht="14.45" customHeight="1">
      <c r="A302" s="47"/>
      <c r="B302" s="37"/>
      <c r="C302" s="37"/>
      <c r="D302" s="37"/>
      <c r="E302" s="345" t="s">
        <v>97</v>
      </c>
      <c r="F302" s="34" t="s">
        <v>97</v>
      </c>
      <c r="G302" s="34" t="s">
        <v>97</v>
      </c>
      <c r="H302" s="34" t="s">
        <v>97</v>
      </c>
      <c r="I302" s="34" t="s">
        <v>97</v>
      </c>
      <c r="J302" s="34" t="s">
        <v>97</v>
      </c>
      <c r="K302" s="34" t="s">
        <v>97</v>
      </c>
      <c r="L302" s="34" t="s">
        <v>97</v>
      </c>
      <c r="M302" s="34" t="s">
        <v>97</v>
      </c>
      <c r="N302" s="34" t="s">
        <v>97</v>
      </c>
      <c r="O302" s="285" t="s">
        <v>391</v>
      </c>
      <c r="P302" s="34" t="s">
        <v>97</v>
      </c>
      <c r="Q302" s="34" t="s">
        <v>97</v>
      </c>
      <c r="R302" s="34" t="s">
        <v>97</v>
      </c>
      <c r="S302" s="34" t="s">
        <v>97</v>
      </c>
      <c r="T302" s="34" t="s">
        <v>97</v>
      </c>
      <c r="U302" s="34" t="s">
        <v>97</v>
      </c>
      <c r="V302" s="279" t="s">
        <v>97</v>
      </c>
      <c r="W302" s="279" t="s">
        <v>97</v>
      </c>
      <c r="X302" s="279" t="s">
        <v>97</v>
      </c>
      <c r="Y302" s="279" t="s">
        <v>97</v>
      </c>
      <c r="Z302" s="279" t="s">
        <v>97</v>
      </c>
      <c r="AA302" s="279" t="s">
        <v>97</v>
      </c>
      <c r="AB302" s="279" t="s">
        <v>97</v>
      </c>
      <c r="AC302" s="279" t="s">
        <v>97</v>
      </c>
      <c r="AD302" s="279" t="s">
        <v>97</v>
      </c>
      <c r="AE302" s="34" t="s">
        <v>97</v>
      </c>
      <c r="AF302" s="299" t="s">
        <v>97</v>
      </c>
      <c r="AG302" s="34" t="s">
        <v>97</v>
      </c>
      <c r="AH302" s="34" t="s">
        <v>97</v>
      </c>
      <c r="AI302" s="304" t="s">
        <v>97</v>
      </c>
      <c r="AJ302" s="34" t="s">
        <v>97</v>
      </c>
      <c r="AK302" s="276"/>
      <c r="AL302" s="276"/>
      <c r="AM302" s="42"/>
      <c r="AN302" s="6"/>
    </row>
    <row r="303" spans="1:40" s="7" customFormat="1" ht="14.45" customHeight="1">
      <c r="A303" s="47"/>
      <c r="B303" s="37"/>
      <c r="C303" s="37"/>
      <c r="D303" s="37"/>
      <c r="E303" s="345" t="s">
        <v>97</v>
      </c>
      <c r="F303" s="34" t="s">
        <v>97</v>
      </c>
      <c r="G303" s="34" t="s">
        <v>97</v>
      </c>
      <c r="H303" s="34" t="s">
        <v>97</v>
      </c>
      <c r="I303" s="34" t="s">
        <v>97</v>
      </c>
      <c r="J303" s="34" t="s">
        <v>97</v>
      </c>
      <c r="K303" s="34" t="s">
        <v>97</v>
      </c>
      <c r="L303" s="34" t="s">
        <v>97</v>
      </c>
      <c r="M303" s="34" t="s">
        <v>97</v>
      </c>
      <c r="N303" s="34" t="s">
        <v>97</v>
      </c>
      <c r="O303" s="285" t="s">
        <v>392</v>
      </c>
      <c r="P303" s="34" t="s">
        <v>97</v>
      </c>
      <c r="Q303" s="34" t="s">
        <v>97</v>
      </c>
      <c r="R303" s="34" t="s">
        <v>97</v>
      </c>
      <c r="S303" s="34" t="s">
        <v>97</v>
      </c>
      <c r="T303" s="34" t="s">
        <v>97</v>
      </c>
      <c r="U303" s="34" t="s">
        <v>97</v>
      </c>
      <c r="V303" s="279" t="s">
        <v>97</v>
      </c>
      <c r="W303" s="279" t="s">
        <v>97</v>
      </c>
      <c r="X303" s="279" t="s">
        <v>97</v>
      </c>
      <c r="Y303" s="279" t="s">
        <v>97</v>
      </c>
      <c r="Z303" s="279" t="s">
        <v>97</v>
      </c>
      <c r="AA303" s="279" t="s">
        <v>97</v>
      </c>
      <c r="AB303" s="279" t="s">
        <v>97</v>
      </c>
      <c r="AC303" s="279" t="s">
        <v>97</v>
      </c>
      <c r="AD303" s="279" t="s">
        <v>97</v>
      </c>
      <c r="AE303" s="34" t="s">
        <v>97</v>
      </c>
      <c r="AF303" s="299" t="s">
        <v>97</v>
      </c>
      <c r="AG303" s="34" t="s">
        <v>97</v>
      </c>
      <c r="AH303" s="34" t="s">
        <v>97</v>
      </c>
      <c r="AI303" s="304" t="s">
        <v>97</v>
      </c>
      <c r="AJ303" s="34" t="s">
        <v>97</v>
      </c>
      <c r="AK303" s="276"/>
      <c r="AL303" s="276"/>
      <c r="AM303" s="42"/>
      <c r="AN303" s="6"/>
    </row>
    <row r="304" spans="1:40" s="7" customFormat="1" ht="14.45" customHeight="1">
      <c r="A304" s="47"/>
      <c r="B304" s="37"/>
      <c r="C304" s="37"/>
      <c r="D304" s="37"/>
      <c r="E304" s="345" t="s">
        <v>97</v>
      </c>
      <c r="F304" s="34" t="s">
        <v>97</v>
      </c>
      <c r="G304" s="34" t="s">
        <v>97</v>
      </c>
      <c r="H304" s="34" t="s">
        <v>97</v>
      </c>
      <c r="I304" s="34" t="s">
        <v>97</v>
      </c>
      <c r="J304" s="34" t="s">
        <v>97</v>
      </c>
      <c r="K304" s="34" t="s">
        <v>97</v>
      </c>
      <c r="L304" s="34" t="s">
        <v>97</v>
      </c>
      <c r="M304" s="34" t="s">
        <v>97</v>
      </c>
      <c r="N304" s="34" t="s">
        <v>97</v>
      </c>
      <c r="O304" s="285" t="s">
        <v>393</v>
      </c>
      <c r="P304" s="34" t="s">
        <v>97</v>
      </c>
      <c r="Q304" s="34" t="s">
        <v>97</v>
      </c>
      <c r="R304" s="34" t="s">
        <v>97</v>
      </c>
      <c r="S304" s="34" t="s">
        <v>97</v>
      </c>
      <c r="T304" s="34" t="s">
        <v>97</v>
      </c>
      <c r="U304" s="34" t="s">
        <v>97</v>
      </c>
      <c r="V304" s="279" t="s">
        <v>97</v>
      </c>
      <c r="W304" s="279" t="s">
        <v>97</v>
      </c>
      <c r="X304" s="279" t="s">
        <v>97</v>
      </c>
      <c r="Y304" s="279" t="s">
        <v>97</v>
      </c>
      <c r="Z304" s="279" t="s">
        <v>97</v>
      </c>
      <c r="AA304" s="279" t="s">
        <v>97</v>
      </c>
      <c r="AB304" s="279" t="s">
        <v>97</v>
      </c>
      <c r="AC304" s="279" t="s">
        <v>97</v>
      </c>
      <c r="AD304" s="279" t="s">
        <v>97</v>
      </c>
      <c r="AE304" s="34" t="s">
        <v>97</v>
      </c>
      <c r="AF304" s="299" t="s">
        <v>97</v>
      </c>
      <c r="AG304" s="34" t="s">
        <v>97</v>
      </c>
      <c r="AH304" s="34" t="s">
        <v>97</v>
      </c>
      <c r="AI304" s="304" t="s">
        <v>97</v>
      </c>
      <c r="AJ304" s="34" t="s">
        <v>97</v>
      </c>
      <c r="AK304" s="276"/>
      <c r="AL304" s="276"/>
      <c r="AM304" s="42"/>
      <c r="AN304" s="6"/>
    </row>
    <row r="305" spans="1:40" s="7" customFormat="1" ht="14.45" customHeight="1">
      <c r="A305" s="47"/>
      <c r="B305" s="37"/>
      <c r="C305" s="37"/>
      <c r="D305" s="37"/>
      <c r="E305" s="345" t="s">
        <v>97</v>
      </c>
      <c r="F305" s="34" t="s">
        <v>97</v>
      </c>
      <c r="G305" s="34" t="s">
        <v>97</v>
      </c>
      <c r="H305" s="34" t="s">
        <v>97</v>
      </c>
      <c r="I305" s="34" t="s">
        <v>97</v>
      </c>
      <c r="J305" s="34" t="s">
        <v>97</v>
      </c>
      <c r="K305" s="34" t="s">
        <v>97</v>
      </c>
      <c r="L305" s="34" t="s">
        <v>97</v>
      </c>
      <c r="M305" s="34" t="s">
        <v>97</v>
      </c>
      <c r="N305" s="34" t="s">
        <v>97</v>
      </c>
      <c r="O305" s="285" t="s">
        <v>394</v>
      </c>
      <c r="P305" s="34" t="s">
        <v>97</v>
      </c>
      <c r="Q305" s="34" t="s">
        <v>97</v>
      </c>
      <c r="R305" s="34" t="s">
        <v>97</v>
      </c>
      <c r="S305" s="34" t="s">
        <v>97</v>
      </c>
      <c r="T305" s="34" t="s">
        <v>97</v>
      </c>
      <c r="U305" s="34" t="s">
        <v>97</v>
      </c>
      <c r="V305" s="279" t="s">
        <v>97</v>
      </c>
      <c r="W305" s="279" t="s">
        <v>97</v>
      </c>
      <c r="X305" s="279" t="s">
        <v>97</v>
      </c>
      <c r="Y305" s="279" t="s">
        <v>97</v>
      </c>
      <c r="Z305" s="279" t="s">
        <v>97</v>
      </c>
      <c r="AA305" s="279" t="s">
        <v>97</v>
      </c>
      <c r="AB305" s="279" t="s">
        <v>97</v>
      </c>
      <c r="AC305" s="279" t="s">
        <v>97</v>
      </c>
      <c r="AD305" s="279" t="s">
        <v>97</v>
      </c>
      <c r="AE305" s="34" t="s">
        <v>97</v>
      </c>
      <c r="AF305" s="299" t="s">
        <v>97</v>
      </c>
      <c r="AG305" s="34" t="s">
        <v>97</v>
      </c>
      <c r="AH305" s="34" t="s">
        <v>97</v>
      </c>
      <c r="AI305" s="304" t="s">
        <v>97</v>
      </c>
      <c r="AJ305" s="34" t="s">
        <v>97</v>
      </c>
      <c r="AK305" s="276"/>
      <c r="AL305" s="276"/>
      <c r="AM305" s="42"/>
      <c r="AN305" s="6"/>
    </row>
    <row r="306" spans="1:40" s="7" customFormat="1" ht="14.45" customHeight="1">
      <c r="A306" s="47"/>
      <c r="B306" s="37"/>
      <c r="C306" s="37"/>
      <c r="D306" s="37"/>
      <c r="E306" s="345" t="s">
        <v>97</v>
      </c>
      <c r="F306" s="34" t="s">
        <v>97</v>
      </c>
      <c r="G306" s="34" t="s">
        <v>97</v>
      </c>
      <c r="H306" s="34" t="s">
        <v>97</v>
      </c>
      <c r="I306" s="34" t="s">
        <v>97</v>
      </c>
      <c r="J306" s="34" t="s">
        <v>97</v>
      </c>
      <c r="K306" s="34" t="s">
        <v>97</v>
      </c>
      <c r="L306" s="34" t="s">
        <v>97</v>
      </c>
      <c r="M306" s="34" t="s">
        <v>97</v>
      </c>
      <c r="N306" s="34" t="s">
        <v>97</v>
      </c>
      <c r="O306" s="285" t="s">
        <v>395</v>
      </c>
      <c r="P306" s="34" t="s">
        <v>97</v>
      </c>
      <c r="Q306" s="34" t="s">
        <v>97</v>
      </c>
      <c r="R306" s="34" t="s">
        <v>97</v>
      </c>
      <c r="S306" s="34" t="s">
        <v>97</v>
      </c>
      <c r="T306" s="34" t="s">
        <v>97</v>
      </c>
      <c r="U306" s="34" t="s">
        <v>97</v>
      </c>
      <c r="V306" s="279" t="s">
        <v>97</v>
      </c>
      <c r="W306" s="279" t="s">
        <v>97</v>
      </c>
      <c r="X306" s="279" t="s">
        <v>97</v>
      </c>
      <c r="Y306" s="279" t="s">
        <v>97</v>
      </c>
      <c r="Z306" s="279" t="s">
        <v>97</v>
      </c>
      <c r="AA306" s="279" t="s">
        <v>97</v>
      </c>
      <c r="AB306" s="279" t="s">
        <v>97</v>
      </c>
      <c r="AC306" s="279" t="s">
        <v>97</v>
      </c>
      <c r="AD306" s="279" t="s">
        <v>97</v>
      </c>
      <c r="AE306" s="34" t="s">
        <v>97</v>
      </c>
      <c r="AF306" s="299" t="s">
        <v>97</v>
      </c>
      <c r="AG306" s="34" t="s">
        <v>97</v>
      </c>
      <c r="AH306" s="34" t="s">
        <v>97</v>
      </c>
      <c r="AI306" s="304" t="s">
        <v>97</v>
      </c>
      <c r="AJ306" s="34" t="s">
        <v>97</v>
      </c>
      <c r="AK306" s="276"/>
      <c r="AL306" s="276"/>
      <c r="AM306" s="42"/>
      <c r="AN306" s="6"/>
    </row>
    <row r="307" spans="1:40" s="7" customFormat="1" ht="14.45" customHeight="1">
      <c r="A307" s="47"/>
      <c r="B307" s="37"/>
      <c r="C307" s="37"/>
      <c r="D307" s="37"/>
      <c r="E307" s="345" t="s">
        <v>97</v>
      </c>
      <c r="F307" s="34" t="s">
        <v>97</v>
      </c>
      <c r="G307" s="34" t="s">
        <v>97</v>
      </c>
      <c r="H307" s="34" t="s">
        <v>97</v>
      </c>
      <c r="I307" s="34" t="s">
        <v>97</v>
      </c>
      <c r="J307" s="34" t="s">
        <v>97</v>
      </c>
      <c r="K307" s="34" t="s">
        <v>97</v>
      </c>
      <c r="L307" s="34" t="s">
        <v>97</v>
      </c>
      <c r="M307" s="34" t="s">
        <v>97</v>
      </c>
      <c r="N307" s="34" t="s">
        <v>97</v>
      </c>
      <c r="O307" s="285" t="s">
        <v>396</v>
      </c>
      <c r="P307" s="34" t="s">
        <v>97</v>
      </c>
      <c r="Q307" s="34" t="s">
        <v>97</v>
      </c>
      <c r="R307" s="34" t="s">
        <v>97</v>
      </c>
      <c r="S307" s="34" t="s">
        <v>97</v>
      </c>
      <c r="T307" s="34" t="s">
        <v>97</v>
      </c>
      <c r="U307" s="34" t="s">
        <v>97</v>
      </c>
      <c r="V307" s="279" t="s">
        <v>97</v>
      </c>
      <c r="W307" s="279" t="s">
        <v>97</v>
      </c>
      <c r="X307" s="279" t="s">
        <v>97</v>
      </c>
      <c r="Y307" s="279" t="s">
        <v>97</v>
      </c>
      <c r="Z307" s="279" t="s">
        <v>97</v>
      </c>
      <c r="AA307" s="279" t="s">
        <v>97</v>
      </c>
      <c r="AB307" s="279" t="s">
        <v>97</v>
      </c>
      <c r="AC307" s="279" t="s">
        <v>97</v>
      </c>
      <c r="AD307" s="279" t="s">
        <v>97</v>
      </c>
      <c r="AE307" s="34" t="s">
        <v>97</v>
      </c>
      <c r="AF307" s="299" t="s">
        <v>97</v>
      </c>
      <c r="AG307" s="34" t="s">
        <v>97</v>
      </c>
      <c r="AH307" s="34" t="s">
        <v>97</v>
      </c>
      <c r="AI307" s="304" t="s">
        <v>97</v>
      </c>
      <c r="AJ307" s="34" t="s">
        <v>97</v>
      </c>
      <c r="AK307" s="276"/>
      <c r="AL307" s="276"/>
      <c r="AM307" s="42"/>
      <c r="AN307" s="6"/>
    </row>
    <row r="308" spans="1:40" s="7" customFormat="1" ht="14.45" customHeight="1">
      <c r="A308" s="47"/>
      <c r="B308" s="37"/>
      <c r="C308" s="37"/>
      <c r="D308" s="37"/>
      <c r="E308" s="345" t="s">
        <v>97</v>
      </c>
      <c r="F308" s="34" t="s">
        <v>97</v>
      </c>
      <c r="G308" s="34" t="s">
        <v>97</v>
      </c>
      <c r="H308" s="34" t="s">
        <v>97</v>
      </c>
      <c r="I308" s="34" t="s">
        <v>97</v>
      </c>
      <c r="J308" s="34" t="s">
        <v>97</v>
      </c>
      <c r="K308" s="34" t="s">
        <v>97</v>
      </c>
      <c r="L308" s="34" t="s">
        <v>97</v>
      </c>
      <c r="M308" s="34" t="s">
        <v>97</v>
      </c>
      <c r="N308" s="34" t="s">
        <v>97</v>
      </c>
      <c r="O308" s="285" t="s">
        <v>397</v>
      </c>
      <c r="P308" s="34" t="s">
        <v>97</v>
      </c>
      <c r="Q308" s="34" t="s">
        <v>97</v>
      </c>
      <c r="R308" s="34" t="s">
        <v>97</v>
      </c>
      <c r="S308" s="34" t="s">
        <v>97</v>
      </c>
      <c r="T308" s="34" t="s">
        <v>97</v>
      </c>
      <c r="U308" s="34" t="s">
        <v>97</v>
      </c>
      <c r="V308" s="279" t="s">
        <v>97</v>
      </c>
      <c r="W308" s="279" t="s">
        <v>97</v>
      </c>
      <c r="X308" s="279" t="s">
        <v>97</v>
      </c>
      <c r="Y308" s="279" t="s">
        <v>97</v>
      </c>
      <c r="Z308" s="279" t="s">
        <v>97</v>
      </c>
      <c r="AA308" s="279" t="s">
        <v>97</v>
      </c>
      <c r="AB308" s="279" t="s">
        <v>97</v>
      </c>
      <c r="AC308" s="279" t="s">
        <v>97</v>
      </c>
      <c r="AD308" s="279" t="s">
        <v>97</v>
      </c>
      <c r="AE308" s="34" t="s">
        <v>97</v>
      </c>
      <c r="AF308" s="299" t="s">
        <v>97</v>
      </c>
      <c r="AG308" s="34" t="s">
        <v>97</v>
      </c>
      <c r="AH308" s="34" t="s">
        <v>97</v>
      </c>
      <c r="AI308" s="304" t="s">
        <v>97</v>
      </c>
      <c r="AJ308" s="34" t="s">
        <v>97</v>
      </c>
      <c r="AK308" s="276"/>
      <c r="AL308" s="276"/>
      <c r="AM308" s="42"/>
      <c r="AN308" s="6"/>
    </row>
    <row r="309" spans="1:40" s="7" customFormat="1" ht="14.45" customHeight="1">
      <c r="A309" s="47"/>
      <c r="B309" s="37"/>
      <c r="C309" s="37"/>
      <c r="D309" s="37"/>
      <c r="E309" s="345" t="s">
        <v>97</v>
      </c>
      <c r="F309" s="34" t="s">
        <v>97</v>
      </c>
      <c r="G309" s="34" t="s">
        <v>97</v>
      </c>
      <c r="H309" s="34" t="s">
        <v>97</v>
      </c>
      <c r="I309" s="34" t="s">
        <v>97</v>
      </c>
      <c r="J309" s="34" t="s">
        <v>97</v>
      </c>
      <c r="K309" s="34" t="s">
        <v>97</v>
      </c>
      <c r="L309" s="34" t="s">
        <v>97</v>
      </c>
      <c r="M309" s="34" t="s">
        <v>97</v>
      </c>
      <c r="N309" s="34" t="s">
        <v>97</v>
      </c>
      <c r="O309" s="285" t="s">
        <v>398</v>
      </c>
      <c r="P309" s="34" t="s">
        <v>97</v>
      </c>
      <c r="Q309" s="34" t="s">
        <v>97</v>
      </c>
      <c r="R309" s="34" t="s">
        <v>97</v>
      </c>
      <c r="S309" s="34" t="s">
        <v>97</v>
      </c>
      <c r="T309" s="34" t="s">
        <v>97</v>
      </c>
      <c r="U309" s="34" t="s">
        <v>97</v>
      </c>
      <c r="V309" s="279" t="s">
        <v>97</v>
      </c>
      <c r="W309" s="279" t="s">
        <v>97</v>
      </c>
      <c r="X309" s="279" t="s">
        <v>97</v>
      </c>
      <c r="Y309" s="279" t="s">
        <v>97</v>
      </c>
      <c r="Z309" s="279" t="s">
        <v>97</v>
      </c>
      <c r="AA309" s="279" t="s">
        <v>97</v>
      </c>
      <c r="AB309" s="279" t="s">
        <v>97</v>
      </c>
      <c r="AC309" s="279" t="s">
        <v>97</v>
      </c>
      <c r="AD309" s="279" t="s">
        <v>97</v>
      </c>
      <c r="AE309" s="34" t="s">
        <v>97</v>
      </c>
      <c r="AF309" s="299" t="s">
        <v>97</v>
      </c>
      <c r="AG309" s="34" t="s">
        <v>97</v>
      </c>
      <c r="AH309" s="34" t="s">
        <v>97</v>
      </c>
      <c r="AI309" s="304" t="s">
        <v>97</v>
      </c>
      <c r="AJ309" s="34" t="s">
        <v>97</v>
      </c>
      <c r="AK309" s="276"/>
      <c r="AL309" s="276"/>
      <c r="AM309" s="42"/>
      <c r="AN309" s="6"/>
    </row>
    <row r="310" spans="1:40" s="7" customFormat="1" ht="14.45" customHeight="1">
      <c r="A310" s="47"/>
      <c r="B310" s="37"/>
      <c r="C310" s="37"/>
      <c r="D310" s="37"/>
      <c r="E310" s="345" t="s">
        <v>97</v>
      </c>
      <c r="F310" s="34" t="s">
        <v>97</v>
      </c>
      <c r="G310" s="34" t="s">
        <v>97</v>
      </c>
      <c r="H310" s="34" t="s">
        <v>97</v>
      </c>
      <c r="I310" s="34" t="s">
        <v>97</v>
      </c>
      <c r="J310" s="34" t="s">
        <v>97</v>
      </c>
      <c r="K310" s="34" t="s">
        <v>97</v>
      </c>
      <c r="L310" s="34" t="s">
        <v>97</v>
      </c>
      <c r="M310" s="34" t="s">
        <v>97</v>
      </c>
      <c r="N310" s="34" t="s">
        <v>97</v>
      </c>
      <c r="O310" s="288" t="s">
        <v>399</v>
      </c>
      <c r="P310" s="34" t="s">
        <v>97</v>
      </c>
      <c r="Q310" s="34" t="s">
        <v>97</v>
      </c>
      <c r="R310" s="34" t="s">
        <v>97</v>
      </c>
      <c r="S310" s="34" t="s">
        <v>97</v>
      </c>
      <c r="T310" s="34" t="s">
        <v>97</v>
      </c>
      <c r="U310" s="34" t="s">
        <v>97</v>
      </c>
      <c r="V310" s="279" t="s">
        <v>97</v>
      </c>
      <c r="W310" s="279" t="s">
        <v>97</v>
      </c>
      <c r="X310" s="279" t="s">
        <v>97</v>
      </c>
      <c r="Y310" s="279" t="s">
        <v>97</v>
      </c>
      <c r="Z310" s="279" t="s">
        <v>97</v>
      </c>
      <c r="AA310" s="279" t="s">
        <v>97</v>
      </c>
      <c r="AB310" s="279" t="s">
        <v>97</v>
      </c>
      <c r="AC310" s="279" t="s">
        <v>97</v>
      </c>
      <c r="AD310" s="279" t="s">
        <v>97</v>
      </c>
      <c r="AE310" s="34" t="s">
        <v>97</v>
      </c>
      <c r="AF310" s="299" t="s">
        <v>97</v>
      </c>
      <c r="AG310" s="34" t="s">
        <v>97</v>
      </c>
      <c r="AH310" s="34" t="s">
        <v>97</v>
      </c>
      <c r="AI310" s="304" t="s">
        <v>97</v>
      </c>
      <c r="AJ310" s="34" t="s">
        <v>97</v>
      </c>
      <c r="AK310" s="276"/>
      <c r="AL310" s="276"/>
      <c r="AM310" s="42"/>
      <c r="AN310" s="6"/>
    </row>
    <row r="311" spans="1:40" s="7" customFormat="1" ht="14.45" customHeight="1">
      <c r="A311" s="47"/>
      <c r="B311" s="37"/>
      <c r="C311" s="37"/>
      <c r="D311" s="37"/>
      <c r="E311" s="345" t="s">
        <v>97</v>
      </c>
      <c r="F311" s="34" t="s">
        <v>97</v>
      </c>
      <c r="G311" s="34" t="s">
        <v>97</v>
      </c>
      <c r="H311" s="34" t="s">
        <v>97</v>
      </c>
      <c r="I311" s="34" t="s">
        <v>97</v>
      </c>
      <c r="J311" s="34" t="s">
        <v>97</v>
      </c>
      <c r="K311" s="34" t="s">
        <v>97</v>
      </c>
      <c r="L311" s="34" t="s">
        <v>97</v>
      </c>
      <c r="M311" s="34" t="s">
        <v>97</v>
      </c>
      <c r="N311" s="34" t="s">
        <v>97</v>
      </c>
      <c r="O311" s="285" t="s">
        <v>400</v>
      </c>
      <c r="P311" s="34" t="s">
        <v>97</v>
      </c>
      <c r="Q311" s="34" t="s">
        <v>97</v>
      </c>
      <c r="R311" s="34" t="s">
        <v>97</v>
      </c>
      <c r="S311" s="34" t="s">
        <v>97</v>
      </c>
      <c r="T311" s="34" t="s">
        <v>97</v>
      </c>
      <c r="U311" s="34" t="s">
        <v>97</v>
      </c>
      <c r="V311" s="279" t="s">
        <v>97</v>
      </c>
      <c r="W311" s="279" t="s">
        <v>97</v>
      </c>
      <c r="X311" s="279" t="s">
        <v>97</v>
      </c>
      <c r="Y311" s="279" t="s">
        <v>97</v>
      </c>
      <c r="Z311" s="279" t="s">
        <v>97</v>
      </c>
      <c r="AA311" s="279" t="s">
        <v>97</v>
      </c>
      <c r="AB311" s="279" t="s">
        <v>97</v>
      </c>
      <c r="AC311" s="279" t="s">
        <v>97</v>
      </c>
      <c r="AD311" s="279" t="s">
        <v>97</v>
      </c>
      <c r="AE311" s="34" t="s">
        <v>97</v>
      </c>
      <c r="AF311" s="299" t="s">
        <v>97</v>
      </c>
      <c r="AG311" s="34" t="s">
        <v>97</v>
      </c>
      <c r="AH311" s="34" t="s">
        <v>97</v>
      </c>
      <c r="AI311" s="304" t="s">
        <v>97</v>
      </c>
      <c r="AJ311" s="34" t="s">
        <v>97</v>
      </c>
      <c r="AK311" s="276"/>
      <c r="AL311" s="276"/>
      <c r="AM311" s="42"/>
      <c r="AN311" s="6"/>
    </row>
    <row r="312" spans="1:40" s="7" customFormat="1" ht="14.45" customHeight="1">
      <c r="A312" s="47"/>
      <c r="B312" s="37"/>
      <c r="C312" s="37"/>
      <c r="D312" s="37"/>
      <c r="E312" s="345" t="s">
        <v>97</v>
      </c>
      <c r="F312" s="34" t="s">
        <v>97</v>
      </c>
      <c r="G312" s="34" t="s">
        <v>97</v>
      </c>
      <c r="H312" s="34" t="s">
        <v>97</v>
      </c>
      <c r="I312" s="34" t="s">
        <v>97</v>
      </c>
      <c r="J312" s="34" t="s">
        <v>97</v>
      </c>
      <c r="K312" s="34" t="s">
        <v>97</v>
      </c>
      <c r="L312" s="34" t="s">
        <v>97</v>
      </c>
      <c r="M312" s="34" t="s">
        <v>97</v>
      </c>
      <c r="N312" s="34" t="s">
        <v>97</v>
      </c>
      <c r="O312" s="288" t="s">
        <v>401</v>
      </c>
      <c r="P312" s="34" t="s">
        <v>97</v>
      </c>
      <c r="Q312" s="34" t="s">
        <v>97</v>
      </c>
      <c r="R312" s="34" t="s">
        <v>97</v>
      </c>
      <c r="S312" s="34" t="s">
        <v>97</v>
      </c>
      <c r="T312" s="34" t="s">
        <v>97</v>
      </c>
      <c r="U312" s="34" t="s">
        <v>97</v>
      </c>
      <c r="V312" s="279" t="s">
        <v>97</v>
      </c>
      <c r="W312" s="279" t="s">
        <v>97</v>
      </c>
      <c r="X312" s="279" t="s">
        <v>97</v>
      </c>
      <c r="Y312" s="279" t="s">
        <v>97</v>
      </c>
      <c r="Z312" s="279" t="s">
        <v>97</v>
      </c>
      <c r="AA312" s="279" t="s">
        <v>97</v>
      </c>
      <c r="AB312" s="279" t="s">
        <v>97</v>
      </c>
      <c r="AC312" s="279" t="s">
        <v>97</v>
      </c>
      <c r="AD312" s="279" t="s">
        <v>97</v>
      </c>
      <c r="AE312" s="34" t="s">
        <v>97</v>
      </c>
      <c r="AF312" s="299" t="s">
        <v>97</v>
      </c>
      <c r="AG312" s="34" t="s">
        <v>97</v>
      </c>
      <c r="AH312" s="34" t="s">
        <v>97</v>
      </c>
      <c r="AI312" s="304" t="s">
        <v>97</v>
      </c>
      <c r="AJ312" s="34" t="s">
        <v>97</v>
      </c>
      <c r="AK312" s="276"/>
      <c r="AL312" s="276"/>
      <c r="AM312" s="42"/>
      <c r="AN312" s="6"/>
    </row>
    <row r="313" spans="1:40" s="7" customFormat="1" ht="14.45" customHeight="1">
      <c r="A313" s="47"/>
      <c r="B313" s="37"/>
      <c r="C313" s="37"/>
      <c r="D313" s="37"/>
      <c r="E313" s="345" t="s">
        <v>97</v>
      </c>
      <c r="F313" s="34" t="s">
        <v>97</v>
      </c>
      <c r="G313" s="34" t="s">
        <v>97</v>
      </c>
      <c r="H313" s="34" t="s">
        <v>97</v>
      </c>
      <c r="I313" s="34" t="s">
        <v>97</v>
      </c>
      <c r="J313" s="34" t="s">
        <v>97</v>
      </c>
      <c r="K313" s="34" t="s">
        <v>97</v>
      </c>
      <c r="L313" s="34" t="s">
        <v>97</v>
      </c>
      <c r="M313" s="34" t="s">
        <v>97</v>
      </c>
      <c r="N313" s="34" t="s">
        <v>97</v>
      </c>
      <c r="O313" s="285" t="s">
        <v>402</v>
      </c>
      <c r="P313" s="34" t="s">
        <v>97</v>
      </c>
      <c r="Q313" s="34" t="s">
        <v>97</v>
      </c>
      <c r="R313" s="34" t="s">
        <v>97</v>
      </c>
      <c r="S313" s="34" t="s">
        <v>97</v>
      </c>
      <c r="T313" s="34" t="s">
        <v>97</v>
      </c>
      <c r="U313" s="34" t="s">
        <v>97</v>
      </c>
      <c r="V313" s="279" t="s">
        <v>97</v>
      </c>
      <c r="W313" s="279" t="s">
        <v>97</v>
      </c>
      <c r="X313" s="279" t="s">
        <v>97</v>
      </c>
      <c r="Y313" s="279" t="s">
        <v>97</v>
      </c>
      <c r="Z313" s="279" t="s">
        <v>97</v>
      </c>
      <c r="AA313" s="279" t="s">
        <v>97</v>
      </c>
      <c r="AB313" s="279" t="s">
        <v>97</v>
      </c>
      <c r="AC313" s="279" t="s">
        <v>97</v>
      </c>
      <c r="AD313" s="279" t="s">
        <v>97</v>
      </c>
      <c r="AE313" s="34" t="s">
        <v>97</v>
      </c>
      <c r="AF313" s="299" t="s">
        <v>97</v>
      </c>
      <c r="AG313" s="34" t="s">
        <v>97</v>
      </c>
      <c r="AH313" s="34" t="s">
        <v>97</v>
      </c>
      <c r="AI313" s="304" t="s">
        <v>97</v>
      </c>
      <c r="AJ313" s="34" t="s">
        <v>97</v>
      </c>
      <c r="AK313" s="276"/>
      <c r="AL313" s="276"/>
      <c r="AM313" s="42"/>
      <c r="AN313" s="6"/>
    </row>
    <row r="314" spans="1:40" s="7" customFormat="1" ht="14.45" customHeight="1">
      <c r="A314" s="47"/>
      <c r="B314" s="37"/>
      <c r="C314" s="37"/>
      <c r="D314" s="37"/>
      <c r="E314" s="345" t="s">
        <v>97</v>
      </c>
      <c r="F314" s="34" t="s">
        <v>97</v>
      </c>
      <c r="G314" s="34" t="s">
        <v>97</v>
      </c>
      <c r="H314" s="34" t="s">
        <v>97</v>
      </c>
      <c r="I314" s="34" t="s">
        <v>97</v>
      </c>
      <c r="J314" s="34" t="s">
        <v>97</v>
      </c>
      <c r="K314" s="34" t="s">
        <v>97</v>
      </c>
      <c r="L314" s="34" t="s">
        <v>97</v>
      </c>
      <c r="M314" s="34" t="s">
        <v>97</v>
      </c>
      <c r="N314" s="34" t="s">
        <v>97</v>
      </c>
      <c r="O314" s="285" t="s">
        <v>403</v>
      </c>
      <c r="P314" s="34" t="s">
        <v>97</v>
      </c>
      <c r="Q314" s="34" t="s">
        <v>97</v>
      </c>
      <c r="R314" s="34" t="s">
        <v>97</v>
      </c>
      <c r="S314" s="34" t="s">
        <v>97</v>
      </c>
      <c r="T314" s="34" t="s">
        <v>97</v>
      </c>
      <c r="U314" s="34" t="s">
        <v>97</v>
      </c>
      <c r="V314" s="279" t="s">
        <v>97</v>
      </c>
      <c r="W314" s="279" t="s">
        <v>97</v>
      </c>
      <c r="X314" s="279" t="s">
        <v>97</v>
      </c>
      <c r="Y314" s="279" t="s">
        <v>97</v>
      </c>
      <c r="Z314" s="279" t="s">
        <v>97</v>
      </c>
      <c r="AA314" s="279" t="s">
        <v>97</v>
      </c>
      <c r="AB314" s="279" t="s">
        <v>97</v>
      </c>
      <c r="AC314" s="279" t="s">
        <v>97</v>
      </c>
      <c r="AD314" s="279" t="s">
        <v>97</v>
      </c>
      <c r="AE314" s="34" t="s">
        <v>97</v>
      </c>
      <c r="AF314" s="299" t="s">
        <v>97</v>
      </c>
      <c r="AG314" s="34" t="s">
        <v>97</v>
      </c>
      <c r="AH314" s="34" t="s">
        <v>97</v>
      </c>
      <c r="AI314" s="304" t="s">
        <v>97</v>
      </c>
      <c r="AJ314" s="34" t="s">
        <v>97</v>
      </c>
      <c r="AK314" s="276"/>
      <c r="AL314" s="276"/>
      <c r="AM314" s="42"/>
      <c r="AN314" s="6"/>
    </row>
    <row r="315" spans="1:40" s="7" customFormat="1" ht="14.45" customHeight="1">
      <c r="A315" s="47"/>
      <c r="B315" s="37"/>
      <c r="C315" s="37"/>
      <c r="D315" s="37"/>
      <c r="E315" s="345" t="s">
        <v>97</v>
      </c>
      <c r="F315" s="34" t="s">
        <v>97</v>
      </c>
      <c r="G315" s="34" t="s">
        <v>97</v>
      </c>
      <c r="H315" s="34" t="s">
        <v>97</v>
      </c>
      <c r="I315" s="34" t="s">
        <v>97</v>
      </c>
      <c r="J315" s="34" t="s">
        <v>97</v>
      </c>
      <c r="K315" s="34" t="s">
        <v>97</v>
      </c>
      <c r="L315" s="34" t="s">
        <v>97</v>
      </c>
      <c r="M315" s="34" t="s">
        <v>97</v>
      </c>
      <c r="N315" s="34" t="s">
        <v>97</v>
      </c>
      <c r="O315" s="285" t="s">
        <v>404</v>
      </c>
      <c r="P315" s="34" t="s">
        <v>97</v>
      </c>
      <c r="Q315" s="34" t="s">
        <v>97</v>
      </c>
      <c r="R315" s="34" t="s">
        <v>97</v>
      </c>
      <c r="S315" s="34" t="s">
        <v>97</v>
      </c>
      <c r="T315" s="34" t="s">
        <v>97</v>
      </c>
      <c r="U315" s="34" t="s">
        <v>97</v>
      </c>
      <c r="V315" s="279" t="s">
        <v>97</v>
      </c>
      <c r="W315" s="279" t="s">
        <v>97</v>
      </c>
      <c r="X315" s="279" t="s">
        <v>97</v>
      </c>
      <c r="Y315" s="279" t="s">
        <v>97</v>
      </c>
      <c r="Z315" s="279" t="s">
        <v>97</v>
      </c>
      <c r="AA315" s="279" t="s">
        <v>97</v>
      </c>
      <c r="AB315" s="279" t="s">
        <v>97</v>
      </c>
      <c r="AC315" s="279" t="s">
        <v>97</v>
      </c>
      <c r="AD315" s="279" t="s">
        <v>97</v>
      </c>
      <c r="AE315" s="34" t="s">
        <v>97</v>
      </c>
      <c r="AF315" s="299" t="s">
        <v>97</v>
      </c>
      <c r="AG315" s="34" t="s">
        <v>97</v>
      </c>
      <c r="AH315" s="34" t="s">
        <v>97</v>
      </c>
      <c r="AI315" s="304" t="s">
        <v>97</v>
      </c>
      <c r="AJ315" s="34" t="s">
        <v>97</v>
      </c>
      <c r="AK315" s="276"/>
      <c r="AL315" s="276"/>
      <c r="AM315" s="42"/>
      <c r="AN315" s="6"/>
    </row>
    <row r="316" spans="1:40" s="7" customFormat="1" ht="14.45" customHeight="1">
      <c r="A316" s="47"/>
      <c r="B316" s="37"/>
      <c r="C316" s="37"/>
      <c r="D316" s="37"/>
      <c r="E316" s="345" t="s">
        <v>97</v>
      </c>
      <c r="F316" s="34" t="s">
        <v>97</v>
      </c>
      <c r="G316" s="34" t="s">
        <v>97</v>
      </c>
      <c r="H316" s="34" t="s">
        <v>97</v>
      </c>
      <c r="I316" s="34" t="s">
        <v>97</v>
      </c>
      <c r="J316" s="34" t="s">
        <v>97</v>
      </c>
      <c r="K316" s="34" t="s">
        <v>97</v>
      </c>
      <c r="L316" s="34" t="s">
        <v>97</v>
      </c>
      <c r="M316" s="34" t="s">
        <v>97</v>
      </c>
      <c r="N316" s="34" t="s">
        <v>97</v>
      </c>
      <c r="O316" s="285" t="s">
        <v>405</v>
      </c>
      <c r="P316" s="34" t="s">
        <v>97</v>
      </c>
      <c r="Q316" s="34" t="s">
        <v>97</v>
      </c>
      <c r="R316" s="34" t="s">
        <v>97</v>
      </c>
      <c r="S316" s="34" t="s">
        <v>97</v>
      </c>
      <c r="T316" s="34" t="s">
        <v>97</v>
      </c>
      <c r="U316" s="34" t="s">
        <v>97</v>
      </c>
      <c r="V316" s="279" t="s">
        <v>97</v>
      </c>
      <c r="W316" s="279" t="s">
        <v>97</v>
      </c>
      <c r="X316" s="279" t="s">
        <v>97</v>
      </c>
      <c r="Y316" s="279" t="s">
        <v>97</v>
      </c>
      <c r="Z316" s="279" t="s">
        <v>97</v>
      </c>
      <c r="AA316" s="279" t="s">
        <v>97</v>
      </c>
      <c r="AB316" s="279" t="s">
        <v>97</v>
      </c>
      <c r="AC316" s="279" t="s">
        <v>97</v>
      </c>
      <c r="AD316" s="279" t="s">
        <v>97</v>
      </c>
      <c r="AE316" s="34" t="s">
        <v>97</v>
      </c>
      <c r="AF316" s="299" t="s">
        <v>97</v>
      </c>
      <c r="AG316" s="34" t="s">
        <v>97</v>
      </c>
      <c r="AH316" s="34" t="s">
        <v>97</v>
      </c>
      <c r="AI316" s="304" t="s">
        <v>97</v>
      </c>
      <c r="AJ316" s="34" t="s">
        <v>97</v>
      </c>
      <c r="AK316" s="276"/>
      <c r="AL316" s="276"/>
      <c r="AM316" s="42"/>
      <c r="AN316" s="6"/>
    </row>
    <row r="317" spans="1:40" s="7" customFormat="1" ht="14.45" customHeight="1">
      <c r="A317" s="47"/>
      <c r="B317" s="37"/>
      <c r="C317" s="37"/>
      <c r="D317" s="37"/>
      <c r="E317" s="345" t="s">
        <v>97</v>
      </c>
      <c r="F317" s="34" t="s">
        <v>97</v>
      </c>
      <c r="G317" s="34" t="s">
        <v>97</v>
      </c>
      <c r="H317" s="34" t="s">
        <v>97</v>
      </c>
      <c r="I317" s="34" t="s">
        <v>97</v>
      </c>
      <c r="J317" s="34" t="s">
        <v>97</v>
      </c>
      <c r="K317" s="34" t="s">
        <v>97</v>
      </c>
      <c r="L317" s="34" t="s">
        <v>97</v>
      </c>
      <c r="M317" s="34" t="s">
        <v>97</v>
      </c>
      <c r="N317" s="34" t="s">
        <v>97</v>
      </c>
      <c r="O317" s="285" t="s">
        <v>406</v>
      </c>
      <c r="P317" s="34" t="s">
        <v>97</v>
      </c>
      <c r="Q317" s="34" t="s">
        <v>97</v>
      </c>
      <c r="R317" s="34" t="s">
        <v>97</v>
      </c>
      <c r="S317" s="34" t="s">
        <v>97</v>
      </c>
      <c r="T317" s="34" t="s">
        <v>97</v>
      </c>
      <c r="U317" s="34" t="s">
        <v>97</v>
      </c>
      <c r="V317" s="279" t="s">
        <v>97</v>
      </c>
      <c r="W317" s="279" t="s">
        <v>97</v>
      </c>
      <c r="X317" s="279" t="s">
        <v>97</v>
      </c>
      <c r="Y317" s="279" t="s">
        <v>97</v>
      </c>
      <c r="Z317" s="279" t="s">
        <v>97</v>
      </c>
      <c r="AA317" s="279" t="s">
        <v>97</v>
      </c>
      <c r="AB317" s="279" t="s">
        <v>97</v>
      </c>
      <c r="AC317" s="279" t="s">
        <v>97</v>
      </c>
      <c r="AD317" s="279" t="s">
        <v>97</v>
      </c>
      <c r="AE317" s="34" t="s">
        <v>97</v>
      </c>
      <c r="AF317" s="299" t="s">
        <v>97</v>
      </c>
      <c r="AG317" s="34" t="s">
        <v>97</v>
      </c>
      <c r="AH317" s="34" t="s">
        <v>97</v>
      </c>
      <c r="AI317" s="304" t="s">
        <v>97</v>
      </c>
      <c r="AJ317" s="34" t="s">
        <v>97</v>
      </c>
      <c r="AK317" s="276"/>
      <c r="AL317" s="276"/>
      <c r="AM317" s="42"/>
      <c r="AN317" s="6"/>
    </row>
    <row r="318" spans="1:40" s="7" customFormat="1" ht="14.45" customHeight="1">
      <c r="A318" s="47"/>
      <c r="B318" s="37"/>
      <c r="C318" s="37"/>
      <c r="D318" s="37"/>
      <c r="E318" s="345" t="s">
        <v>97</v>
      </c>
      <c r="F318" s="34" t="s">
        <v>97</v>
      </c>
      <c r="G318" s="34" t="s">
        <v>97</v>
      </c>
      <c r="H318" s="34" t="s">
        <v>97</v>
      </c>
      <c r="I318" s="34" t="s">
        <v>97</v>
      </c>
      <c r="J318" s="34" t="s">
        <v>97</v>
      </c>
      <c r="K318" s="34" t="s">
        <v>97</v>
      </c>
      <c r="L318" s="34" t="s">
        <v>97</v>
      </c>
      <c r="M318" s="34" t="s">
        <v>97</v>
      </c>
      <c r="N318" s="34" t="s">
        <v>97</v>
      </c>
      <c r="O318" s="288" t="s">
        <v>407</v>
      </c>
      <c r="P318" s="34" t="s">
        <v>97</v>
      </c>
      <c r="Q318" s="34" t="s">
        <v>97</v>
      </c>
      <c r="R318" s="34" t="s">
        <v>97</v>
      </c>
      <c r="S318" s="34" t="s">
        <v>97</v>
      </c>
      <c r="T318" s="34" t="s">
        <v>97</v>
      </c>
      <c r="U318" s="34" t="s">
        <v>97</v>
      </c>
      <c r="V318" s="279" t="s">
        <v>97</v>
      </c>
      <c r="W318" s="279" t="s">
        <v>97</v>
      </c>
      <c r="X318" s="279" t="s">
        <v>97</v>
      </c>
      <c r="Y318" s="279" t="s">
        <v>97</v>
      </c>
      <c r="Z318" s="279" t="s">
        <v>97</v>
      </c>
      <c r="AA318" s="279" t="s">
        <v>97</v>
      </c>
      <c r="AB318" s="279" t="s">
        <v>97</v>
      </c>
      <c r="AC318" s="279" t="s">
        <v>97</v>
      </c>
      <c r="AD318" s="279" t="s">
        <v>97</v>
      </c>
      <c r="AE318" s="34" t="s">
        <v>97</v>
      </c>
      <c r="AF318" s="299" t="s">
        <v>97</v>
      </c>
      <c r="AG318" s="34" t="s">
        <v>97</v>
      </c>
      <c r="AH318" s="34" t="s">
        <v>97</v>
      </c>
      <c r="AI318" s="304" t="s">
        <v>97</v>
      </c>
      <c r="AJ318" s="34" t="s">
        <v>97</v>
      </c>
      <c r="AK318" s="276"/>
      <c r="AL318" s="276"/>
      <c r="AM318" s="42"/>
      <c r="AN318" s="6"/>
    </row>
    <row r="319" spans="1:40" s="7" customFormat="1" ht="14.45" customHeight="1">
      <c r="A319" s="47"/>
      <c r="B319" s="37"/>
      <c r="C319" s="37"/>
      <c r="D319" s="37"/>
      <c r="E319" s="345" t="s">
        <v>97</v>
      </c>
      <c r="F319" s="34" t="s">
        <v>97</v>
      </c>
      <c r="G319" s="34" t="s">
        <v>97</v>
      </c>
      <c r="H319" s="34" t="s">
        <v>97</v>
      </c>
      <c r="I319" s="34" t="s">
        <v>97</v>
      </c>
      <c r="J319" s="34" t="s">
        <v>97</v>
      </c>
      <c r="K319" s="34" t="s">
        <v>97</v>
      </c>
      <c r="L319" s="34" t="s">
        <v>97</v>
      </c>
      <c r="M319" s="34" t="s">
        <v>97</v>
      </c>
      <c r="N319" s="34" t="s">
        <v>97</v>
      </c>
      <c r="O319" s="285" t="s">
        <v>408</v>
      </c>
      <c r="P319" s="34" t="s">
        <v>97</v>
      </c>
      <c r="Q319" s="34" t="s">
        <v>97</v>
      </c>
      <c r="R319" s="34" t="s">
        <v>97</v>
      </c>
      <c r="S319" s="34" t="s">
        <v>97</v>
      </c>
      <c r="T319" s="34" t="s">
        <v>97</v>
      </c>
      <c r="U319" s="34" t="s">
        <v>97</v>
      </c>
      <c r="V319" s="279" t="s">
        <v>97</v>
      </c>
      <c r="W319" s="279" t="s">
        <v>97</v>
      </c>
      <c r="X319" s="279" t="s">
        <v>97</v>
      </c>
      <c r="Y319" s="279" t="s">
        <v>97</v>
      </c>
      <c r="Z319" s="279" t="s">
        <v>97</v>
      </c>
      <c r="AA319" s="279" t="s">
        <v>97</v>
      </c>
      <c r="AB319" s="279" t="s">
        <v>97</v>
      </c>
      <c r="AC319" s="279" t="s">
        <v>97</v>
      </c>
      <c r="AD319" s="279" t="s">
        <v>97</v>
      </c>
      <c r="AE319" s="34" t="s">
        <v>97</v>
      </c>
      <c r="AF319" s="299" t="s">
        <v>97</v>
      </c>
      <c r="AG319" s="34" t="s">
        <v>97</v>
      </c>
      <c r="AH319" s="34" t="s">
        <v>97</v>
      </c>
      <c r="AI319" s="304" t="s">
        <v>97</v>
      </c>
      <c r="AJ319" s="34" t="s">
        <v>97</v>
      </c>
      <c r="AK319" s="276"/>
      <c r="AL319" s="276"/>
      <c r="AM319" s="42"/>
      <c r="AN319" s="6"/>
    </row>
    <row r="320" spans="1:40" s="7" customFormat="1" ht="14.45" customHeight="1">
      <c r="A320" s="47"/>
      <c r="B320" s="37"/>
      <c r="C320" s="37"/>
      <c r="D320" s="37"/>
      <c r="E320" s="345" t="s">
        <v>97</v>
      </c>
      <c r="F320" s="34" t="s">
        <v>97</v>
      </c>
      <c r="G320" s="34" t="s">
        <v>97</v>
      </c>
      <c r="H320" s="34" t="s">
        <v>97</v>
      </c>
      <c r="I320" s="34" t="s">
        <v>97</v>
      </c>
      <c r="J320" s="34" t="s">
        <v>97</v>
      </c>
      <c r="K320" s="34" t="s">
        <v>97</v>
      </c>
      <c r="L320" s="34" t="s">
        <v>97</v>
      </c>
      <c r="M320" s="34" t="s">
        <v>97</v>
      </c>
      <c r="N320" s="34" t="s">
        <v>97</v>
      </c>
      <c r="O320" s="285" t="s">
        <v>236</v>
      </c>
      <c r="P320" s="34" t="s">
        <v>97</v>
      </c>
      <c r="Q320" s="34" t="s">
        <v>97</v>
      </c>
      <c r="R320" s="34" t="s">
        <v>97</v>
      </c>
      <c r="S320" s="34" t="s">
        <v>97</v>
      </c>
      <c r="T320" s="34" t="s">
        <v>97</v>
      </c>
      <c r="U320" s="34" t="s">
        <v>97</v>
      </c>
      <c r="V320" s="279" t="s">
        <v>97</v>
      </c>
      <c r="W320" s="279" t="s">
        <v>97</v>
      </c>
      <c r="X320" s="279" t="s">
        <v>97</v>
      </c>
      <c r="Y320" s="279" t="s">
        <v>97</v>
      </c>
      <c r="Z320" s="279" t="s">
        <v>97</v>
      </c>
      <c r="AA320" s="279" t="s">
        <v>97</v>
      </c>
      <c r="AB320" s="279" t="s">
        <v>97</v>
      </c>
      <c r="AC320" s="279" t="s">
        <v>97</v>
      </c>
      <c r="AD320" s="279" t="s">
        <v>97</v>
      </c>
      <c r="AE320" s="34" t="s">
        <v>97</v>
      </c>
      <c r="AF320" s="299" t="s">
        <v>97</v>
      </c>
      <c r="AG320" s="34" t="s">
        <v>97</v>
      </c>
      <c r="AH320" s="34" t="s">
        <v>97</v>
      </c>
      <c r="AI320" s="304" t="s">
        <v>97</v>
      </c>
      <c r="AJ320" s="34" t="s">
        <v>97</v>
      </c>
      <c r="AK320" s="276"/>
      <c r="AL320" s="276"/>
      <c r="AM320" s="42"/>
      <c r="AN320" s="6"/>
    </row>
    <row r="321" spans="1:40" s="7" customFormat="1" ht="14.45" customHeight="1">
      <c r="A321" s="47"/>
      <c r="B321" s="37"/>
      <c r="C321" s="37"/>
      <c r="D321" s="37"/>
      <c r="E321" s="345" t="s">
        <v>97</v>
      </c>
      <c r="F321" s="34" t="s">
        <v>97</v>
      </c>
      <c r="G321" s="34" t="s">
        <v>97</v>
      </c>
      <c r="H321" s="34" t="s">
        <v>97</v>
      </c>
      <c r="I321" s="34" t="s">
        <v>97</v>
      </c>
      <c r="J321" s="34" t="s">
        <v>97</v>
      </c>
      <c r="K321" s="34" t="s">
        <v>97</v>
      </c>
      <c r="L321" s="34" t="s">
        <v>97</v>
      </c>
      <c r="M321" s="34" t="s">
        <v>97</v>
      </c>
      <c r="N321" s="34" t="s">
        <v>97</v>
      </c>
      <c r="O321" s="285" t="s">
        <v>409</v>
      </c>
      <c r="P321" s="34" t="s">
        <v>97</v>
      </c>
      <c r="Q321" s="34" t="s">
        <v>97</v>
      </c>
      <c r="R321" s="34" t="s">
        <v>97</v>
      </c>
      <c r="S321" s="34" t="s">
        <v>97</v>
      </c>
      <c r="T321" s="34" t="s">
        <v>97</v>
      </c>
      <c r="U321" s="34" t="s">
        <v>97</v>
      </c>
      <c r="V321" s="279" t="s">
        <v>97</v>
      </c>
      <c r="W321" s="279" t="s">
        <v>97</v>
      </c>
      <c r="X321" s="279" t="s">
        <v>97</v>
      </c>
      <c r="Y321" s="279" t="s">
        <v>97</v>
      </c>
      <c r="Z321" s="279" t="s">
        <v>97</v>
      </c>
      <c r="AA321" s="279" t="s">
        <v>97</v>
      </c>
      <c r="AB321" s="279" t="s">
        <v>97</v>
      </c>
      <c r="AC321" s="279" t="s">
        <v>97</v>
      </c>
      <c r="AD321" s="279" t="s">
        <v>97</v>
      </c>
      <c r="AE321" s="34" t="s">
        <v>97</v>
      </c>
      <c r="AF321" s="299" t="s">
        <v>97</v>
      </c>
      <c r="AG321" s="34" t="s">
        <v>97</v>
      </c>
      <c r="AH321" s="34" t="s">
        <v>97</v>
      </c>
      <c r="AI321" s="304" t="s">
        <v>97</v>
      </c>
      <c r="AJ321" s="34" t="s">
        <v>97</v>
      </c>
      <c r="AK321" s="276"/>
      <c r="AL321" s="276"/>
      <c r="AM321" s="42"/>
      <c r="AN321" s="6"/>
    </row>
    <row r="322" spans="1:40" s="7" customFormat="1" ht="14.45" customHeight="1">
      <c r="A322" s="47"/>
      <c r="B322" s="37"/>
      <c r="C322" s="37"/>
      <c r="D322" s="37"/>
      <c r="E322" s="345" t="s">
        <v>97</v>
      </c>
      <c r="F322" s="34" t="s">
        <v>97</v>
      </c>
      <c r="G322" s="34" t="s">
        <v>97</v>
      </c>
      <c r="H322" s="34" t="s">
        <v>97</v>
      </c>
      <c r="I322" s="34" t="s">
        <v>97</v>
      </c>
      <c r="J322" s="34" t="s">
        <v>97</v>
      </c>
      <c r="K322" s="34" t="s">
        <v>97</v>
      </c>
      <c r="L322" s="34" t="s">
        <v>97</v>
      </c>
      <c r="M322" s="34" t="s">
        <v>97</v>
      </c>
      <c r="N322" s="34" t="s">
        <v>97</v>
      </c>
      <c r="O322" s="285" t="s">
        <v>410</v>
      </c>
      <c r="P322" s="34" t="s">
        <v>97</v>
      </c>
      <c r="Q322" s="34" t="s">
        <v>97</v>
      </c>
      <c r="R322" s="34" t="s">
        <v>97</v>
      </c>
      <c r="S322" s="34" t="s">
        <v>97</v>
      </c>
      <c r="T322" s="34" t="s">
        <v>97</v>
      </c>
      <c r="U322" s="34" t="s">
        <v>97</v>
      </c>
      <c r="V322" s="279" t="s">
        <v>97</v>
      </c>
      <c r="W322" s="279" t="s">
        <v>97</v>
      </c>
      <c r="X322" s="279" t="s">
        <v>97</v>
      </c>
      <c r="Y322" s="279" t="s">
        <v>97</v>
      </c>
      <c r="Z322" s="279" t="s">
        <v>97</v>
      </c>
      <c r="AA322" s="279" t="s">
        <v>97</v>
      </c>
      <c r="AB322" s="279" t="s">
        <v>97</v>
      </c>
      <c r="AC322" s="279" t="s">
        <v>97</v>
      </c>
      <c r="AD322" s="279" t="s">
        <v>97</v>
      </c>
      <c r="AE322" s="34" t="s">
        <v>97</v>
      </c>
      <c r="AF322" s="299" t="s">
        <v>97</v>
      </c>
      <c r="AG322" s="34" t="s">
        <v>97</v>
      </c>
      <c r="AH322" s="34" t="s">
        <v>97</v>
      </c>
      <c r="AI322" s="304" t="s">
        <v>97</v>
      </c>
      <c r="AJ322" s="34" t="s">
        <v>97</v>
      </c>
      <c r="AK322" s="276"/>
      <c r="AL322" s="276"/>
      <c r="AM322" s="42"/>
      <c r="AN322" s="6"/>
    </row>
    <row r="323" spans="1:40" s="7" customFormat="1" ht="14.45" customHeight="1">
      <c r="A323" s="47"/>
      <c r="B323" s="37"/>
      <c r="C323" s="37"/>
      <c r="D323" s="37"/>
      <c r="E323" s="345" t="s">
        <v>97</v>
      </c>
      <c r="F323" s="34" t="s">
        <v>97</v>
      </c>
      <c r="G323" s="34" t="s">
        <v>97</v>
      </c>
      <c r="H323" s="34" t="s">
        <v>97</v>
      </c>
      <c r="I323" s="34" t="s">
        <v>97</v>
      </c>
      <c r="J323" s="34" t="s">
        <v>97</v>
      </c>
      <c r="K323" s="34" t="s">
        <v>97</v>
      </c>
      <c r="L323" s="34" t="s">
        <v>97</v>
      </c>
      <c r="M323" s="34" t="s">
        <v>97</v>
      </c>
      <c r="N323" s="34" t="s">
        <v>97</v>
      </c>
      <c r="O323" s="285" t="s">
        <v>240</v>
      </c>
      <c r="P323" s="34" t="s">
        <v>97</v>
      </c>
      <c r="Q323" s="34" t="s">
        <v>97</v>
      </c>
      <c r="R323" s="34" t="s">
        <v>97</v>
      </c>
      <c r="S323" s="34" t="s">
        <v>97</v>
      </c>
      <c r="T323" s="34" t="s">
        <v>97</v>
      </c>
      <c r="U323" s="34" t="s">
        <v>97</v>
      </c>
      <c r="V323" s="279" t="s">
        <v>97</v>
      </c>
      <c r="W323" s="279" t="s">
        <v>97</v>
      </c>
      <c r="X323" s="279" t="s">
        <v>97</v>
      </c>
      <c r="Y323" s="279" t="s">
        <v>97</v>
      </c>
      <c r="Z323" s="279" t="s">
        <v>97</v>
      </c>
      <c r="AA323" s="279" t="s">
        <v>97</v>
      </c>
      <c r="AB323" s="279" t="s">
        <v>97</v>
      </c>
      <c r="AC323" s="279" t="s">
        <v>97</v>
      </c>
      <c r="AD323" s="279" t="s">
        <v>97</v>
      </c>
      <c r="AE323" s="34" t="s">
        <v>97</v>
      </c>
      <c r="AF323" s="299" t="s">
        <v>97</v>
      </c>
      <c r="AG323" s="34" t="s">
        <v>97</v>
      </c>
      <c r="AH323" s="34" t="s">
        <v>97</v>
      </c>
      <c r="AI323" s="304" t="s">
        <v>97</v>
      </c>
      <c r="AJ323" s="34" t="s">
        <v>97</v>
      </c>
      <c r="AK323" s="276"/>
      <c r="AL323" s="276"/>
      <c r="AM323" s="42"/>
      <c r="AN323" s="6"/>
    </row>
    <row r="324" spans="1:40" s="7" customFormat="1" ht="14.45" customHeight="1">
      <c r="A324" s="47"/>
      <c r="B324" s="37"/>
      <c r="C324" s="37"/>
      <c r="D324" s="37"/>
      <c r="E324" s="345" t="s">
        <v>97</v>
      </c>
      <c r="F324" s="34" t="s">
        <v>97</v>
      </c>
      <c r="G324" s="34" t="s">
        <v>97</v>
      </c>
      <c r="H324" s="34" t="s">
        <v>97</v>
      </c>
      <c r="I324" s="34" t="s">
        <v>97</v>
      </c>
      <c r="J324" s="34" t="s">
        <v>97</v>
      </c>
      <c r="K324" s="34" t="s">
        <v>97</v>
      </c>
      <c r="L324" s="34" t="s">
        <v>97</v>
      </c>
      <c r="M324" s="34" t="s">
        <v>97</v>
      </c>
      <c r="N324" s="34" t="s">
        <v>97</v>
      </c>
      <c r="O324" s="285" t="s">
        <v>411</v>
      </c>
      <c r="P324" s="34" t="s">
        <v>97</v>
      </c>
      <c r="Q324" s="34" t="s">
        <v>97</v>
      </c>
      <c r="R324" s="34" t="s">
        <v>97</v>
      </c>
      <c r="S324" s="34" t="s">
        <v>97</v>
      </c>
      <c r="T324" s="34" t="s">
        <v>97</v>
      </c>
      <c r="U324" s="34" t="s">
        <v>97</v>
      </c>
      <c r="V324" s="279" t="s">
        <v>97</v>
      </c>
      <c r="W324" s="279" t="s">
        <v>97</v>
      </c>
      <c r="X324" s="279" t="s">
        <v>97</v>
      </c>
      <c r="Y324" s="279" t="s">
        <v>97</v>
      </c>
      <c r="Z324" s="279" t="s">
        <v>97</v>
      </c>
      <c r="AA324" s="279" t="s">
        <v>97</v>
      </c>
      <c r="AB324" s="279" t="s">
        <v>97</v>
      </c>
      <c r="AC324" s="279" t="s">
        <v>97</v>
      </c>
      <c r="AD324" s="279" t="s">
        <v>97</v>
      </c>
      <c r="AE324" s="34" t="s">
        <v>97</v>
      </c>
      <c r="AF324" s="299" t="s">
        <v>97</v>
      </c>
      <c r="AG324" s="34" t="s">
        <v>97</v>
      </c>
      <c r="AH324" s="34" t="s">
        <v>97</v>
      </c>
      <c r="AI324" s="304" t="s">
        <v>97</v>
      </c>
      <c r="AJ324" s="34" t="s">
        <v>97</v>
      </c>
      <c r="AK324" s="276"/>
      <c r="AL324" s="276"/>
      <c r="AM324" s="42"/>
      <c r="AN324" s="6"/>
    </row>
    <row r="325" spans="1:40" s="7" customFormat="1" ht="14.45" customHeight="1">
      <c r="A325" s="47"/>
      <c r="B325" s="37"/>
      <c r="C325" s="37"/>
      <c r="D325" s="37"/>
      <c r="E325" s="345" t="s">
        <v>97</v>
      </c>
      <c r="F325" s="34" t="s">
        <v>97</v>
      </c>
      <c r="G325" s="34" t="s">
        <v>97</v>
      </c>
      <c r="H325" s="34" t="s">
        <v>97</v>
      </c>
      <c r="I325" s="34" t="s">
        <v>97</v>
      </c>
      <c r="J325" s="34" t="s">
        <v>97</v>
      </c>
      <c r="K325" s="34" t="s">
        <v>97</v>
      </c>
      <c r="L325" s="34" t="s">
        <v>97</v>
      </c>
      <c r="M325" s="34" t="s">
        <v>97</v>
      </c>
      <c r="N325" s="34" t="s">
        <v>97</v>
      </c>
      <c r="O325" s="285" t="s">
        <v>412</v>
      </c>
      <c r="P325" s="34" t="s">
        <v>97</v>
      </c>
      <c r="Q325" s="34" t="s">
        <v>97</v>
      </c>
      <c r="R325" s="34" t="s">
        <v>97</v>
      </c>
      <c r="S325" s="34" t="s">
        <v>97</v>
      </c>
      <c r="T325" s="34" t="s">
        <v>97</v>
      </c>
      <c r="U325" s="34" t="s">
        <v>97</v>
      </c>
      <c r="V325" s="279" t="s">
        <v>97</v>
      </c>
      <c r="W325" s="279" t="s">
        <v>97</v>
      </c>
      <c r="X325" s="279" t="s">
        <v>97</v>
      </c>
      <c r="Y325" s="279" t="s">
        <v>97</v>
      </c>
      <c r="Z325" s="279" t="s">
        <v>97</v>
      </c>
      <c r="AA325" s="279" t="s">
        <v>97</v>
      </c>
      <c r="AB325" s="279" t="s">
        <v>97</v>
      </c>
      <c r="AC325" s="279" t="s">
        <v>97</v>
      </c>
      <c r="AD325" s="279" t="s">
        <v>97</v>
      </c>
      <c r="AE325" s="34" t="s">
        <v>97</v>
      </c>
      <c r="AF325" s="299" t="s">
        <v>97</v>
      </c>
      <c r="AG325" s="34" t="s">
        <v>97</v>
      </c>
      <c r="AH325" s="34" t="s">
        <v>97</v>
      </c>
      <c r="AI325" s="304" t="s">
        <v>97</v>
      </c>
      <c r="AJ325" s="34" t="s">
        <v>97</v>
      </c>
      <c r="AK325" s="276"/>
      <c r="AL325" s="276"/>
      <c r="AM325" s="42"/>
      <c r="AN325" s="6"/>
    </row>
    <row r="326" spans="1:40" s="7" customFormat="1" ht="14.45" customHeight="1">
      <c r="A326" s="47"/>
      <c r="B326" s="37"/>
      <c r="C326" s="37"/>
      <c r="D326" s="37"/>
      <c r="E326" s="345" t="s">
        <v>97</v>
      </c>
      <c r="F326" s="34" t="s">
        <v>97</v>
      </c>
      <c r="G326" s="34" t="s">
        <v>97</v>
      </c>
      <c r="H326" s="34" t="s">
        <v>97</v>
      </c>
      <c r="I326" s="34" t="s">
        <v>97</v>
      </c>
      <c r="J326" s="34" t="s">
        <v>97</v>
      </c>
      <c r="K326" s="34" t="s">
        <v>97</v>
      </c>
      <c r="L326" s="34" t="s">
        <v>97</v>
      </c>
      <c r="M326" s="34" t="s">
        <v>97</v>
      </c>
      <c r="N326" s="34" t="s">
        <v>97</v>
      </c>
      <c r="O326" s="285" t="s">
        <v>413</v>
      </c>
      <c r="P326" s="34" t="s">
        <v>97</v>
      </c>
      <c r="Q326" s="34" t="s">
        <v>97</v>
      </c>
      <c r="R326" s="34" t="s">
        <v>97</v>
      </c>
      <c r="S326" s="34" t="s">
        <v>97</v>
      </c>
      <c r="T326" s="34" t="s">
        <v>97</v>
      </c>
      <c r="U326" s="34" t="s">
        <v>97</v>
      </c>
      <c r="V326" s="279" t="s">
        <v>97</v>
      </c>
      <c r="W326" s="279" t="s">
        <v>97</v>
      </c>
      <c r="X326" s="279" t="s">
        <v>97</v>
      </c>
      <c r="Y326" s="279" t="s">
        <v>97</v>
      </c>
      <c r="Z326" s="279" t="s">
        <v>97</v>
      </c>
      <c r="AA326" s="279" t="s">
        <v>97</v>
      </c>
      <c r="AB326" s="279" t="s">
        <v>97</v>
      </c>
      <c r="AC326" s="279" t="s">
        <v>97</v>
      </c>
      <c r="AD326" s="279" t="s">
        <v>97</v>
      </c>
      <c r="AE326" s="34" t="s">
        <v>97</v>
      </c>
      <c r="AF326" s="299" t="s">
        <v>97</v>
      </c>
      <c r="AG326" s="34" t="s">
        <v>97</v>
      </c>
      <c r="AH326" s="34" t="s">
        <v>97</v>
      </c>
      <c r="AI326" s="304" t="s">
        <v>97</v>
      </c>
      <c r="AJ326" s="34" t="s">
        <v>97</v>
      </c>
      <c r="AK326" s="276"/>
      <c r="AL326" s="276"/>
      <c r="AM326" s="42"/>
      <c r="AN326" s="6"/>
    </row>
    <row r="327" spans="1:40" s="7" customFormat="1" ht="14.45" customHeight="1">
      <c r="A327" s="47"/>
      <c r="B327" s="37"/>
      <c r="C327" s="37"/>
      <c r="D327" s="37"/>
      <c r="E327" s="345" t="s">
        <v>97</v>
      </c>
      <c r="F327" s="34" t="s">
        <v>97</v>
      </c>
      <c r="G327" s="34" t="s">
        <v>97</v>
      </c>
      <c r="H327" s="34" t="s">
        <v>97</v>
      </c>
      <c r="I327" s="34" t="s">
        <v>97</v>
      </c>
      <c r="J327" s="34" t="s">
        <v>97</v>
      </c>
      <c r="K327" s="34" t="s">
        <v>97</v>
      </c>
      <c r="L327" s="34" t="s">
        <v>97</v>
      </c>
      <c r="M327" s="34" t="s">
        <v>97</v>
      </c>
      <c r="N327" s="34" t="s">
        <v>97</v>
      </c>
      <c r="O327" s="285" t="s">
        <v>414</v>
      </c>
      <c r="P327" s="34" t="s">
        <v>97</v>
      </c>
      <c r="Q327" s="34" t="s">
        <v>97</v>
      </c>
      <c r="R327" s="34" t="s">
        <v>97</v>
      </c>
      <c r="S327" s="34" t="s">
        <v>97</v>
      </c>
      <c r="T327" s="34" t="s">
        <v>97</v>
      </c>
      <c r="U327" s="34" t="s">
        <v>97</v>
      </c>
      <c r="V327" s="279" t="s">
        <v>97</v>
      </c>
      <c r="W327" s="279" t="s">
        <v>97</v>
      </c>
      <c r="X327" s="279" t="s">
        <v>97</v>
      </c>
      <c r="Y327" s="279" t="s">
        <v>97</v>
      </c>
      <c r="Z327" s="279" t="s">
        <v>97</v>
      </c>
      <c r="AA327" s="279" t="s">
        <v>97</v>
      </c>
      <c r="AB327" s="279" t="s">
        <v>97</v>
      </c>
      <c r="AC327" s="279" t="s">
        <v>97</v>
      </c>
      <c r="AD327" s="279" t="s">
        <v>97</v>
      </c>
      <c r="AE327" s="34" t="s">
        <v>97</v>
      </c>
      <c r="AF327" s="299" t="s">
        <v>97</v>
      </c>
      <c r="AG327" s="34" t="s">
        <v>97</v>
      </c>
      <c r="AH327" s="34" t="s">
        <v>97</v>
      </c>
      <c r="AI327" s="304" t="s">
        <v>97</v>
      </c>
      <c r="AJ327" s="34" t="s">
        <v>97</v>
      </c>
      <c r="AK327" s="276"/>
      <c r="AL327" s="276"/>
      <c r="AM327" s="42"/>
      <c r="AN327" s="6"/>
    </row>
    <row r="328" spans="1:40" s="7" customFormat="1" ht="14.45" customHeight="1">
      <c r="A328" s="47"/>
      <c r="B328" s="37"/>
      <c r="C328" s="37"/>
      <c r="D328" s="37"/>
      <c r="E328" s="345" t="s">
        <v>97</v>
      </c>
      <c r="F328" s="34" t="s">
        <v>97</v>
      </c>
      <c r="G328" s="34" t="s">
        <v>97</v>
      </c>
      <c r="H328" s="34" t="s">
        <v>97</v>
      </c>
      <c r="I328" s="34" t="s">
        <v>97</v>
      </c>
      <c r="J328" s="34" t="s">
        <v>97</v>
      </c>
      <c r="K328" s="34" t="s">
        <v>97</v>
      </c>
      <c r="L328" s="34" t="s">
        <v>97</v>
      </c>
      <c r="M328" s="34" t="s">
        <v>97</v>
      </c>
      <c r="N328" s="34" t="s">
        <v>97</v>
      </c>
      <c r="O328" s="285" t="s">
        <v>415</v>
      </c>
      <c r="P328" s="34" t="s">
        <v>97</v>
      </c>
      <c r="Q328" s="34" t="s">
        <v>97</v>
      </c>
      <c r="R328" s="34" t="s">
        <v>97</v>
      </c>
      <c r="S328" s="34" t="s">
        <v>97</v>
      </c>
      <c r="T328" s="34" t="s">
        <v>97</v>
      </c>
      <c r="U328" s="34" t="s">
        <v>97</v>
      </c>
      <c r="V328" s="279" t="s">
        <v>97</v>
      </c>
      <c r="W328" s="279" t="s">
        <v>97</v>
      </c>
      <c r="X328" s="279" t="s">
        <v>97</v>
      </c>
      <c r="Y328" s="279" t="s">
        <v>97</v>
      </c>
      <c r="Z328" s="279" t="s">
        <v>97</v>
      </c>
      <c r="AA328" s="279" t="s">
        <v>97</v>
      </c>
      <c r="AB328" s="279" t="s">
        <v>97</v>
      </c>
      <c r="AC328" s="279" t="s">
        <v>97</v>
      </c>
      <c r="AD328" s="279" t="s">
        <v>97</v>
      </c>
      <c r="AE328" s="34" t="s">
        <v>97</v>
      </c>
      <c r="AF328" s="299" t="s">
        <v>97</v>
      </c>
      <c r="AG328" s="34" t="s">
        <v>97</v>
      </c>
      <c r="AH328" s="34" t="s">
        <v>97</v>
      </c>
      <c r="AI328" s="304" t="s">
        <v>97</v>
      </c>
      <c r="AJ328" s="34" t="s">
        <v>97</v>
      </c>
      <c r="AK328" s="276"/>
      <c r="AL328" s="276"/>
      <c r="AM328" s="42"/>
      <c r="AN328" s="6"/>
    </row>
    <row r="329" spans="1:40" s="7" customFormat="1" ht="14.45" customHeight="1">
      <c r="A329" s="47"/>
      <c r="B329" s="37"/>
      <c r="C329" s="37"/>
      <c r="D329" s="37"/>
      <c r="E329" s="345" t="s">
        <v>97</v>
      </c>
      <c r="F329" s="34" t="s">
        <v>97</v>
      </c>
      <c r="G329" s="34" t="s">
        <v>97</v>
      </c>
      <c r="H329" s="34" t="s">
        <v>97</v>
      </c>
      <c r="I329" s="34" t="s">
        <v>97</v>
      </c>
      <c r="J329" s="34" t="s">
        <v>97</v>
      </c>
      <c r="K329" s="34" t="s">
        <v>97</v>
      </c>
      <c r="L329" s="34" t="s">
        <v>97</v>
      </c>
      <c r="M329" s="34" t="s">
        <v>97</v>
      </c>
      <c r="N329" s="34" t="s">
        <v>97</v>
      </c>
      <c r="O329" s="285" t="s">
        <v>416</v>
      </c>
      <c r="P329" s="34" t="s">
        <v>97</v>
      </c>
      <c r="Q329" s="34" t="s">
        <v>97</v>
      </c>
      <c r="R329" s="34" t="s">
        <v>97</v>
      </c>
      <c r="S329" s="34" t="s">
        <v>97</v>
      </c>
      <c r="T329" s="34" t="s">
        <v>97</v>
      </c>
      <c r="U329" s="34" t="s">
        <v>97</v>
      </c>
      <c r="V329" s="279" t="s">
        <v>97</v>
      </c>
      <c r="W329" s="279" t="s">
        <v>97</v>
      </c>
      <c r="X329" s="279" t="s">
        <v>97</v>
      </c>
      <c r="Y329" s="279" t="s">
        <v>97</v>
      </c>
      <c r="Z329" s="279" t="s">
        <v>97</v>
      </c>
      <c r="AA329" s="279" t="s">
        <v>97</v>
      </c>
      <c r="AB329" s="279" t="s">
        <v>97</v>
      </c>
      <c r="AC329" s="279" t="s">
        <v>97</v>
      </c>
      <c r="AD329" s="279" t="s">
        <v>97</v>
      </c>
      <c r="AE329" s="34" t="s">
        <v>97</v>
      </c>
      <c r="AF329" s="299" t="s">
        <v>97</v>
      </c>
      <c r="AG329" s="34" t="s">
        <v>97</v>
      </c>
      <c r="AH329" s="34" t="s">
        <v>97</v>
      </c>
      <c r="AI329" s="304" t="s">
        <v>97</v>
      </c>
      <c r="AJ329" s="34" t="s">
        <v>97</v>
      </c>
      <c r="AK329" s="276"/>
      <c r="AL329" s="276"/>
      <c r="AM329" s="42"/>
      <c r="AN329" s="6"/>
    </row>
    <row r="330" spans="1:40" s="7" customFormat="1" ht="14.45" customHeight="1">
      <c r="A330" s="47"/>
      <c r="B330" s="37"/>
      <c r="C330" s="37"/>
      <c r="D330" s="37"/>
      <c r="E330" s="345" t="s">
        <v>97</v>
      </c>
      <c r="F330" s="34" t="s">
        <v>97</v>
      </c>
      <c r="G330" s="34" t="s">
        <v>97</v>
      </c>
      <c r="H330" s="34" t="s">
        <v>97</v>
      </c>
      <c r="I330" s="34" t="s">
        <v>97</v>
      </c>
      <c r="J330" s="34" t="s">
        <v>97</v>
      </c>
      <c r="K330" s="34" t="s">
        <v>97</v>
      </c>
      <c r="L330" s="34" t="s">
        <v>97</v>
      </c>
      <c r="M330" s="34" t="s">
        <v>97</v>
      </c>
      <c r="N330" s="34" t="s">
        <v>97</v>
      </c>
      <c r="O330" s="285" t="s">
        <v>417</v>
      </c>
      <c r="P330" s="34" t="s">
        <v>97</v>
      </c>
      <c r="Q330" s="34" t="s">
        <v>97</v>
      </c>
      <c r="R330" s="34" t="s">
        <v>97</v>
      </c>
      <c r="S330" s="34" t="s">
        <v>97</v>
      </c>
      <c r="T330" s="34" t="s">
        <v>97</v>
      </c>
      <c r="U330" s="34" t="s">
        <v>97</v>
      </c>
      <c r="V330" s="279" t="s">
        <v>97</v>
      </c>
      <c r="W330" s="279" t="s">
        <v>97</v>
      </c>
      <c r="X330" s="279" t="s">
        <v>97</v>
      </c>
      <c r="Y330" s="279" t="s">
        <v>97</v>
      </c>
      <c r="Z330" s="279" t="s">
        <v>97</v>
      </c>
      <c r="AA330" s="279" t="s">
        <v>97</v>
      </c>
      <c r="AB330" s="279" t="s">
        <v>97</v>
      </c>
      <c r="AC330" s="279" t="s">
        <v>97</v>
      </c>
      <c r="AD330" s="279" t="s">
        <v>97</v>
      </c>
      <c r="AE330" s="34" t="s">
        <v>97</v>
      </c>
      <c r="AF330" s="299" t="s">
        <v>97</v>
      </c>
      <c r="AG330" s="34" t="s">
        <v>97</v>
      </c>
      <c r="AH330" s="34" t="s">
        <v>97</v>
      </c>
      <c r="AI330" s="304" t="s">
        <v>97</v>
      </c>
      <c r="AJ330" s="34" t="s">
        <v>97</v>
      </c>
      <c r="AK330" s="276"/>
      <c r="AL330" s="276"/>
      <c r="AM330" s="42"/>
      <c r="AN330" s="6"/>
    </row>
    <row r="331" spans="1:40" s="7" customFormat="1" ht="14.45" customHeight="1">
      <c r="A331" s="47"/>
      <c r="B331" s="37"/>
      <c r="C331" s="37"/>
      <c r="D331" s="37"/>
      <c r="E331" s="345" t="s">
        <v>97</v>
      </c>
      <c r="F331" s="34" t="s">
        <v>97</v>
      </c>
      <c r="G331" s="34" t="s">
        <v>97</v>
      </c>
      <c r="H331" s="34" t="s">
        <v>97</v>
      </c>
      <c r="I331" s="34" t="s">
        <v>97</v>
      </c>
      <c r="J331" s="34" t="s">
        <v>97</v>
      </c>
      <c r="K331" s="34" t="s">
        <v>97</v>
      </c>
      <c r="L331" s="34" t="s">
        <v>97</v>
      </c>
      <c r="M331" s="34" t="s">
        <v>97</v>
      </c>
      <c r="N331" s="34" t="s">
        <v>97</v>
      </c>
      <c r="O331" s="285" t="s">
        <v>418</v>
      </c>
      <c r="P331" s="34" t="s">
        <v>97</v>
      </c>
      <c r="Q331" s="34" t="s">
        <v>97</v>
      </c>
      <c r="R331" s="34" t="s">
        <v>97</v>
      </c>
      <c r="S331" s="34" t="s">
        <v>97</v>
      </c>
      <c r="T331" s="34" t="s">
        <v>97</v>
      </c>
      <c r="U331" s="34" t="s">
        <v>97</v>
      </c>
      <c r="V331" s="279" t="s">
        <v>97</v>
      </c>
      <c r="W331" s="279" t="s">
        <v>97</v>
      </c>
      <c r="X331" s="279" t="s">
        <v>97</v>
      </c>
      <c r="Y331" s="279" t="s">
        <v>97</v>
      </c>
      <c r="Z331" s="279" t="s">
        <v>97</v>
      </c>
      <c r="AA331" s="279" t="s">
        <v>97</v>
      </c>
      <c r="AB331" s="279" t="s">
        <v>97</v>
      </c>
      <c r="AC331" s="279" t="s">
        <v>97</v>
      </c>
      <c r="AD331" s="279" t="s">
        <v>97</v>
      </c>
      <c r="AE331" s="34" t="s">
        <v>97</v>
      </c>
      <c r="AF331" s="299" t="s">
        <v>97</v>
      </c>
      <c r="AG331" s="34" t="s">
        <v>97</v>
      </c>
      <c r="AH331" s="34" t="s">
        <v>97</v>
      </c>
      <c r="AI331" s="304" t="s">
        <v>97</v>
      </c>
      <c r="AJ331" s="34" t="s">
        <v>97</v>
      </c>
      <c r="AK331" s="276"/>
      <c r="AL331" s="276"/>
      <c r="AM331" s="42"/>
      <c r="AN331" s="6"/>
    </row>
    <row r="332" spans="1:40" s="7" customFormat="1">
      <c r="A332" s="1"/>
      <c r="B332" s="1"/>
      <c r="C332" s="1"/>
      <c r="D332" s="1"/>
      <c r="E332" s="36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276"/>
      <c r="AM332" s="42"/>
      <c r="AN332" s="6"/>
    </row>
    <row r="333" spans="1:40" s="7" customFormat="1">
      <c r="A333" s="107" t="s">
        <v>492</v>
      </c>
      <c r="B333" s="72"/>
      <c r="C333" s="72"/>
      <c r="D333" s="72"/>
      <c r="E333" s="310" t="s">
        <v>4</v>
      </c>
      <c r="F333" s="166" t="s">
        <v>5</v>
      </c>
      <c r="G333" s="166" t="s">
        <v>6</v>
      </c>
      <c r="H333" s="166" t="s">
        <v>15</v>
      </c>
      <c r="I333" s="166" t="s">
        <v>7</v>
      </c>
      <c r="J333" s="166" t="s">
        <v>8</v>
      </c>
      <c r="K333" s="166" t="s">
        <v>9</v>
      </c>
      <c r="L333" s="166" t="s">
        <v>10</v>
      </c>
      <c r="M333" s="166" t="s">
        <v>2</v>
      </c>
      <c r="N333" s="166" t="s">
        <v>12</v>
      </c>
      <c r="O333" s="166" t="s">
        <v>30</v>
      </c>
      <c r="P333" s="166" t="s">
        <v>13</v>
      </c>
      <c r="Q333" s="166" t="s">
        <v>14</v>
      </c>
      <c r="R333" s="166" t="s">
        <v>45</v>
      </c>
      <c r="S333" s="166" t="s">
        <v>16</v>
      </c>
      <c r="T333" s="166" t="s">
        <v>17</v>
      </c>
      <c r="U333" s="166" t="s">
        <v>20</v>
      </c>
      <c r="V333" s="166" t="s">
        <v>154</v>
      </c>
      <c r="W333" s="166" t="s">
        <v>18</v>
      </c>
      <c r="X333" s="166" t="s">
        <v>19</v>
      </c>
      <c r="Y333" s="166" t="s">
        <v>21</v>
      </c>
      <c r="Z333" s="166" t="s">
        <v>22</v>
      </c>
      <c r="AA333" s="166" t="s">
        <v>29</v>
      </c>
      <c r="AB333" s="166" t="s">
        <v>23</v>
      </c>
      <c r="AC333" s="166" t="s">
        <v>24</v>
      </c>
      <c r="AD333" s="166" t="s">
        <v>25</v>
      </c>
      <c r="AE333" s="166" t="s">
        <v>28</v>
      </c>
      <c r="AF333" s="166" t="s">
        <v>27</v>
      </c>
      <c r="AG333" s="166" t="s">
        <v>11</v>
      </c>
      <c r="AH333" s="166" t="s">
        <v>26</v>
      </c>
      <c r="AI333" s="166" t="s">
        <v>46</v>
      </c>
      <c r="AJ333" s="166" t="s">
        <v>31</v>
      </c>
      <c r="AK333" s="276"/>
      <c r="AL333" s="276"/>
      <c r="AM333" s="42"/>
      <c r="AN333" s="6"/>
    </row>
    <row r="334" spans="1:40" s="7" customFormat="1">
      <c r="A334" s="36" t="s">
        <v>252</v>
      </c>
      <c r="B334" s="37"/>
      <c r="C334" s="212" t="s">
        <v>420</v>
      </c>
      <c r="D334" s="37"/>
      <c r="E334" s="317">
        <f>E35/E245*1000/2</f>
        <v>199.77650816800761</v>
      </c>
      <c r="F334" s="172">
        <f>F35/F245*1000/2</f>
        <v>38.789909401841818</v>
      </c>
      <c r="G334" s="172">
        <f>G35/G245*1000/2</f>
        <v>30.138888888888889</v>
      </c>
      <c r="H334" s="278">
        <f>H35/H245*1000</f>
        <v>32.009166666666673</v>
      </c>
      <c r="I334" s="278">
        <v>0</v>
      </c>
      <c r="J334" s="172">
        <f>J35/J245*1000/2</f>
        <v>298.18888888888887</v>
      </c>
      <c r="K334" s="172">
        <f>K35/K245*1000/2</f>
        <v>9.7777777777777768</v>
      </c>
      <c r="L334" s="278">
        <f>L35/L245*1000</f>
        <v>7.6075666666666706</v>
      </c>
      <c r="M334" s="172">
        <f>M35/M245*1000/2</f>
        <v>18.186702717692739</v>
      </c>
      <c r="N334" s="172">
        <f>N35/N245*1000/2</f>
        <v>299.98370529026829</v>
      </c>
      <c r="O334" s="172">
        <f>O35/O245*1000/2</f>
        <v>488.88888888888891</v>
      </c>
      <c r="P334" s="172">
        <f>P35/P245*1000/2</f>
        <v>46.904116125829823</v>
      </c>
      <c r="Q334" s="172">
        <f>Q35/Q245*1000/2</f>
        <v>75.213888888888889</v>
      </c>
      <c r="R334" s="278">
        <v>0</v>
      </c>
      <c r="S334" s="278">
        <v>4.3207589999999998</v>
      </c>
      <c r="T334" s="172">
        <f>T35/T245*1000/2</f>
        <v>190.69444444444446</v>
      </c>
      <c r="U334" s="278">
        <f>U35/U245*1000</f>
        <v>7.0413333333333341</v>
      </c>
      <c r="V334" s="278">
        <f>V35/V245*1000</f>
        <v>0</v>
      </c>
      <c r="W334" s="278">
        <v>0</v>
      </c>
      <c r="X334" s="278">
        <f>X35/X245*1000</f>
        <v>10.666666666666666</v>
      </c>
      <c r="Y334" s="278">
        <v>0</v>
      </c>
      <c r="Z334" s="172">
        <f>Z35/Z245*1000/2</f>
        <v>28.916666666666664</v>
      </c>
      <c r="AA334" s="172">
        <f>AA35/AA245*1000/2</f>
        <v>27.666666666666664</v>
      </c>
      <c r="AB334" s="172">
        <f>AB35/AB245*1000/2</f>
        <v>120.89652042027235</v>
      </c>
      <c r="AC334" s="172">
        <f>AC35/AC245*1000/2</f>
        <v>32.666666666666664</v>
      </c>
      <c r="AD334" s="172">
        <f>AD35/AD245*1000/2</f>
        <v>241.80121049111105</v>
      </c>
      <c r="AE334" s="278">
        <f>AE35/AE245*1000</f>
        <v>15.597166666666668</v>
      </c>
      <c r="AF334" s="278">
        <v>0</v>
      </c>
      <c r="AG334" s="172">
        <f>AG35/AG245*1000/2</f>
        <v>242.4722222222222</v>
      </c>
      <c r="AH334" s="172">
        <f>AH35/AH245*1000/2</f>
        <v>76.027777777777771</v>
      </c>
      <c r="AI334" s="172">
        <f>AI35/AI245*1000/2</f>
        <v>32.638888888888893</v>
      </c>
      <c r="AJ334" s="278">
        <v>32.6</v>
      </c>
      <c r="AK334" s="48" t="s">
        <v>255</v>
      </c>
      <c r="AL334" s="276"/>
      <c r="AM334" s="42"/>
      <c r="AN334" s="6"/>
    </row>
    <row r="335" spans="1:40" s="7" customFormat="1">
      <c r="A335" s="47"/>
      <c r="B335" s="1"/>
      <c r="C335" s="212"/>
      <c r="D335" s="371" t="s">
        <v>254</v>
      </c>
      <c r="E335" s="345"/>
      <c r="F335" s="34"/>
      <c r="G335" s="279"/>
      <c r="H335" s="279"/>
      <c r="I335" s="279"/>
      <c r="J335" s="279"/>
      <c r="K335" s="279"/>
      <c r="L335" s="279"/>
      <c r="M335" s="279"/>
      <c r="N335" s="34"/>
      <c r="O335" s="279"/>
      <c r="P335" s="279"/>
      <c r="Q335" s="279"/>
      <c r="R335" s="279"/>
      <c r="S335" s="299" t="s">
        <v>522</v>
      </c>
      <c r="T335" s="34"/>
      <c r="U335" s="279"/>
      <c r="V335" s="279"/>
      <c r="W335" s="279"/>
      <c r="X335" s="279"/>
      <c r="Y335" s="279"/>
      <c r="Z335" s="279"/>
      <c r="AA335" s="279"/>
      <c r="AB335" s="279"/>
      <c r="AC335" s="279"/>
      <c r="AD335" s="279"/>
      <c r="AE335" s="279"/>
      <c r="AF335" s="279"/>
      <c r="AG335" s="279"/>
      <c r="AH335" s="279"/>
      <c r="AI335" s="279"/>
      <c r="AJ335" s="279"/>
      <c r="AK335" s="276"/>
      <c r="AL335" s="276"/>
      <c r="AM335" s="42"/>
      <c r="AN335" s="6"/>
    </row>
    <row r="336" spans="1:40" s="7" customFormat="1">
      <c r="A336" s="2"/>
      <c r="B336" s="2"/>
      <c r="C336" s="2"/>
      <c r="D336" s="380" t="s">
        <v>1</v>
      </c>
      <c r="E336" s="283" t="s">
        <v>253</v>
      </c>
      <c r="F336" s="37"/>
      <c r="G336" s="279"/>
      <c r="H336" s="279"/>
      <c r="I336" s="279"/>
      <c r="J336" s="279"/>
      <c r="K336" s="279"/>
      <c r="L336" s="279"/>
      <c r="M336" s="279"/>
      <c r="N336" s="34"/>
      <c r="O336" s="279"/>
      <c r="P336" s="279"/>
      <c r="Q336" s="279"/>
      <c r="R336" s="279"/>
      <c r="S336" s="279" t="s">
        <v>631</v>
      </c>
      <c r="T336" s="34"/>
      <c r="U336" s="279"/>
      <c r="V336" s="279"/>
      <c r="W336" s="279"/>
      <c r="X336" s="279"/>
      <c r="Y336" s="279"/>
      <c r="Z336" s="279"/>
      <c r="AA336" s="279"/>
      <c r="AB336" s="279"/>
      <c r="AC336" s="279"/>
      <c r="AD336" s="279"/>
      <c r="AE336" s="279"/>
      <c r="AF336" s="279"/>
      <c r="AG336" s="279"/>
      <c r="AH336" s="279"/>
      <c r="AI336" s="279"/>
      <c r="AJ336" s="279"/>
      <c r="AK336" s="276"/>
      <c r="AL336" s="276"/>
      <c r="AM336" s="42"/>
      <c r="AN336" s="6"/>
    </row>
    <row r="337" spans="1:40" s="7" customFormat="1">
      <c r="A337" s="47"/>
      <c r="B337" s="283"/>
      <c r="C337" s="37"/>
      <c r="D337" s="37"/>
      <c r="E337" s="345"/>
      <c r="F337" s="34"/>
      <c r="G337" s="279"/>
      <c r="H337" s="279"/>
      <c r="I337" s="279"/>
      <c r="J337" s="279"/>
      <c r="K337" s="279"/>
      <c r="L337" s="279"/>
      <c r="M337" s="279"/>
      <c r="N337" s="34"/>
      <c r="O337" s="279"/>
      <c r="P337" s="279"/>
      <c r="Q337" s="279"/>
      <c r="R337" s="279"/>
      <c r="S337" s="754" t="s">
        <v>630</v>
      </c>
      <c r="T337" s="34"/>
      <c r="U337" s="279"/>
      <c r="V337" s="279"/>
      <c r="W337" s="279"/>
      <c r="X337" s="279"/>
      <c r="Y337" s="279"/>
      <c r="Z337" s="279"/>
      <c r="AA337" s="279"/>
      <c r="AB337" s="279"/>
      <c r="AC337" s="279"/>
      <c r="AD337" s="279"/>
      <c r="AE337" s="279"/>
      <c r="AF337" s="279"/>
      <c r="AG337" s="279"/>
      <c r="AH337" s="279"/>
      <c r="AI337" s="279"/>
      <c r="AJ337" s="279"/>
      <c r="AK337" s="284"/>
      <c r="AL337" s="284"/>
      <c r="AM337" s="42"/>
      <c r="AN337" s="6"/>
    </row>
    <row r="338" spans="1:40" s="7" customFormat="1">
      <c r="A338" s="107" t="s">
        <v>493</v>
      </c>
      <c r="B338" s="72"/>
      <c r="C338" s="72"/>
      <c r="D338" s="72"/>
      <c r="E338" s="310" t="s">
        <v>4</v>
      </c>
      <c r="F338" s="166" t="s">
        <v>5</v>
      </c>
      <c r="G338" s="166" t="s">
        <v>6</v>
      </c>
      <c r="H338" s="166" t="s">
        <v>15</v>
      </c>
      <c r="I338" s="166" t="s">
        <v>7</v>
      </c>
      <c r="J338" s="166" t="s">
        <v>8</v>
      </c>
      <c r="K338" s="166" t="s">
        <v>9</v>
      </c>
      <c r="L338" s="166" t="s">
        <v>10</v>
      </c>
      <c r="M338" s="166" t="s">
        <v>2</v>
      </c>
      <c r="N338" s="166" t="s">
        <v>12</v>
      </c>
      <c r="O338" s="166" t="s">
        <v>30</v>
      </c>
      <c r="P338" s="166" t="s">
        <v>13</v>
      </c>
      <c r="Q338" s="166" t="s">
        <v>14</v>
      </c>
      <c r="R338" s="166" t="s">
        <v>45</v>
      </c>
      <c r="S338" s="166" t="s">
        <v>16</v>
      </c>
      <c r="T338" s="166" t="s">
        <v>17</v>
      </c>
      <c r="U338" s="166" t="s">
        <v>20</v>
      </c>
      <c r="V338" s="166" t="s">
        <v>154</v>
      </c>
      <c r="W338" s="166" t="s">
        <v>18</v>
      </c>
      <c r="X338" s="166" t="s">
        <v>19</v>
      </c>
      <c r="Y338" s="166" t="s">
        <v>21</v>
      </c>
      <c r="Z338" s="166" t="s">
        <v>22</v>
      </c>
      <c r="AA338" s="166" t="s">
        <v>29</v>
      </c>
      <c r="AB338" s="166" t="s">
        <v>23</v>
      </c>
      <c r="AC338" s="166" t="s">
        <v>24</v>
      </c>
      <c r="AD338" s="166" t="s">
        <v>25</v>
      </c>
      <c r="AE338" s="166" t="s">
        <v>28</v>
      </c>
      <c r="AF338" s="166" t="s">
        <v>27</v>
      </c>
      <c r="AG338" s="166" t="s">
        <v>11</v>
      </c>
      <c r="AH338" s="166" t="s">
        <v>26</v>
      </c>
      <c r="AI338" s="166" t="s">
        <v>46</v>
      </c>
      <c r="AJ338" s="166" t="s">
        <v>31</v>
      </c>
      <c r="AK338" s="284"/>
      <c r="AL338" s="284"/>
      <c r="AM338" s="42"/>
      <c r="AN338" s="6"/>
    </row>
    <row r="339" spans="1:40" s="7" customFormat="1">
      <c r="A339" s="47"/>
      <c r="B339" s="283"/>
      <c r="C339" s="37"/>
      <c r="D339" s="37"/>
      <c r="E339" s="362">
        <f>2.3/315.7*100</f>
        <v>0.72853975292999684</v>
      </c>
      <c r="F339" s="299">
        <f>72/341.9*100</f>
        <v>21.058789119625622</v>
      </c>
      <c r="G339" s="300">
        <v>100</v>
      </c>
      <c r="H339" s="299">
        <f>12/128*100</f>
        <v>9.375</v>
      </c>
      <c r="I339" s="305" t="s">
        <v>259</v>
      </c>
      <c r="J339" s="299">
        <f>70/209.8*100</f>
        <v>33.365109628217347</v>
      </c>
      <c r="K339" s="300">
        <v>100</v>
      </c>
      <c r="L339" s="300">
        <v>100</v>
      </c>
      <c r="M339" s="299">
        <f>96/112*100</f>
        <v>85.714285714285708</v>
      </c>
      <c r="N339" s="299">
        <f>12.3/746.1*100</f>
        <v>1.6485725774024931</v>
      </c>
      <c r="O339" s="299">
        <v>1.3016988029531933</v>
      </c>
      <c r="P339" s="300">
        <v>100</v>
      </c>
      <c r="Q339" s="299">
        <f>158.5/190.9*100</f>
        <v>83.027763226820312</v>
      </c>
      <c r="R339" s="305" t="s">
        <v>259</v>
      </c>
      <c r="S339" s="210">
        <v>100</v>
      </c>
      <c r="T339" s="299">
        <f>12.5/374.3*100</f>
        <v>3.3395671920919052</v>
      </c>
      <c r="U339" s="299">
        <f>25/213.9*100</f>
        <v>11.68770453482936</v>
      </c>
      <c r="V339" s="305" t="s">
        <v>259</v>
      </c>
      <c r="W339" s="305" t="s">
        <v>259</v>
      </c>
      <c r="X339" s="210">
        <v>100</v>
      </c>
      <c r="Y339" s="305" t="s">
        <v>259</v>
      </c>
      <c r="Z339" s="299">
        <f>80.5/271*100</f>
        <v>29.704797047970477</v>
      </c>
      <c r="AA339" s="299">
        <f>19.9/160.1*100</f>
        <v>12.429731417863835</v>
      </c>
      <c r="AB339" s="299">
        <f>29.1/948.1*100</f>
        <v>3.0692964877122666</v>
      </c>
      <c r="AC339" s="299">
        <f>13.5/158.2*100</f>
        <v>8.533501896333755</v>
      </c>
      <c r="AD339" s="299">
        <f>48/370.3*100</f>
        <v>12.962462867944909</v>
      </c>
      <c r="AE339" s="299">
        <f>39.6/91.5*100</f>
        <v>43.278688524590166</v>
      </c>
      <c r="AF339" s="306" t="s">
        <v>259</v>
      </c>
      <c r="AG339" s="299">
        <f>78.3/273.4*100</f>
        <v>28.639356254572057</v>
      </c>
      <c r="AH339" s="299">
        <f>161/227*100</f>
        <v>70.925110132158579</v>
      </c>
      <c r="AI339" s="299">
        <f>65.7/224.65*100</f>
        <v>29.245492989094146</v>
      </c>
      <c r="AJ339" s="299">
        <v>5.5214723926380387</v>
      </c>
      <c r="AK339" s="284"/>
      <c r="AL339" s="284"/>
      <c r="AM339" s="42"/>
      <c r="AN339" s="6"/>
    </row>
    <row r="340" spans="1:40" s="7" customFormat="1">
      <c r="A340" s="47"/>
      <c r="B340" s="283"/>
      <c r="C340" s="37"/>
      <c r="D340" s="37"/>
      <c r="E340" s="362">
        <f>59.8/315.7*100</f>
        <v>18.942033576179917</v>
      </c>
      <c r="F340" s="299">
        <f>68/341.9*100</f>
        <v>19.888856390757535</v>
      </c>
      <c r="G340" s="279"/>
      <c r="H340" s="299">
        <f>116/128*100</f>
        <v>90.625</v>
      </c>
      <c r="I340" s="210"/>
      <c r="J340" s="299">
        <f>21.5/209.8*100</f>
        <v>10.247855100095329</v>
      </c>
      <c r="K340" s="279"/>
      <c r="L340" s="279"/>
      <c r="M340" s="299">
        <f>16/112*100</f>
        <v>14.285714285714285</v>
      </c>
      <c r="N340" s="299">
        <f>2.7/746.1*100</f>
        <v>0.36188178528347409</v>
      </c>
      <c r="O340" s="299">
        <v>0.22650706042577595</v>
      </c>
      <c r="P340" s="279"/>
      <c r="Q340" s="299">
        <f>4.4/190.9*100</f>
        <v>2.3048716605552646</v>
      </c>
      <c r="R340" s="210"/>
      <c r="S340" s="279"/>
      <c r="T340" s="299">
        <f>12/374.3*100</f>
        <v>3.2059845044082285</v>
      </c>
      <c r="U340" s="299">
        <f>6.9/213.9*100</f>
        <v>3.225806451612903</v>
      </c>
      <c r="V340" s="210"/>
      <c r="W340" s="210"/>
      <c r="X340" s="279"/>
      <c r="Y340" s="210"/>
      <c r="Z340" s="299">
        <f>75/271*100</f>
        <v>27.67527675276753</v>
      </c>
      <c r="AA340" s="299">
        <f>131.4/160.1*100</f>
        <v>82.073703935040612</v>
      </c>
      <c r="AB340" s="299">
        <f>14.7/948.1*100</f>
        <v>1.5504693597721757</v>
      </c>
      <c r="AC340" s="299">
        <f>48/158.2*100</f>
        <v>30.341340075853353</v>
      </c>
      <c r="AD340" s="299">
        <f>8/370.3*100</f>
        <v>2.1604104779908182</v>
      </c>
      <c r="AE340" s="299">
        <f>46/91.5*100</f>
        <v>50.27322404371585</v>
      </c>
      <c r="AF340" s="299"/>
      <c r="AG340" s="299">
        <f>30.4/273.4*100</f>
        <v>11.119239209948793</v>
      </c>
      <c r="AH340" s="299">
        <f>5.5/227*100</f>
        <v>2.4229074889867843</v>
      </c>
      <c r="AI340" s="299">
        <f>33.4/224.65*100</f>
        <v>14.867571778321834</v>
      </c>
      <c r="AJ340" s="299">
        <v>1.2269938650306751</v>
      </c>
      <c r="AK340" s="284"/>
      <c r="AL340" s="284"/>
      <c r="AM340" s="42"/>
      <c r="AN340" s="6"/>
    </row>
    <row r="341" spans="1:40" s="7" customFormat="1">
      <c r="A341" s="47"/>
      <c r="B341" s="283"/>
      <c r="C341" s="37"/>
      <c r="D341" s="37"/>
      <c r="E341" s="362">
        <f>19.5/315.7*100</f>
        <v>6.1767500791891035</v>
      </c>
      <c r="F341" s="299">
        <f>138.9/341.9*100</f>
        <v>40.625914009944431</v>
      </c>
      <c r="G341" s="279"/>
      <c r="H341" s="300"/>
      <c r="I341" s="210"/>
      <c r="J341" s="299">
        <f>18.6/209.8*100</f>
        <v>8.8655862726406109</v>
      </c>
      <c r="K341" s="279"/>
      <c r="L341" s="279"/>
      <c r="M341" s="300"/>
      <c r="N341" s="299">
        <f>5.2/746.1*100</f>
        <v>0.6969575123978019</v>
      </c>
      <c r="O341" s="299">
        <v>5.4476381621389143</v>
      </c>
      <c r="P341" s="279"/>
      <c r="Q341" s="299">
        <f>11.5/190.9*100</f>
        <v>6.024096385542169</v>
      </c>
      <c r="R341" s="210"/>
      <c r="S341" s="279"/>
      <c r="T341" s="299">
        <f>7.6/374.3*100</f>
        <v>2.030456852791878</v>
      </c>
      <c r="U341" s="299">
        <f>182/213.9*100</f>
        <v>85.086489013557724</v>
      </c>
      <c r="V341" s="210"/>
      <c r="W341" s="210"/>
      <c r="X341" s="210"/>
      <c r="Y341" s="210"/>
      <c r="Z341" s="299">
        <f>105/271*100</f>
        <v>38.745387453874542</v>
      </c>
      <c r="AA341" s="299">
        <f>8.8/160.1*100</f>
        <v>5.4965646470955658</v>
      </c>
      <c r="AB341" s="299">
        <f>15/948.1*100</f>
        <v>1.582111591604261</v>
      </c>
      <c r="AC341" s="299">
        <f>70/158.2*100</f>
        <v>44.247787610619469</v>
      </c>
      <c r="AD341" s="299">
        <f>22.7/370.3*100</f>
        <v>6.1301647312989465</v>
      </c>
      <c r="AE341" s="299">
        <f>5.9/91.5*100</f>
        <v>6.44808743169399</v>
      </c>
      <c r="AF341" s="299"/>
      <c r="AG341" s="299">
        <f>5.6/273.4*100</f>
        <v>2.0482809070958301</v>
      </c>
      <c r="AH341" s="299">
        <f>21/227*100</f>
        <v>9.251101321585903</v>
      </c>
      <c r="AI341" s="299">
        <f>36/224.65*100</f>
        <v>16.024927665257067</v>
      </c>
      <c r="AJ341" s="299">
        <v>4.294478527607362</v>
      </c>
      <c r="AK341" s="284"/>
      <c r="AL341" s="284"/>
      <c r="AM341" s="42"/>
      <c r="AN341" s="6"/>
    </row>
    <row r="342" spans="1:40" s="7" customFormat="1">
      <c r="A342" s="47"/>
      <c r="B342" s="283"/>
      <c r="C342" s="37"/>
      <c r="D342" s="37"/>
      <c r="E342" s="362">
        <f>26.8/315.7*100</f>
        <v>8.4890719037060514</v>
      </c>
      <c r="F342" s="299">
        <f>33/341.9*100</f>
        <v>9.6519450131617432</v>
      </c>
      <c r="G342" s="279"/>
      <c r="H342" s="300"/>
      <c r="I342" s="210"/>
      <c r="J342" s="299">
        <f>13.6/209.8*100</f>
        <v>6.4823641563393704</v>
      </c>
      <c r="K342" s="279"/>
      <c r="L342" s="279"/>
      <c r="M342" s="300"/>
      <c r="N342" s="299">
        <f>14.5/746.1*100</f>
        <v>1.9434392172631014</v>
      </c>
      <c r="O342" s="299">
        <v>1.0579886746469787</v>
      </c>
      <c r="P342" s="279"/>
      <c r="Q342" s="299">
        <f>16.5/190.9*100</f>
        <v>8.6432687270822406</v>
      </c>
      <c r="R342" s="210"/>
      <c r="S342" s="279"/>
      <c r="T342" s="299">
        <f>7.7/374.3*100</f>
        <v>2.0571733903286136</v>
      </c>
      <c r="U342" s="300"/>
      <c r="V342" s="210"/>
      <c r="W342" s="210"/>
      <c r="X342" s="210"/>
      <c r="Y342" s="210"/>
      <c r="Z342" s="299">
        <f>10.5/271*100</f>
        <v>3.8745387453874542</v>
      </c>
      <c r="AA342" s="210"/>
      <c r="AB342" s="299">
        <f>52.2/948.1*100</f>
        <v>5.505748338782829</v>
      </c>
      <c r="AC342" s="299">
        <f>14/158.2*100</f>
        <v>8.8495575221238951</v>
      </c>
      <c r="AD342" s="299">
        <f>143/370.3*100</f>
        <v>38.617337294085871</v>
      </c>
      <c r="AE342" s="300"/>
      <c r="AF342" s="300"/>
      <c r="AG342" s="299">
        <f>15.9/273.4*100</f>
        <v>5.815654718361376</v>
      </c>
      <c r="AH342" s="299">
        <f>39.5/227*100</f>
        <v>17.400881057268723</v>
      </c>
      <c r="AI342" s="299">
        <f>7.8/224.65*100</f>
        <v>3.4720676608056977</v>
      </c>
      <c r="AJ342" s="299">
        <v>9.2024539877300615</v>
      </c>
      <c r="AK342" s="284"/>
      <c r="AL342" s="284"/>
      <c r="AM342" s="42"/>
      <c r="AN342" s="6"/>
    </row>
    <row r="343" spans="1:40" s="7" customFormat="1">
      <c r="A343" s="47"/>
      <c r="B343" s="283"/>
      <c r="C343" s="37"/>
      <c r="D343" s="37"/>
      <c r="E343" s="362">
        <f>176.9/315.7*100</f>
        <v>56.034209692746288</v>
      </c>
      <c r="F343" s="278">
        <f>30/341.9*100</f>
        <v>8.7744954665106754</v>
      </c>
      <c r="G343" s="279"/>
      <c r="H343" s="300"/>
      <c r="I343" s="210"/>
      <c r="J343" s="299">
        <f>65.7/209.8*100</f>
        <v>31.315538608198285</v>
      </c>
      <c r="K343" s="279"/>
      <c r="L343" s="279"/>
      <c r="M343" s="300"/>
      <c r="N343" s="299">
        <f>66.1/746.1*100</f>
        <v>8.8594022249028264</v>
      </c>
      <c r="O343" s="299">
        <v>0.43007669701096696</v>
      </c>
      <c r="P343" s="279"/>
      <c r="Q343" s="301"/>
      <c r="R343" s="210"/>
      <c r="S343" s="279"/>
      <c r="T343" s="299">
        <f>6.3/374.3*100</f>
        <v>1.6831418648143199</v>
      </c>
      <c r="U343" s="300"/>
      <c r="V343" s="210"/>
      <c r="W343" s="210"/>
      <c r="X343" s="210"/>
      <c r="Y343" s="210"/>
      <c r="Z343" s="300"/>
      <c r="AA343" s="210"/>
      <c r="AB343" s="299">
        <f>25/948.1*100</f>
        <v>2.6368526526737686</v>
      </c>
      <c r="AC343" s="299">
        <f>12.7/158.2*100</f>
        <v>8.0278128950695322</v>
      </c>
      <c r="AD343" s="299">
        <f>12/370.3*100</f>
        <v>3.2406157169862273</v>
      </c>
      <c r="AE343" s="300"/>
      <c r="AF343" s="279"/>
      <c r="AG343" s="299">
        <f>27.8/273.4*100</f>
        <v>10.168251645940016</v>
      </c>
      <c r="AH343" s="300"/>
      <c r="AI343" s="299">
        <f>8.85/224.65*100</f>
        <v>3.9394613843756954</v>
      </c>
      <c r="AJ343" s="299">
        <v>37.116564417177919</v>
      </c>
      <c r="AK343" s="284"/>
      <c r="AL343" s="284"/>
      <c r="AM343" s="42"/>
      <c r="AN343" s="6"/>
    </row>
    <row r="344" spans="1:40" s="7" customFormat="1">
      <c r="A344" s="47"/>
      <c r="B344" s="283"/>
      <c r="C344" s="37"/>
      <c r="D344" s="37"/>
      <c r="E344" s="362">
        <f>30.4/315.7*100</f>
        <v>9.6293949952486546</v>
      </c>
      <c r="F344" s="300"/>
      <c r="G344" s="279"/>
      <c r="H344" s="300"/>
      <c r="I344" s="210"/>
      <c r="J344" s="299">
        <f>20.4/209.8*100</f>
        <v>9.7235462345090546</v>
      </c>
      <c r="K344" s="279"/>
      <c r="L344" s="279"/>
      <c r="M344" s="300"/>
      <c r="N344" s="299">
        <f>14.3/746.1*100</f>
        <v>1.9166331590939552</v>
      </c>
      <c r="O344" s="299">
        <v>2.4084295032614151</v>
      </c>
      <c r="P344" s="279"/>
      <c r="Q344" s="301"/>
      <c r="R344" s="210"/>
      <c r="S344" s="279"/>
      <c r="T344" s="299">
        <f>181.8/374.3*100</f>
        <v>48.570665241784667</v>
      </c>
      <c r="U344" s="300"/>
      <c r="V344" s="210"/>
      <c r="W344" s="210"/>
      <c r="X344" s="210"/>
      <c r="Y344" s="210"/>
      <c r="Z344" s="300"/>
      <c r="AA344" s="210"/>
      <c r="AB344" s="299">
        <f>9/948.1*100</f>
        <v>0.94926695496255664</v>
      </c>
      <c r="AC344" s="300"/>
      <c r="AD344" s="299">
        <f>16.7/370.3*100</f>
        <v>4.509856872805833</v>
      </c>
      <c r="AE344" s="300"/>
      <c r="AF344" s="210"/>
      <c r="AG344" s="299">
        <f>17.5/273.4*100</f>
        <v>6.4008778346744704</v>
      </c>
      <c r="AH344" s="300"/>
      <c r="AI344" s="299">
        <f>72.9/224.65*100</f>
        <v>32.450478522145559</v>
      </c>
      <c r="AJ344" s="299">
        <v>12.88343558282209</v>
      </c>
      <c r="AK344" s="284"/>
      <c r="AL344" s="284"/>
      <c r="AM344" s="42"/>
      <c r="AN344" s="6"/>
    </row>
    <row r="345" spans="1:40" s="7" customFormat="1">
      <c r="A345" s="47"/>
      <c r="B345" s="283"/>
      <c r="C345" s="37"/>
      <c r="D345" s="37"/>
      <c r="E345" s="345"/>
      <c r="F345" s="300"/>
      <c r="G345" s="279"/>
      <c r="H345" s="300"/>
      <c r="I345" s="210"/>
      <c r="J345" s="300"/>
      <c r="K345" s="279"/>
      <c r="L345" s="279"/>
      <c r="M345" s="300"/>
      <c r="N345" s="299">
        <f>16.2/746.1*100</f>
        <v>2.171290711700844</v>
      </c>
      <c r="O345" s="299">
        <v>2.7467565049100422</v>
      </c>
      <c r="P345" s="279"/>
      <c r="Q345" s="301"/>
      <c r="R345" s="210"/>
      <c r="S345" s="279"/>
      <c r="T345" s="299">
        <f>11.8/374.3*100</f>
        <v>3.1525514293347578</v>
      </c>
      <c r="U345" s="300"/>
      <c r="V345" s="210"/>
      <c r="W345" s="210"/>
      <c r="X345" s="210"/>
      <c r="Y345" s="210"/>
      <c r="Z345" s="300"/>
      <c r="AA345" s="210"/>
      <c r="AB345" s="299">
        <f>178.4/948.1*100</f>
        <v>18.816580529480014</v>
      </c>
      <c r="AC345" s="300"/>
      <c r="AD345" s="299">
        <f>20.4/370.3*100</f>
        <v>5.5090467188765864</v>
      </c>
      <c r="AE345" s="300"/>
      <c r="AF345" s="210"/>
      <c r="AG345" s="299">
        <f>8.3/273.4*100</f>
        <v>3.0358449158741774</v>
      </c>
      <c r="AH345" s="300"/>
      <c r="AI345" s="300"/>
      <c r="AJ345" s="299">
        <v>8.8957055214723937</v>
      </c>
      <c r="AK345" s="284"/>
      <c r="AL345" s="284"/>
      <c r="AM345" s="42"/>
      <c r="AN345" s="6"/>
    </row>
    <row r="346" spans="1:40" s="7" customFormat="1">
      <c r="A346" s="47"/>
      <c r="B346" s="283"/>
      <c r="C346" s="37"/>
      <c r="D346" s="37"/>
      <c r="E346" s="345"/>
      <c r="F346" s="300"/>
      <c r="G346" s="279"/>
      <c r="H346" s="300"/>
      <c r="I346" s="210"/>
      <c r="J346" s="300"/>
      <c r="K346" s="279"/>
      <c r="L346" s="279"/>
      <c r="M346" s="300"/>
      <c r="N346" s="299">
        <f>14.2/746.1*100</f>
        <v>1.9032301300093819</v>
      </c>
      <c r="O346" s="299">
        <v>0.84581750412156842</v>
      </c>
      <c r="P346" s="279"/>
      <c r="Q346" s="301"/>
      <c r="R346" s="210"/>
      <c r="S346" s="279"/>
      <c r="T346" s="299">
        <f>10.4/374.3*100</f>
        <v>2.7785199038204649</v>
      </c>
      <c r="U346" s="300"/>
      <c r="V346" s="210"/>
      <c r="W346" s="210"/>
      <c r="X346" s="210"/>
      <c r="Y346" s="210"/>
      <c r="Z346" s="300"/>
      <c r="AA346" s="210"/>
      <c r="AB346" s="299">
        <f>85/948.1*100</f>
        <v>8.9652990190908124</v>
      </c>
      <c r="AC346" s="300"/>
      <c r="AD346" s="299">
        <f>35/370.3*100</f>
        <v>9.4517958412098295</v>
      </c>
      <c r="AE346" s="300"/>
      <c r="AF346" s="210"/>
      <c r="AG346" s="299">
        <f>15.1/273.4*100</f>
        <v>5.5230431602048284</v>
      </c>
      <c r="AH346" s="300"/>
      <c r="AI346" s="300"/>
      <c r="AJ346" s="299">
        <v>5.2147239263803691</v>
      </c>
      <c r="AK346" s="284"/>
      <c r="AL346" s="284"/>
      <c r="AM346" s="42"/>
      <c r="AN346" s="6"/>
    </row>
    <row r="347" spans="1:40" s="7" customFormat="1">
      <c r="A347" s="47"/>
      <c r="B347" s="283"/>
      <c r="C347" s="37"/>
      <c r="D347" s="37"/>
      <c r="E347" s="345"/>
      <c r="F347" s="300"/>
      <c r="G347" s="279"/>
      <c r="H347" s="300"/>
      <c r="I347" s="210"/>
      <c r="J347" s="300"/>
      <c r="K347" s="279"/>
      <c r="L347" s="279"/>
      <c r="M347" s="300"/>
      <c r="N347" s="299">
        <f>19/746.1*100</f>
        <v>2.5465755260688914</v>
      </c>
      <c r="O347" s="299">
        <v>0.50605691348290438</v>
      </c>
      <c r="P347" s="279"/>
      <c r="Q347" s="301"/>
      <c r="R347" s="210"/>
      <c r="S347" s="279"/>
      <c r="T347" s="299">
        <f>17.7/374.3*100</f>
        <v>4.7288271440021372</v>
      </c>
      <c r="U347" s="300"/>
      <c r="V347" s="210"/>
      <c r="W347" s="210"/>
      <c r="X347" s="210"/>
      <c r="Y347" s="210"/>
      <c r="Z347" s="300"/>
      <c r="AA347" s="210"/>
      <c r="AB347" s="299">
        <f>14/948.1*100</f>
        <v>1.4766374854973103</v>
      </c>
      <c r="AC347" s="300"/>
      <c r="AD347" s="299">
        <f>16.7/370.3*100</f>
        <v>4.509856872805833</v>
      </c>
      <c r="AE347" s="300"/>
      <c r="AF347" s="210"/>
      <c r="AG347" s="299">
        <f>2.2/273.4*100</f>
        <v>0.80468178493050491</v>
      </c>
      <c r="AH347" s="300"/>
      <c r="AI347" s="300"/>
      <c r="AJ347" s="103">
        <v>15.644171779141105</v>
      </c>
      <c r="AK347" s="284"/>
      <c r="AL347" s="284"/>
      <c r="AM347" s="42"/>
      <c r="AN347" s="6"/>
    </row>
    <row r="348" spans="1:40" s="7" customFormat="1">
      <c r="A348" s="47"/>
      <c r="B348" s="283"/>
      <c r="C348" s="37"/>
      <c r="D348" s="37"/>
      <c r="E348" s="345"/>
      <c r="F348" s="300"/>
      <c r="G348" s="279"/>
      <c r="H348" s="300"/>
      <c r="I348" s="210"/>
      <c r="J348" s="300"/>
      <c r="K348" s="279"/>
      <c r="L348" s="279"/>
      <c r="M348" s="300"/>
      <c r="N348" s="299">
        <f>29.6/746.1*100</f>
        <v>3.9672966090336415</v>
      </c>
      <c r="O348" s="299">
        <v>1.1325353021288798</v>
      </c>
      <c r="P348" s="279"/>
      <c r="Q348" s="301"/>
      <c r="R348" s="210"/>
      <c r="S348" s="279"/>
      <c r="T348" s="299">
        <f>39/374.3*100</f>
        <v>10.419449639326743</v>
      </c>
      <c r="U348" s="300"/>
      <c r="V348" s="210"/>
      <c r="W348" s="210"/>
      <c r="X348" s="210"/>
      <c r="Y348" s="210"/>
      <c r="Z348" s="300"/>
      <c r="AA348" s="210"/>
      <c r="AB348" s="299">
        <f>141/948.1*100</f>
        <v>14.871848961080056</v>
      </c>
      <c r="AC348" s="300"/>
      <c r="AD348" s="299">
        <f>10.3/370.3*100</f>
        <v>2.7815284904131787</v>
      </c>
      <c r="AE348" s="300"/>
      <c r="AF348" s="210"/>
      <c r="AG348" s="299">
        <f>4.9/273.4*100</f>
        <v>1.7922457937088516</v>
      </c>
      <c r="AH348" s="300"/>
      <c r="AI348" s="300"/>
      <c r="AJ348" s="300"/>
      <c r="AK348" s="284"/>
      <c r="AL348" s="284"/>
      <c r="AM348" s="42"/>
      <c r="AN348" s="6"/>
    </row>
    <row r="349" spans="1:40" s="7" customFormat="1">
      <c r="A349" s="47"/>
      <c r="B349" s="283"/>
      <c r="C349" s="37"/>
      <c r="D349" s="37"/>
      <c r="E349" s="345"/>
      <c r="F349" s="300"/>
      <c r="G349" s="279"/>
      <c r="H349" s="300"/>
      <c r="I349" s="210"/>
      <c r="J349" s="300"/>
      <c r="K349" s="279"/>
      <c r="L349" s="210"/>
      <c r="M349" s="300"/>
      <c r="N349" s="299">
        <f>13/746.1*100</f>
        <v>1.7423937809945045</v>
      </c>
      <c r="O349" s="299">
        <v>3.2857859651637873</v>
      </c>
      <c r="P349" s="279"/>
      <c r="Q349" s="301"/>
      <c r="R349" s="210"/>
      <c r="S349" s="279"/>
      <c r="T349" s="299">
        <f>4.3/374.3*100</f>
        <v>1.1488111140796151</v>
      </c>
      <c r="U349" s="300"/>
      <c r="V349" s="210"/>
      <c r="W349" s="210"/>
      <c r="X349" s="210"/>
      <c r="Y349" s="210"/>
      <c r="Z349" s="300"/>
      <c r="AA349" s="210"/>
      <c r="AB349" s="299">
        <f>11/948.1*100</f>
        <v>1.1602151671764582</v>
      </c>
      <c r="AC349" s="300"/>
      <c r="AD349" s="299">
        <f>37.5/370.3*100</f>
        <v>10.126924115581961</v>
      </c>
      <c r="AE349" s="300"/>
      <c r="AF349" s="210"/>
      <c r="AG349" s="299">
        <f>45/273.4*100</f>
        <v>16.459400146305782</v>
      </c>
      <c r="AH349" s="300"/>
      <c r="AI349" s="300"/>
      <c r="AJ349" s="300"/>
      <c r="AK349" s="284"/>
      <c r="AL349" s="284"/>
      <c r="AM349" s="42"/>
      <c r="AN349" s="6"/>
    </row>
    <row r="350" spans="1:40" s="7" customFormat="1">
      <c r="A350" s="47"/>
      <c r="B350" s="283"/>
      <c r="C350" s="37"/>
      <c r="D350" s="37"/>
      <c r="E350" s="345"/>
      <c r="F350" s="300"/>
      <c r="G350" s="279"/>
      <c r="H350" s="300"/>
      <c r="I350" s="210"/>
      <c r="J350" s="300"/>
      <c r="K350" s="210"/>
      <c r="L350" s="210"/>
      <c r="M350" s="300"/>
      <c r="N350" s="299">
        <f>15.4/746.1*100</f>
        <v>2.0640664790242593</v>
      </c>
      <c r="O350" s="299">
        <v>0.8773564619023726</v>
      </c>
      <c r="P350" s="279"/>
      <c r="Q350" s="301"/>
      <c r="R350" s="210"/>
      <c r="S350" s="210"/>
      <c r="T350" s="299">
        <f>58/374.3*100</f>
        <v>15.495591771306438</v>
      </c>
      <c r="U350" s="300"/>
      <c r="V350" s="210"/>
      <c r="W350" s="210"/>
      <c r="X350" s="210"/>
      <c r="Y350" s="210"/>
      <c r="Z350" s="300"/>
      <c r="AA350" s="210"/>
      <c r="AB350" s="299">
        <f>65.6/948.1*100</f>
        <v>6.9191013606159677</v>
      </c>
      <c r="AC350" s="300"/>
      <c r="AD350" s="300"/>
      <c r="AE350" s="300"/>
      <c r="AF350" s="210"/>
      <c r="AG350" s="299">
        <f>9.6/273.4*100</f>
        <v>3.5113386978785668</v>
      </c>
      <c r="AH350" s="300"/>
      <c r="AI350" s="300"/>
      <c r="AJ350" s="300"/>
      <c r="AK350" s="284"/>
      <c r="AL350" s="284"/>
      <c r="AM350" s="42"/>
      <c r="AN350" s="6"/>
    </row>
    <row r="351" spans="1:40" s="7" customFormat="1">
      <c r="A351" s="47"/>
      <c r="B351" s="283"/>
      <c r="C351" s="37"/>
      <c r="D351" s="37"/>
      <c r="E351" s="345"/>
      <c r="F351" s="300"/>
      <c r="G351" s="279"/>
      <c r="H351" s="300"/>
      <c r="I351" s="210"/>
      <c r="J351" s="300"/>
      <c r="K351" s="210"/>
      <c r="L351" s="210"/>
      <c r="M351" s="300"/>
      <c r="N351" s="299">
        <f>22/746.1*100</f>
        <v>2.9486663986060848</v>
      </c>
      <c r="O351" s="299">
        <v>7.044656297039638</v>
      </c>
      <c r="P351" s="279"/>
      <c r="Q351" s="301"/>
      <c r="R351" s="210"/>
      <c r="S351" s="210"/>
      <c r="T351" s="299">
        <f>5.2/374.3*100</f>
        <v>1.3892599519102324</v>
      </c>
      <c r="U351" s="300"/>
      <c r="V351" s="210"/>
      <c r="W351" s="210"/>
      <c r="X351" s="210"/>
      <c r="Y351" s="210"/>
      <c r="Z351" s="300"/>
      <c r="AA351" s="210"/>
      <c r="AB351" s="299">
        <f>6.1/948.1*100</f>
        <v>0.64339204725239951</v>
      </c>
      <c r="AC351" s="300"/>
      <c r="AD351" s="300"/>
      <c r="AE351" s="300"/>
      <c r="AF351" s="210"/>
      <c r="AG351" s="299">
        <f>12.8/273.4*100</f>
        <v>4.6817849305047554</v>
      </c>
      <c r="AH351" s="300"/>
      <c r="AI351" s="300"/>
      <c r="AJ351" s="300"/>
      <c r="AK351" s="284"/>
      <c r="AL351" s="284"/>
      <c r="AM351" s="42"/>
      <c r="AN351" s="6"/>
    </row>
    <row r="352" spans="1:40" s="7" customFormat="1">
      <c r="A352" s="47"/>
      <c r="B352" s="283"/>
      <c r="C352" s="37"/>
      <c r="D352" s="37"/>
      <c r="E352" s="345"/>
      <c r="F352" s="300"/>
      <c r="G352" s="279"/>
      <c r="H352" s="300"/>
      <c r="I352" s="210"/>
      <c r="J352" s="210"/>
      <c r="K352" s="210"/>
      <c r="L352" s="210"/>
      <c r="M352" s="300"/>
      <c r="N352" s="299">
        <f>53.3/746.1*100</f>
        <v>7.1438145020774693</v>
      </c>
      <c r="O352" s="299">
        <v>0.57630277399469576</v>
      </c>
      <c r="P352" s="279"/>
      <c r="Q352" s="301"/>
      <c r="R352" s="210"/>
      <c r="S352" s="210"/>
      <c r="T352" s="210"/>
      <c r="U352" s="300"/>
      <c r="V352" s="210"/>
      <c r="W352" s="210"/>
      <c r="X352" s="210"/>
      <c r="Y352" s="210"/>
      <c r="Z352" s="210"/>
      <c r="AA352" s="210"/>
      <c r="AB352" s="299">
        <f>60/948.1*100</f>
        <v>6.3284463664170438</v>
      </c>
      <c r="AC352" s="300"/>
      <c r="AD352" s="300"/>
      <c r="AE352" s="300"/>
      <c r="AF352" s="210"/>
      <c r="AG352" s="300"/>
      <c r="AH352" s="300"/>
      <c r="AI352" s="300"/>
      <c r="AJ352" s="300"/>
      <c r="AK352" s="284"/>
      <c r="AL352" s="284"/>
      <c r="AM352" s="42"/>
      <c r="AN352" s="6"/>
    </row>
    <row r="353" spans="1:40" s="7" customFormat="1">
      <c r="A353" s="47"/>
      <c r="B353" s="283"/>
      <c r="C353" s="37"/>
      <c r="D353" s="37"/>
      <c r="E353" s="345"/>
      <c r="F353" s="300"/>
      <c r="G353" s="279"/>
      <c r="H353" s="300"/>
      <c r="I353" s="210"/>
      <c r="J353" s="210"/>
      <c r="K353" s="210"/>
      <c r="L353" s="210"/>
      <c r="M353" s="210"/>
      <c r="N353" s="299">
        <f>22/746.1*100</f>
        <v>2.9486663986060848</v>
      </c>
      <c r="O353" s="299">
        <v>1.2042147516307076</v>
      </c>
      <c r="P353" s="210"/>
      <c r="Q353" s="210"/>
      <c r="R353" s="210"/>
      <c r="S353" s="210"/>
      <c r="T353" s="210"/>
      <c r="U353" s="300"/>
      <c r="V353" s="210"/>
      <c r="W353" s="210"/>
      <c r="X353" s="210"/>
      <c r="Y353" s="210"/>
      <c r="Z353" s="210"/>
      <c r="AA353" s="210"/>
      <c r="AB353" s="299">
        <f>22/948.1*100</f>
        <v>2.3204303343529165</v>
      </c>
      <c r="AC353" s="300"/>
      <c r="AD353" s="300"/>
      <c r="AE353" s="210"/>
      <c r="AF353" s="210"/>
      <c r="AG353" s="300"/>
      <c r="AH353" s="300"/>
      <c r="AI353" s="300"/>
      <c r="AJ353" s="300"/>
      <c r="AK353" s="284"/>
      <c r="AL353" s="284"/>
      <c r="AM353" s="42"/>
      <c r="AN353" s="6"/>
    </row>
    <row r="354" spans="1:40" s="7" customFormat="1">
      <c r="A354" s="47"/>
      <c r="B354" s="283"/>
      <c r="C354" s="37"/>
      <c r="D354" s="37"/>
      <c r="E354" s="345"/>
      <c r="F354" s="300"/>
      <c r="G354" s="279"/>
      <c r="H354" s="300"/>
      <c r="I354" s="210"/>
      <c r="J354" s="210"/>
      <c r="K354" s="210"/>
      <c r="L354" s="210"/>
      <c r="M354" s="210"/>
      <c r="N354" s="299">
        <f>11.5/746.1*100</f>
        <v>1.541348344725908</v>
      </c>
      <c r="O354" s="299">
        <v>0.35839724750913915</v>
      </c>
      <c r="P354" s="210"/>
      <c r="Q354" s="210"/>
      <c r="R354" s="210"/>
      <c r="S354" s="210"/>
      <c r="T354" s="210"/>
      <c r="U354" s="210"/>
      <c r="V354" s="210"/>
      <c r="W354" s="210"/>
      <c r="X354" s="210"/>
      <c r="Y354" s="210"/>
      <c r="Z354" s="210"/>
      <c r="AA354" s="210"/>
      <c r="AB354" s="299">
        <f>136/948.1*100</f>
        <v>14.344478430545301</v>
      </c>
      <c r="AC354" s="300"/>
      <c r="AD354" s="300"/>
      <c r="AE354" s="210"/>
      <c r="AF354" s="210"/>
      <c r="AG354" s="300"/>
      <c r="AH354" s="300"/>
      <c r="AI354" s="300"/>
      <c r="AJ354" s="300"/>
      <c r="AK354" s="284"/>
      <c r="AL354" s="284"/>
      <c r="AM354" s="42"/>
      <c r="AN354" s="6"/>
    </row>
    <row r="355" spans="1:40" s="7" customFormat="1">
      <c r="A355" s="47"/>
      <c r="B355" s="283"/>
      <c r="C355" s="37"/>
      <c r="D355" s="37"/>
      <c r="E355" s="345"/>
      <c r="F355" s="300"/>
      <c r="G355" s="279"/>
      <c r="H355" s="300"/>
      <c r="I355" s="210"/>
      <c r="J355" s="210"/>
      <c r="K355" s="210"/>
      <c r="L355" s="210"/>
      <c r="M355" s="210"/>
      <c r="N355" s="299">
        <f>56/746.1*100</f>
        <v>7.5056962873609443</v>
      </c>
      <c r="O355" s="299">
        <v>2.1503834850548347</v>
      </c>
      <c r="P355" s="210"/>
      <c r="Q355" s="210"/>
      <c r="R355" s="210"/>
      <c r="S355" s="210"/>
      <c r="T355" s="210"/>
      <c r="U355" s="210"/>
      <c r="V355" s="210"/>
      <c r="W355" s="210"/>
      <c r="X355" s="210"/>
      <c r="Y355" s="210"/>
      <c r="Z355" s="210"/>
      <c r="AA355" s="210"/>
      <c r="AB355" s="299">
        <f>84/948.1*100</f>
        <v>8.8598249129838624</v>
      </c>
      <c r="AC355" s="300"/>
      <c r="AD355" s="300"/>
      <c r="AE355" s="210"/>
      <c r="AF355" s="210"/>
      <c r="AG355" s="300"/>
      <c r="AH355" s="300"/>
      <c r="AI355" s="300"/>
      <c r="AJ355" s="300"/>
      <c r="AK355" s="284"/>
      <c r="AL355" s="284"/>
      <c r="AM355" s="42"/>
      <c r="AN355" s="6"/>
    </row>
    <row r="356" spans="1:40" s="7" customFormat="1">
      <c r="A356" s="47"/>
      <c r="B356" s="283"/>
      <c r="C356" s="37"/>
      <c r="D356" s="37"/>
      <c r="E356" s="345"/>
      <c r="F356" s="300"/>
      <c r="G356" s="279"/>
      <c r="H356" s="300"/>
      <c r="I356" s="210"/>
      <c r="J356" s="210"/>
      <c r="K356" s="210"/>
      <c r="L356" s="210"/>
      <c r="M356" s="210"/>
      <c r="N356" s="299">
        <f>16.2/746.1*100</f>
        <v>2.171290711700844</v>
      </c>
      <c r="O356" s="299">
        <v>3.8047451795570209</v>
      </c>
      <c r="P356" s="210"/>
      <c r="Q356" s="210"/>
      <c r="R356" s="210"/>
      <c r="S356" s="210"/>
      <c r="T356" s="210"/>
      <c r="U356" s="210"/>
      <c r="V356" s="210"/>
      <c r="W356" s="210"/>
      <c r="X356" s="210"/>
      <c r="Y356" s="210"/>
      <c r="Z356" s="210"/>
      <c r="AA356" s="210"/>
      <c r="AB356" s="300"/>
      <c r="AC356" s="210"/>
      <c r="AD356" s="300"/>
      <c r="AE356" s="210"/>
      <c r="AF356" s="210"/>
      <c r="AG356" s="300"/>
      <c r="AH356" s="300"/>
      <c r="AI356" s="300"/>
      <c r="AJ356" s="210"/>
      <c r="AK356" s="284"/>
      <c r="AL356" s="284"/>
      <c r="AM356" s="42"/>
      <c r="AN356" s="6"/>
    </row>
    <row r="357" spans="1:40" s="7" customFormat="1">
      <c r="A357" s="47"/>
      <c r="B357" s="283"/>
      <c r="C357" s="37"/>
      <c r="D357" s="37"/>
      <c r="E357" s="345"/>
      <c r="F357" s="300"/>
      <c r="G357" s="279"/>
      <c r="H357" s="300"/>
      <c r="I357" s="210"/>
      <c r="J357" s="210"/>
      <c r="K357" s="210"/>
      <c r="L357" s="210"/>
      <c r="M357" s="210"/>
      <c r="N357" s="299">
        <f>11.1/746.1*100</f>
        <v>1.4877362283876154</v>
      </c>
      <c r="O357" s="299">
        <v>1.2529567772919505</v>
      </c>
      <c r="P357" s="210"/>
      <c r="Q357" s="210"/>
      <c r="R357" s="210"/>
      <c r="S357" s="210"/>
      <c r="T357" s="210"/>
      <c r="U357" s="210"/>
      <c r="V357" s="210"/>
      <c r="W357" s="210"/>
      <c r="X357" s="210"/>
      <c r="Y357" s="210"/>
      <c r="Z357" s="210"/>
      <c r="AA357" s="210"/>
      <c r="AB357" s="300"/>
      <c r="AC357" s="210"/>
      <c r="AD357" s="300"/>
      <c r="AE357" s="210"/>
      <c r="AF357" s="210"/>
      <c r="AG357" s="300"/>
      <c r="AH357" s="210"/>
      <c r="AI357" s="210"/>
      <c r="AJ357" s="210"/>
      <c r="AK357" s="284"/>
      <c r="AL357" s="284"/>
      <c r="AM357" s="42"/>
      <c r="AN357" s="6"/>
    </row>
    <row r="358" spans="1:40" s="7" customFormat="1">
      <c r="A358" s="47"/>
      <c r="B358" s="283"/>
      <c r="C358" s="37"/>
      <c r="D358" s="37"/>
      <c r="E358" s="345"/>
      <c r="F358" s="300"/>
      <c r="G358" s="279"/>
      <c r="H358" s="300"/>
      <c r="I358" s="210"/>
      <c r="J358" s="210"/>
      <c r="K358" s="210"/>
      <c r="L358" s="210"/>
      <c r="M358" s="210"/>
      <c r="N358" s="299">
        <f>42/746.1*100</f>
        <v>5.6292722155207073</v>
      </c>
      <c r="O358" s="299">
        <v>1.9640169163500822</v>
      </c>
      <c r="P358" s="210"/>
      <c r="Q358" s="210"/>
      <c r="R358" s="210"/>
      <c r="S358" s="210"/>
      <c r="T358" s="210"/>
      <c r="U358" s="210"/>
      <c r="V358" s="210"/>
      <c r="W358" s="210"/>
      <c r="X358" s="210"/>
      <c r="Y358" s="210"/>
      <c r="Z358" s="210"/>
      <c r="AA358" s="210"/>
      <c r="AB358" s="300"/>
      <c r="AC358" s="210"/>
      <c r="AD358" s="300"/>
      <c r="AE358" s="210"/>
      <c r="AF358" s="210"/>
      <c r="AG358" s="300"/>
      <c r="AH358" s="210"/>
      <c r="AI358" s="210"/>
      <c r="AJ358" s="210"/>
      <c r="AK358" s="284"/>
      <c r="AL358" s="284"/>
      <c r="AM358" s="42"/>
      <c r="AN358" s="6"/>
    </row>
    <row r="359" spans="1:40" s="7" customFormat="1">
      <c r="A359" s="47"/>
      <c r="B359" s="283"/>
      <c r="C359" s="37"/>
      <c r="D359" s="37"/>
      <c r="E359" s="345"/>
      <c r="F359" s="300"/>
      <c r="G359" s="279"/>
      <c r="H359" s="300"/>
      <c r="I359" s="210"/>
      <c r="J359" s="210"/>
      <c r="K359" s="210"/>
      <c r="L359" s="210"/>
      <c r="M359" s="210"/>
      <c r="N359" s="299">
        <f>17.4/746.1*100</f>
        <v>2.3321270607157216</v>
      </c>
      <c r="O359" s="299">
        <v>2.2363988244570283</v>
      </c>
      <c r="P359" s="210"/>
      <c r="Q359" s="210"/>
      <c r="R359" s="210"/>
      <c r="S359" s="210"/>
      <c r="T359" s="210"/>
      <c r="U359" s="210"/>
      <c r="V359" s="210"/>
      <c r="W359" s="210"/>
      <c r="X359" s="210"/>
      <c r="Y359" s="210"/>
      <c r="Z359" s="210"/>
      <c r="AA359" s="210"/>
      <c r="AB359" s="300"/>
      <c r="AC359" s="210"/>
      <c r="AD359" s="300"/>
      <c r="AE359" s="210"/>
      <c r="AF359" s="210"/>
      <c r="AG359" s="300"/>
      <c r="AH359" s="210"/>
      <c r="AI359" s="210"/>
      <c r="AJ359" s="210"/>
      <c r="AK359" s="284"/>
      <c r="AL359" s="284"/>
      <c r="AM359" s="42"/>
      <c r="AN359" s="6"/>
    </row>
    <row r="360" spans="1:40" s="7" customFormat="1">
      <c r="A360" s="47"/>
      <c r="B360" s="283"/>
      <c r="C360" s="37"/>
      <c r="D360" s="37"/>
      <c r="E360" s="345"/>
      <c r="F360" s="300"/>
      <c r="G360" s="279"/>
      <c r="H360" s="300"/>
      <c r="I360" s="210"/>
      <c r="J360" s="210"/>
      <c r="K360" s="210"/>
      <c r="L360" s="210"/>
      <c r="M360" s="210"/>
      <c r="N360" s="299">
        <f>29.3/746.1*100</f>
        <v>3.9270875217799222</v>
      </c>
      <c r="O360" s="299">
        <v>1.2959644469930471</v>
      </c>
      <c r="P360" s="210"/>
      <c r="Q360" s="210"/>
      <c r="R360" s="210"/>
      <c r="S360" s="210"/>
      <c r="T360" s="210"/>
      <c r="U360" s="210"/>
      <c r="V360" s="210"/>
      <c r="W360" s="210"/>
      <c r="X360" s="210"/>
      <c r="Y360" s="210"/>
      <c r="Z360" s="210"/>
      <c r="AA360" s="210"/>
      <c r="AB360" s="300"/>
      <c r="AC360" s="210"/>
      <c r="AD360" s="210"/>
      <c r="AE360" s="210"/>
      <c r="AF360" s="210"/>
      <c r="AG360" s="300"/>
      <c r="AH360" s="210"/>
      <c r="AI360" s="210"/>
      <c r="AJ360" s="210"/>
      <c r="AK360" s="284"/>
      <c r="AL360" s="284"/>
      <c r="AM360" s="42"/>
      <c r="AN360" s="6"/>
    </row>
    <row r="361" spans="1:40" s="7" customFormat="1">
      <c r="A361" s="47"/>
      <c r="B361" s="283"/>
      <c r="C361" s="37"/>
      <c r="D361" s="37"/>
      <c r="E361" s="345"/>
      <c r="F361" s="300"/>
      <c r="G361" s="279"/>
      <c r="H361" s="300"/>
      <c r="I361" s="210"/>
      <c r="J361" s="210"/>
      <c r="K361" s="210"/>
      <c r="L361" s="210"/>
      <c r="M361" s="210"/>
      <c r="N361" s="299">
        <f>105/746.1*100</f>
        <v>14.073180538801768</v>
      </c>
      <c r="O361" s="299">
        <v>0.56196688409433027</v>
      </c>
      <c r="P361" s="210"/>
      <c r="Q361" s="210"/>
      <c r="R361" s="210"/>
      <c r="S361" s="210"/>
      <c r="T361" s="210"/>
      <c r="U361" s="210"/>
      <c r="V361" s="210"/>
      <c r="W361" s="210"/>
      <c r="X361" s="210"/>
      <c r="Y361" s="210"/>
      <c r="Z361" s="210"/>
      <c r="AA361" s="210"/>
      <c r="AB361" s="300"/>
      <c r="AC361" s="210"/>
      <c r="AD361" s="210"/>
      <c r="AE361" s="210"/>
      <c r="AF361" s="210"/>
      <c r="AG361" s="210"/>
      <c r="AH361" s="210"/>
      <c r="AI361" s="210"/>
      <c r="AJ361" s="210"/>
      <c r="AK361" s="284"/>
      <c r="AL361" s="284"/>
      <c r="AM361" s="42"/>
      <c r="AN361" s="6"/>
    </row>
    <row r="362" spans="1:40" s="7" customFormat="1">
      <c r="A362" s="47"/>
      <c r="B362" s="283"/>
      <c r="C362" s="37"/>
      <c r="D362" s="37"/>
      <c r="E362" s="345"/>
      <c r="F362" s="210"/>
      <c r="G362" s="279"/>
      <c r="H362" s="300"/>
      <c r="I362" s="210"/>
      <c r="J362" s="210"/>
      <c r="K362" s="210"/>
      <c r="L362" s="210"/>
      <c r="M362" s="210"/>
      <c r="N362" s="299">
        <f>11.2/746.1*100</f>
        <v>1.5011392574721887</v>
      </c>
      <c r="O362" s="299">
        <v>1.5024012615583111</v>
      </c>
      <c r="P362" s="210"/>
      <c r="Q362" s="210"/>
      <c r="R362" s="210"/>
      <c r="S362" s="210"/>
      <c r="T362" s="210"/>
      <c r="U362" s="210"/>
      <c r="V362" s="210"/>
      <c r="W362" s="210"/>
      <c r="X362" s="210"/>
      <c r="Y362" s="210"/>
      <c r="Z362" s="210"/>
      <c r="AA362" s="210"/>
      <c r="AB362" s="300"/>
      <c r="AC362" s="210"/>
      <c r="AD362" s="210"/>
      <c r="AE362" s="210"/>
      <c r="AF362" s="210"/>
      <c r="AG362" s="210"/>
      <c r="AH362" s="210"/>
      <c r="AI362" s="210"/>
      <c r="AJ362" s="210"/>
      <c r="AK362" s="284"/>
      <c r="AL362" s="284"/>
      <c r="AM362" s="42"/>
      <c r="AN362" s="6"/>
    </row>
    <row r="363" spans="1:40" s="7" customFormat="1">
      <c r="A363" s="47"/>
      <c r="B363" s="283"/>
      <c r="C363" s="37"/>
      <c r="D363" s="37"/>
      <c r="E363" s="345"/>
      <c r="F363" s="210"/>
      <c r="G363" s="210"/>
      <c r="H363" s="300"/>
      <c r="I363" s="210"/>
      <c r="J363" s="210"/>
      <c r="K363" s="210"/>
      <c r="L363" s="210"/>
      <c r="M363" s="210"/>
      <c r="N363" s="299">
        <f>15.1/746.1*100</f>
        <v>2.02385739177054</v>
      </c>
      <c r="O363" s="299">
        <v>1.8607985090674506</v>
      </c>
      <c r="P363" s="210"/>
      <c r="Q363" s="210"/>
      <c r="R363" s="210"/>
      <c r="S363" s="210"/>
      <c r="T363" s="210"/>
      <c r="U363" s="210"/>
      <c r="V363" s="210"/>
      <c r="W363" s="210"/>
      <c r="X363" s="210"/>
      <c r="Y363" s="210"/>
      <c r="Z363" s="210"/>
      <c r="AA363" s="210"/>
      <c r="AB363" s="300"/>
      <c r="AC363" s="210"/>
      <c r="AD363" s="210"/>
      <c r="AE363" s="210"/>
      <c r="AF363" s="210"/>
      <c r="AG363" s="210"/>
      <c r="AH363" s="210"/>
      <c r="AI363" s="210"/>
      <c r="AJ363" s="210"/>
      <c r="AK363" s="284"/>
      <c r="AL363" s="284"/>
      <c r="AM363" s="42"/>
      <c r="AN363" s="6"/>
    </row>
    <row r="364" spans="1:40" s="7" customFormat="1">
      <c r="A364" s="47"/>
      <c r="B364" s="283"/>
      <c r="C364" s="37"/>
      <c r="D364" s="37"/>
      <c r="E364" s="345"/>
      <c r="F364" s="210"/>
      <c r="G364" s="210"/>
      <c r="H364" s="210"/>
      <c r="I364" s="210"/>
      <c r="J364" s="210"/>
      <c r="K364" s="210"/>
      <c r="L364" s="210"/>
      <c r="M364" s="210"/>
      <c r="N364" s="299">
        <f>11.7/746.1*100</f>
        <v>1.5681544028950543</v>
      </c>
      <c r="O364" s="299">
        <v>1.9296107805892051</v>
      </c>
      <c r="P364" s="210"/>
      <c r="Q364" s="210"/>
      <c r="R364" s="210"/>
      <c r="S364" s="210"/>
      <c r="T364" s="210"/>
      <c r="U364" s="210"/>
      <c r="V364" s="210"/>
      <c r="W364" s="210"/>
      <c r="X364" s="210"/>
      <c r="Y364" s="210"/>
      <c r="Z364" s="210"/>
      <c r="AA364" s="210"/>
      <c r="AB364" s="300"/>
      <c r="AC364" s="210"/>
      <c r="AD364" s="210"/>
      <c r="AE364" s="210"/>
      <c r="AF364" s="210"/>
      <c r="AG364" s="210"/>
      <c r="AH364" s="210"/>
      <c r="AI364" s="210"/>
      <c r="AJ364" s="210"/>
      <c r="AK364" s="284"/>
      <c r="AL364" s="284"/>
      <c r="AM364" s="42"/>
      <c r="AN364" s="6"/>
    </row>
    <row r="365" spans="1:40" s="7" customFormat="1">
      <c r="A365" s="47"/>
      <c r="B365" s="283"/>
      <c r="C365" s="37"/>
      <c r="D365" s="37"/>
      <c r="E365" s="345"/>
      <c r="F365" s="210"/>
      <c r="G365" s="210"/>
      <c r="H365" s="210"/>
      <c r="I365" s="210"/>
      <c r="J365" s="210"/>
      <c r="K365" s="210"/>
      <c r="L365" s="210"/>
      <c r="M365" s="210"/>
      <c r="N365" s="299">
        <f>55.5/746.1*100</f>
        <v>7.4386811419380781</v>
      </c>
      <c r="O365" s="299">
        <v>0.55909970611425708</v>
      </c>
      <c r="P365" s="210"/>
      <c r="Q365" s="210"/>
      <c r="R365" s="210"/>
      <c r="S365" s="210"/>
      <c r="T365" s="210"/>
      <c r="U365" s="210"/>
      <c r="V365" s="210"/>
      <c r="W365" s="210"/>
      <c r="X365" s="210"/>
      <c r="Y365" s="210"/>
      <c r="Z365" s="210"/>
      <c r="AA365" s="210"/>
      <c r="AB365" s="210"/>
      <c r="AC365" s="210"/>
      <c r="AD365" s="210"/>
      <c r="AE365" s="210"/>
      <c r="AF365" s="210"/>
      <c r="AG365" s="210"/>
      <c r="AH365" s="210"/>
      <c r="AI365" s="210"/>
      <c r="AJ365" s="210"/>
      <c r="AK365" s="284"/>
      <c r="AL365" s="284"/>
      <c r="AM365" s="42"/>
      <c r="AN365" s="6"/>
    </row>
    <row r="366" spans="1:40" s="7" customFormat="1">
      <c r="A366" s="47"/>
      <c r="B366" s="283"/>
      <c r="C366" s="37"/>
      <c r="D366" s="37"/>
      <c r="E366" s="345"/>
      <c r="F366" s="210"/>
      <c r="G366" s="210"/>
      <c r="H366" s="210"/>
      <c r="I366" s="210"/>
      <c r="J366" s="210"/>
      <c r="K366" s="210"/>
      <c r="L366" s="210"/>
      <c r="M366" s="210"/>
      <c r="N366" s="299">
        <f>11/746.1*100</f>
        <v>1.4743331993030424</v>
      </c>
      <c r="O366" s="299">
        <v>0.8028098344204716</v>
      </c>
      <c r="P366" s="210"/>
      <c r="Q366" s="210"/>
      <c r="R366" s="210"/>
      <c r="S366" s="210"/>
      <c r="T366" s="210"/>
      <c r="U366" s="210"/>
      <c r="V366" s="210"/>
      <c r="W366" s="210"/>
      <c r="X366" s="210"/>
      <c r="Y366" s="210"/>
      <c r="Z366" s="210"/>
      <c r="AA366" s="210"/>
      <c r="AB366" s="210"/>
      <c r="AC366" s="210"/>
      <c r="AD366" s="210"/>
      <c r="AE366" s="210"/>
      <c r="AF366" s="210"/>
      <c r="AG366" s="210"/>
      <c r="AH366" s="210"/>
      <c r="AI366" s="210"/>
      <c r="AJ366" s="210"/>
      <c r="AK366" s="284"/>
      <c r="AL366" s="284"/>
      <c r="AM366" s="42"/>
      <c r="AN366" s="6"/>
    </row>
    <row r="367" spans="1:40" s="7" customFormat="1">
      <c r="A367" s="47"/>
      <c r="B367" s="283"/>
      <c r="C367" s="37"/>
      <c r="D367" s="37"/>
      <c r="E367" s="345"/>
      <c r="F367" s="210"/>
      <c r="G367" s="210"/>
      <c r="H367" s="210"/>
      <c r="I367" s="210"/>
      <c r="J367" s="210"/>
      <c r="K367" s="210"/>
      <c r="L367" s="210"/>
      <c r="M367" s="210"/>
      <c r="N367" s="299">
        <f>15/746.1*100</f>
        <v>2.0104543626859672</v>
      </c>
      <c r="O367" s="299">
        <v>0.60784173177549994</v>
      </c>
      <c r="P367" s="210"/>
      <c r="Q367" s="210"/>
      <c r="R367" s="210"/>
      <c r="S367" s="210"/>
      <c r="T367" s="210"/>
      <c r="U367" s="210"/>
      <c r="V367" s="210"/>
      <c r="W367" s="210"/>
      <c r="X367" s="210"/>
      <c r="Y367" s="210"/>
      <c r="Z367" s="210"/>
      <c r="AA367" s="210"/>
      <c r="AB367" s="210"/>
      <c r="AC367" s="210"/>
      <c r="AD367" s="210"/>
      <c r="AE367" s="210"/>
      <c r="AF367" s="210"/>
      <c r="AG367" s="210"/>
      <c r="AH367" s="210"/>
      <c r="AI367" s="210"/>
      <c r="AJ367" s="210"/>
      <c r="AK367" s="284"/>
      <c r="AL367" s="284"/>
      <c r="AM367" s="42"/>
      <c r="AN367" s="6"/>
    </row>
    <row r="368" spans="1:40" s="7" customFormat="1">
      <c r="A368" s="47"/>
      <c r="B368" s="283"/>
      <c r="C368" s="37"/>
      <c r="D368" s="37"/>
      <c r="E368" s="345"/>
      <c r="F368" s="210"/>
      <c r="G368" s="210"/>
      <c r="H368" s="210"/>
      <c r="I368" s="210"/>
      <c r="J368" s="210"/>
      <c r="K368" s="210"/>
      <c r="L368" s="210"/>
      <c r="M368" s="210"/>
      <c r="N368" s="299">
        <f>18.3/746.1*100</f>
        <v>2.45275432247688</v>
      </c>
      <c r="O368" s="299">
        <v>0.33832700164862733</v>
      </c>
      <c r="P368" s="210"/>
      <c r="Q368" s="210"/>
      <c r="R368" s="210"/>
      <c r="S368" s="210"/>
      <c r="T368" s="210"/>
      <c r="U368" s="210"/>
      <c r="V368" s="210"/>
      <c r="W368" s="210"/>
      <c r="X368" s="210"/>
      <c r="Y368" s="210"/>
      <c r="Z368" s="210"/>
      <c r="AA368" s="210"/>
      <c r="AB368" s="210"/>
      <c r="AC368" s="210"/>
      <c r="AD368" s="210"/>
      <c r="AE368" s="210"/>
      <c r="AF368" s="210"/>
      <c r="AG368" s="210"/>
      <c r="AH368" s="210"/>
      <c r="AI368" s="210"/>
      <c r="AJ368" s="210"/>
      <c r="AK368" s="284"/>
      <c r="AL368" s="284"/>
      <c r="AM368" s="42"/>
      <c r="AN368" s="6"/>
    </row>
    <row r="369" spans="1:40" s="7" customFormat="1">
      <c r="A369" s="47"/>
      <c r="B369" s="283"/>
      <c r="C369" s="37"/>
      <c r="D369" s="37"/>
      <c r="E369" s="345"/>
      <c r="F369" s="210"/>
      <c r="G369" s="210"/>
      <c r="H369" s="210"/>
      <c r="I369" s="210"/>
      <c r="J369" s="210"/>
      <c r="K369" s="210"/>
      <c r="L369" s="210"/>
      <c r="M369" s="210"/>
      <c r="N369" s="300"/>
      <c r="O369" s="299">
        <v>0.7167944950182783</v>
      </c>
      <c r="P369" s="210"/>
      <c r="Q369" s="210"/>
      <c r="R369" s="210"/>
      <c r="S369" s="210"/>
      <c r="T369" s="210"/>
      <c r="U369" s="210"/>
      <c r="V369" s="210"/>
      <c r="W369" s="210"/>
      <c r="X369" s="210"/>
      <c r="Y369" s="210"/>
      <c r="Z369" s="210"/>
      <c r="AA369" s="210"/>
      <c r="AB369" s="210"/>
      <c r="AC369" s="210"/>
      <c r="AD369" s="210"/>
      <c r="AE369" s="210"/>
      <c r="AF369" s="210"/>
      <c r="AG369" s="210"/>
      <c r="AH369" s="210"/>
      <c r="AI369" s="210"/>
      <c r="AJ369" s="210"/>
      <c r="AK369" s="284"/>
      <c r="AL369" s="284"/>
      <c r="AM369" s="42"/>
      <c r="AN369" s="6"/>
    </row>
    <row r="370" spans="1:40" s="7" customFormat="1">
      <c r="A370" s="47"/>
      <c r="B370" s="283"/>
      <c r="C370" s="37"/>
      <c r="D370" s="37"/>
      <c r="E370" s="345"/>
      <c r="F370" s="210"/>
      <c r="G370" s="210"/>
      <c r="H370" s="210"/>
      <c r="I370" s="210"/>
      <c r="J370" s="210"/>
      <c r="K370" s="210"/>
      <c r="L370" s="210"/>
      <c r="M370" s="210"/>
      <c r="N370" s="300"/>
      <c r="O370" s="299">
        <v>0.3354598236685542</v>
      </c>
      <c r="P370" s="210"/>
      <c r="Q370" s="210"/>
      <c r="R370" s="210"/>
      <c r="S370" s="210"/>
      <c r="T370" s="210"/>
      <c r="U370" s="210"/>
      <c r="V370" s="210"/>
      <c r="W370" s="210"/>
      <c r="X370" s="210"/>
      <c r="Y370" s="210"/>
      <c r="Z370" s="210"/>
      <c r="AA370" s="210"/>
      <c r="AB370" s="210"/>
      <c r="AC370" s="210"/>
      <c r="AD370" s="210"/>
      <c r="AE370" s="210"/>
      <c r="AF370" s="210"/>
      <c r="AG370" s="210"/>
      <c r="AH370" s="210"/>
      <c r="AI370" s="210"/>
      <c r="AJ370" s="210"/>
      <c r="AK370" s="284"/>
      <c r="AL370" s="284"/>
      <c r="AM370" s="42"/>
      <c r="AN370" s="6"/>
    </row>
    <row r="371" spans="1:40" s="7" customFormat="1">
      <c r="A371" s="47"/>
      <c r="B371" s="283"/>
      <c r="C371" s="37"/>
      <c r="D371" s="37"/>
      <c r="E371" s="345"/>
      <c r="F371" s="210"/>
      <c r="G371" s="210"/>
      <c r="H371" s="210"/>
      <c r="I371" s="210"/>
      <c r="J371" s="210"/>
      <c r="K371" s="210"/>
      <c r="L371" s="210"/>
      <c r="M371" s="210"/>
      <c r="N371" s="300"/>
      <c r="O371" s="299">
        <v>2.5116479105440468</v>
      </c>
      <c r="P371" s="210"/>
      <c r="Q371" s="210"/>
      <c r="R371" s="210"/>
      <c r="S371" s="210"/>
      <c r="T371" s="210"/>
      <c r="U371" s="210"/>
      <c r="V371" s="210"/>
      <c r="W371" s="210"/>
      <c r="X371" s="210"/>
      <c r="Y371" s="210"/>
      <c r="Z371" s="210"/>
      <c r="AA371" s="210"/>
      <c r="AB371" s="210"/>
      <c r="AC371" s="210"/>
      <c r="AD371" s="210"/>
      <c r="AE371" s="210"/>
      <c r="AF371" s="210"/>
      <c r="AG371" s="210"/>
      <c r="AH371" s="210"/>
      <c r="AI371" s="210"/>
      <c r="AJ371" s="210"/>
      <c r="AK371" s="284"/>
      <c r="AL371" s="284"/>
      <c r="AM371" s="42"/>
      <c r="AN371" s="6"/>
    </row>
    <row r="372" spans="1:40" s="7" customFormat="1">
      <c r="A372" s="47"/>
      <c r="B372" s="283"/>
      <c r="C372" s="37"/>
      <c r="D372" s="37"/>
      <c r="E372" s="345"/>
      <c r="F372" s="210"/>
      <c r="G372" s="210"/>
      <c r="H372" s="210"/>
      <c r="I372" s="210"/>
      <c r="J372" s="210"/>
      <c r="K372" s="210"/>
      <c r="L372" s="210"/>
      <c r="M372" s="210"/>
      <c r="N372" s="300"/>
      <c r="O372" s="299">
        <v>1.1755429718299764</v>
      </c>
      <c r="P372" s="210"/>
      <c r="Q372" s="210"/>
      <c r="R372" s="210"/>
      <c r="S372" s="210"/>
      <c r="T372" s="210"/>
      <c r="U372" s="210"/>
      <c r="V372" s="210"/>
      <c r="W372" s="210"/>
      <c r="X372" s="210"/>
      <c r="Y372" s="210"/>
      <c r="Z372" s="210"/>
      <c r="AA372" s="210"/>
      <c r="AB372" s="210"/>
      <c r="AC372" s="210"/>
      <c r="AD372" s="210"/>
      <c r="AE372" s="210"/>
      <c r="AF372" s="210"/>
      <c r="AG372" s="210"/>
      <c r="AH372" s="210"/>
      <c r="AI372" s="210"/>
      <c r="AJ372" s="210"/>
      <c r="AK372" s="284"/>
      <c r="AL372" s="284"/>
      <c r="AM372" s="42"/>
      <c r="AN372" s="6"/>
    </row>
    <row r="373" spans="1:40" s="7" customFormat="1">
      <c r="A373" s="47"/>
      <c r="B373" s="283"/>
      <c r="C373" s="37"/>
      <c r="D373" s="37"/>
      <c r="E373" s="345"/>
      <c r="F373" s="210"/>
      <c r="G373" s="210"/>
      <c r="H373" s="210"/>
      <c r="I373" s="210"/>
      <c r="J373" s="210"/>
      <c r="K373" s="210"/>
      <c r="L373" s="210"/>
      <c r="M373" s="210"/>
      <c r="N373" s="300"/>
      <c r="O373" s="299">
        <v>3.4692853558884669</v>
      </c>
      <c r="P373" s="210"/>
      <c r="Q373" s="210"/>
      <c r="R373" s="210"/>
      <c r="S373" s="210"/>
      <c r="T373" s="210"/>
      <c r="U373" s="210"/>
      <c r="V373" s="210"/>
      <c r="W373" s="210"/>
      <c r="X373" s="210"/>
      <c r="Y373" s="210"/>
      <c r="Z373" s="210"/>
      <c r="AA373" s="210"/>
      <c r="AB373" s="210"/>
      <c r="AC373" s="210"/>
      <c r="AD373" s="210"/>
      <c r="AE373" s="210"/>
      <c r="AF373" s="210"/>
      <c r="AG373" s="210"/>
      <c r="AH373" s="210"/>
      <c r="AI373" s="210"/>
      <c r="AJ373" s="210"/>
      <c r="AK373" s="284"/>
      <c r="AL373" s="284"/>
      <c r="AM373" s="42"/>
      <c r="AN373" s="6"/>
    </row>
    <row r="374" spans="1:40" s="7" customFormat="1">
      <c r="A374" s="47"/>
      <c r="B374" s="283"/>
      <c r="C374" s="37"/>
      <c r="D374" s="37"/>
      <c r="E374" s="345"/>
      <c r="F374" s="210"/>
      <c r="G374" s="210"/>
      <c r="H374" s="210"/>
      <c r="I374" s="210"/>
      <c r="J374" s="210"/>
      <c r="K374" s="210"/>
      <c r="L374" s="210"/>
      <c r="M374" s="210"/>
      <c r="N374" s="300"/>
      <c r="O374" s="299">
        <v>0.67952118127732775</v>
      </c>
      <c r="P374" s="210"/>
      <c r="Q374" s="210"/>
      <c r="R374" s="210"/>
      <c r="S374" s="210"/>
      <c r="T374" s="210"/>
      <c r="U374" s="210"/>
      <c r="V374" s="210"/>
      <c r="W374" s="210"/>
      <c r="X374" s="210"/>
      <c r="Y374" s="210"/>
      <c r="Z374" s="210"/>
      <c r="AA374" s="210"/>
      <c r="AB374" s="210"/>
      <c r="AC374" s="210"/>
      <c r="AD374" s="210"/>
      <c r="AE374" s="210"/>
      <c r="AF374" s="210"/>
      <c r="AG374" s="210"/>
      <c r="AH374" s="210"/>
      <c r="AI374" s="210"/>
      <c r="AJ374" s="210"/>
      <c r="AK374" s="294"/>
      <c r="AL374" s="294"/>
      <c r="AM374" s="42"/>
      <c r="AN374" s="6"/>
    </row>
    <row r="375" spans="1:40" s="7" customFormat="1">
      <c r="A375" s="47"/>
      <c r="B375" s="283"/>
      <c r="C375" s="37"/>
      <c r="D375" s="37"/>
      <c r="E375" s="345"/>
      <c r="F375" s="210"/>
      <c r="G375" s="210"/>
      <c r="H375" s="210"/>
      <c r="I375" s="210"/>
      <c r="J375" s="210"/>
      <c r="K375" s="210"/>
      <c r="L375" s="210"/>
      <c r="M375" s="210"/>
      <c r="N375" s="210"/>
      <c r="O375" s="299">
        <v>7.5234750197118476</v>
      </c>
      <c r="P375" s="210"/>
      <c r="Q375" s="210"/>
      <c r="R375" s="210"/>
      <c r="S375" s="210"/>
      <c r="T375" s="210"/>
      <c r="U375" s="210"/>
      <c r="V375" s="210"/>
      <c r="W375" s="210"/>
      <c r="X375" s="210"/>
      <c r="Y375" s="210"/>
      <c r="Z375" s="210"/>
      <c r="AA375" s="210"/>
      <c r="AB375" s="210"/>
      <c r="AC375" s="210"/>
      <c r="AD375" s="210"/>
      <c r="AE375" s="210"/>
      <c r="AF375" s="210"/>
      <c r="AG375" s="210"/>
      <c r="AH375" s="210"/>
      <c r="AI375" s="210"/>
      <c r="AJ375" s="210"/>
      <c r="AK375" s="294"/>
      <c r="AL375" s="294"/>
      <c r="AM375" s="42"/>
      <c r="AN375" s="6"/>
    </row>
    <row r="376" spans="1:40" s="7" customFormat="1">
      <c r="A376" s="47"/>
      <c r="B376" s="283"/>
      <c r="C376" s="37"/>
      <c r="D376" s="37"/>
      <c r="E376" s="345"/>
      <c r="F376" s="210"/>
      <c r="G376" s="210"/>
      <c r="H376" s="210"/>
      <c r="I376" s="210"/>
      <c r="J376" s="210"/>
      <c r="K376" s="210"/>
      <c r="L376" s="210"/>
      <c r="M376" s="210"/>
      <c r="N376" s="210"/>
      <c r="O376" s="299">
        <v>2.0500322557522757</v>
      </c>
      <c r="P376" s="210"/>
      <c r="Q376" s="210"/>
      <c r="R376" s="210"/>
      <c r="S376" s="210"/>
      <c r="T376" s="210"/>
      <c r="U376" s="210"/>
      <c r="V376" s="210"/>
      <c r="W376" s="210"/>
      <c r="X376" s="210"/>
      <c r="Y376" s="210"/>
      <c r="Z376" s="210"/>
      <c r="AA376" s="210"/>
      <c r="AB376" s="210"/>
      <c r="AC376" s="210"/>
      <c r="AD376" s="210"/>
      <c r="AE376" s="210"/>
      <c r="AF376" s="210"/>
      <c r="AG376" s="210"/>
      <c r="AH376" s="210"/>
      <c r="AI376" s="210"/>
      <c r="AJ376" s="210"/>
      <c r="AK376" s="294"/>
      <c r="AL376" s="294"/>
      <c r="AM376" s="42"/>
      <c r="AN376" s="6"/>
    </row>
    <row r="377" spans="1:40" s="7" customFormat="1">
      <c r="A377" s="47"/>
      <c r="B377" s="283"/>
      <c r="C377" s="37"/>
      <c r="D377" s="37"/>
      <c r="E377" s="345"/>
      <c r="F377" s="210"/>
      <c r="G377" s="210"/>
      <c r="H377" s="210"/>
      <c r="I377" s="210"/>
      <c r="J377" s="210"/>
      <c r="K377" s="210"/>
      <c r="L377" s="210"/>
      <c r="M377" s="210"/>
      <c r="N377" s="210"/>
      <c r="O377" s="299">
        <v>5.2756074833345279</v>
      </c>
      <c r="P377" s="210"/>
      <c r="Q377" s="210"/>
      <c r="R377" s="210"/>
      <c r="S377" s="210"/>
      <c r="T377" s="210"/>
      <c r="U377" s="210"/>
      <c r="V377" s="210"/>
      <c r="W377" s="210"/>
      <c r="X377" s="210"/>
      <c r="Y377" s="210"/>
      <c r="Z377" s="210"/>
      <c r="AA377" s="210"/>
      <c r="AB377" s="210"/>
      <c r="AC377" s="210"/>
      <c r="AD377" s="210"/>
      <c r="AE377" s="210"/>
      <c r="AF377" s="210"/>
      <c r="AG377" s="210"/>
      <c r="AH377" s="210"/>
      <c r="AI377" s="210"/>
      <c r="AJ377" s="210"/>
      <c r="AK377" s="294"/>
      <c r="AL377" s="294"/>
      <c r="AM377" s="42"/>
      <c r="AN377" s="6"/>
    </row>
    <row r="378" spans="1:40" s="7" customFormat="1">
      <c r="A378" s="47"/>
      <c r="B378" s="283"/>
      <c r="C378" s="37"/>
      <c r="D378" s="37"/>
      <c r="E378" s="345"/>
      <c r="F378" s="210"/>
      <c r="G378" s="210"/>
      <c r="H378" s="210"/>
      <c r="I378" s="210"/>
      <c r="J378" s="210"/>
      <c r="K378" s="210"/>
      <c r="L378" s="210"/>
      <c r="M378" s="210"/>
      <c r="N378" s="210"/>
      <c r="O378" s="299">
        <v>2.6750770554082144</v>
      </c>
      <c r="P378" s="210"/>
      <c r="Q378" s="210"/>
      <c r="R378" s="210"/>
      <c r="S378" s="210"/>
      <c r="T378" s="210"/>
      <c r="U378" s="210"/>
      <c r="V378" s="210"/>
      <c r="W378" s="210"/>
      <c r="X378" s="210"/>
      <c r="Y378" s="210"/>
      <c r="Z378" s="210"/>
      <c r="AA378" s="210"/>
      <c r="AB378" s="210"/>
      <c r="AC378" s="210"/>
      <c r="AD378" s="210"/>
      <c r="AE378" s="210"/>
      <c r="AF378" s="210"/>
      <c r="AG378" s="210"/>
      <c r="AH378" s="210"/>
      <c r="AI378" s="210"/>
      <c r="AJ378" s="210"/>
      <c r="AK378" s="294"/>
      <c r="AL378" s="294"/>
      <c r="AM378" s="42"/>
      <c r="AN378" s="6"/>
    </row>
    <row r="379" spans="1:40" s="7" customFormat="1">
      <c r="A379" s="47"/>
      <c r="B379" s="283"/>
      <c r="C379" s="37"/>
      <c r="D379" s="37"/>
      <c r="E379" s="345"/>
      <c r="F379" s="210"/>
      <c r="G379" s="210"/>
      <c r="H379" s="210"/>
      <c r="I379" s="210"/>
      <c r="J379" s="210"/>
      <c r="K379" s="210"/>
      <c r="L379" s="210"/>
      <c r="M379" s="210"/>
      <c r="N379" s="210"/>
      <c r="O379" s="103">
        <v>1.0522543186868325</v>
      </c>
      <c r="P379" s="210"/>
      <c r="Q379" s="210"/>
      <c r="R379" s="210"/>
      <c r="S379" s="210"/>
      <c r="T379" s="210"/>
      <c r="U379" s="210"/>
      <c r="V379" s="210"/>
      <c r="W379" s="210"/>
      <c r="X379" s="210"/>
      <c r="Y379" s="210"/>
      <c r="Z379" s="210"/>
      <c r="AA379" s="210"/>
      <c r="AB379" s="210"/>
      <c r="AC379" s="210"/>
      <c r="AD379" s="210"/>
      <c r="AE379" s="210"/>
      <c r="AF379" s="210"/>
      <c r="AG379" s="210"/>
      <c r="AH379" s="210"/>
      <c r="AI379" s="210"/>
      <c r="AJ379" s="210"/>
      <c r="AK379" s="294"/>
      <c r="AL379" s="294"/>
      <c r="AM379" s="42"/>
      <c r="AN379" s="6"/>
    </row>
    <row r="380" spans="1:40" s="7" customFormat="1">
      <c r="A380" s="47"/>
      <c r="B380" s="283"/>
      <c r="C380" s="37"/>
      <c r="D380" s="37"/>
      <c r="E380" s="345"/>
      <c r="F380" s="210"/>
      <c r="G380" s="210"/>
      <c r="H380" s="210"/>
      <c r="I380" s="210"/>
      <c r="J380" s="210"/>
      <c r="K380" s="210"/>
      <c r="L380" s="210"/>
      <c r="M380" s="210"/>
      <c r="N380" s="210"/>
      <c r="O380" s="299">
        <v>4.2520249444484275</v>
      </c>
      <c r="P380" s="210"/>
      <c r="Q380" s="210"/>
      <c r="R380" s="210"/>
      <c r="S380" s="210"/>
      <c r="T380" s="210"/>
      <c r="U380" s="210"/>
      <c r="V380" s="210"/>
      <c r="W380" s="210"/>
      <c r="X380" s="210"/>
      <c r="Y380" s="210"/>
      <c r="Z380" s="210"/>
      <c r="AA380" s="210"/>
      <c r="AB380" s="210"/>
      <c r="AC380" s="210"/>
      <c r="AD380" s="210"/>
      <c r="AE380" s="210"/>
      <c r="AF380" s="210"/>
      <c r="AG380" s="210"/>
      <c r="AH380" s="210"/>
      <c r="AI380" s="210"/>
      <c r="AJ380" s="210"/>
      <c r="AK380" s="294"/>
      <c r="AL380" s="294"/>
      <c r="AM380" s="42"/>
      <c r="AN380" s="6"/>
    </row>
    <row r="381" spans="1:40" s="7" customFormat="1">
      <c r="A381" s="47"/>
      <c r="B381" s="283"/>
      <c r="C381" s="37"/>
      <c r="D381" s="37"/>
      <c r="E381" s="345"/>
      <c r="F381" s="210"/>
      <c r="G381" s="210"/>
      <c r="H381" s="210"/>
      <c r="I381" s="210"/>
      <c r="J381" s="210"/>
      <c r="K381" s="210"/>
      <c r="L381" s="210"/>
      <c r="M381" s="210"/>
      <c r="N381" s="210"/>
      <c r="O381" s="299">
        <v>1.8349939072467922</v>
      </c>
      <c r="P381" s="210"/>
      <c r="Q381" s="210"/>
      <c r="R381" s="210"/>
      <c r="S381" s="210"/>
      <c r="T381" s="210"/>
      <c r="U381" s="210"/>
      <c r="V381" s="210"/>
      <c r="W381" s="210"/>
      <c r="X381" s="210"/>
      <c r="Y381" s="210"/>
      <c r="Z381" s="210"/>
      <c r="AA381" s="210"/>
      <c r="AB381" s="210"/>
      <c r="AC381" s="210"/>
      <c r="AD381" s="210"/>
      <c r="AE381" s="210"/>
      <c r="AF381" s="210"/>
      <c r="AG381" s="210"/>
      <c r="AH381" s="210"/>
      <c r="AI381" s="210"/>
      <c r="AJ381" s="210"/>
      <c r="AK381" s="294"/>
      <c r="AL381" s="294"/>
      <c r="AM381" s="42"/>
      <c r="AN381" s="6"/>
    </row>
    <row r="382" spans="1:40" s="7" customFormat="1">
      <c r="A382" s="47"/>
      <c r="B382" s="283"/>
      <c r="C382" s="37"/>
      <c r="D382" s="37"/>
      <c r="E382" s="345"/>
      <c r="F382" s="210"/>
      <c r="G382" s="210"/>
      <c r="H382" s="210"/>
      <c r="I382" s="210"/>
      <c r="J382" s="210"/>
      <c r="K382" s="210"/>
      <c r="L382" s="210"/>
      <c r="M382" s="210"/>
      <c r="N382" s="210"/>
      <c r="O382" s="299">
        <v>1.2042147516307076</v>
      </c>
      <c r="P382" s="210"/>
      <c r="Q382" s="210"/>
      <c r="R382" s="210"/>
      <c r="S382" s="210"/>
      <c r="T382" s="210"/>
      <c r="U382" s="210"/>
      <c r="V382" s="210"/>
      <c r="W382" s="210"/>
      <c r="X382" s="210"/>
      <c r="Y382" s="210"/>
      <c r="Z382" s="210"/>
      <c r="AA382" s="210"/>
      <c r="AB382" s="210"/>
      <c r="AC382" s="210"/>
      <c r="AD382" s="210"/>
      <c r="AE382" s="210"/>
      <c r="AF382" s="210"/>
      <c r="AG382" s="210"/>
      <c r="AH382" s="210"/>
      <c r="AI382" s="210"/>
      <c r="AJ382" s="210"/>
      <c r="AK382" s="294"/>
      <c r="AL382" s="294"/>
      <c r="AM382" s="42"/>
      <c r="AN382" s="6"/>
    </row>
    <row r="383" spans="1:40" s="7" customFormat="1">
      <c r="A383" s="47"/>
      <c r="B383" s="283"/>
      <c r="C383" s="37"/>
      <c r="D383" s="37"/>
      <c r="E383" s="345"/>
      <c r="F383" s="210"/>
      <c r="G383" s="210"/>
      <c r="H383" s="210"/>
      <c r="I383" s="210"/>
      <c r="J383" s="210"/>
      <c r="K383" s="210"/>
      <c r="L383" s="210"/>
      <c r="M383" s="210"/>
      <c r="N383" s="210"/>
      <c r="O383" s="299">
        <v>1.748978567844599</v>
      </c>
      <c r="P383" s="210"/>
      <c r="Q383" s="210"/>
      <c r="R383" s="210"/>
      <c r="S383" s="210"/>
      <c r="T383" s="210"/>
      <c r="U383" s="210"/>
      <c r="V383" s="210"/>
      <c r="W383" s="210"/>
      <c r="X383" s="210"/>
      <c r="Y383" s="210"/>
      <c r="Z383" s="210"/>
      <c r="AA383" s="210"/>
      <c r="AB383" s="210"/>
      <c r="AC383" s="210"/>
      <c r="AD383" s="210"/>
      <c r="AE383" s="210"/>
      <c r="AF383" s="210"/>
      <c r="AG383" s="210"/>
      <c r="AH383" s="210"/>
      <c r="AI383" s="210"/>
      <c r="AJ383" s="210"/>
      <c r="AK383" s="294"/>
      <c r="AL383" s="294"/>
      <c r="AM383" s="42"/>
      <c r="AN383" s="6"/>
    </row>
    <row r="384" spans="1:40" s="7" customFormat="1">
      <c r="A384" s="47"/>
      <c r="B384" s="283"/>
      <c r="C384" s="37"/>
      <c r="D384" s="37"/>
      <c r="E384" s="345"/>
      <c r="F384" s="210"/>
      <c r="G384" s="210"/>
      <c r="H384" s="210"/>
      <c r="I384" s="210"/>
      <c r="J384" s="210"/>
      <c r="K384" s="210"/>
      <c r="L384" s="210"/>
      <c r="M384" s="210"/>
      <c r="N384" s="210"/>
      <c r="O384" s="299">
        <v>0.91749695362339612</v>
      </c>
      <c r="P384" s="210"/>
      <c r="Q384" s="210"/>
      <c r="R384" s="210"/>
      <c r="S384" s="210"/>
      <c r="T384" s="210"/>
      <c r="U384" s="210"/>
      <c r="V384" s="210"/>
      <c r="W384" s="210"/>
      <c r="X384" s="210"/>
      <c r="Y384" s="210"/>
      <c r="Z384" s="210"/>
      <c r="AA384" s="210"/>
      <c r="AB384" s="210"/>
      <c r="AC384" s="210"/>
      <c r="AD384" s="210"/>
      <c r="AE384" s="210"/>
      <c r="AF384" s="210"/>
      <c r="AG384" s="210"/>
      <c r="AH384" s="210"/>
      <c r="AI384" s="210"/>
      <c r="AJ384" s="210"/>
      <c r="AK384" s="294"/>
      <c r="AL384" s="294"/>
      <c r="AM384" s="42"/>
      <c r="AN384" s="6"/>
    </row>
    <row r="385" spans="1:50" s="7" customFormat="1">
      <c r="A385" s="47"/>
      <c r="B385" s="283"/>
      <c r="C385" s="37"/>
      <c r="D385" s="37"/>
      <c r="E385" s="345"/>
      <c r="F385" s="210"/>
      <c r="G385" s="210"/>
      <c r="H385" s="210"/>
      <c r="I385" s="210"/>
      <c r="J385" s="210"/>
      <c r="K385" s="210"/>
      <c r="L385" s="210"/>
      <c r="M385" s="210"/>
      <c r="N385" s="210"/>
      <c r="O385" s="299">
        <v>2.2650706042577595</v>
      </c>
      <c r="P385" s="210"/>
      <c r="Q385" s="210"/>
      <c r="R385" s="210"/>
      <c r="S385" s="210"/>
      <c r="T385" s="210"/>
      <c r="U385" s="210"/>
      <c r="V385" s="210"/>
      <c r="W385" s="210"/>
      <c r="X385" s="210"/>
      <c r="Y385" s="210"/>
      <c r="Z385" s="210"/>
      <c r="AA385" s="210"/>
      <c r="AB385" s="210"/>
      <c r="AC385" s="210"/>
      <c r="AD385" s="210"/>
      <c r="AE385" s="210"/>
      <c r="AF385" s="210"/>
      <c r="AG385" s="210"/>
      <c r="AH385" s="210"/>
      <c r="AI385" s="210"/>
      <c r="AJ385" s="210"/>
      <c r="AK385" s="294"/>
      <c r="AL385" s="294"/>
      <c r="AM385" s="42"/>
      <c r="AN385" s="6"/>
    </row>
    <row r="386" spans="1:50" s="7" customFormat="1">
      <c r="A386" s="47"/>
      <c r="B386" s="283"/>
      <c r="C386" s="37"/>
      <c r="D386" s="37"/>
      <c r="E386" s="345"/>
      <c r="F386" s="210"/>
      <c r="G386" s="210"/>
      <c r="H386" s="210"/>
      <c r="I386" s="210"/>
      <c r="J386" s="210"/>
      <c r="K386" s="210"/>
      <c r="L386" s="210"/>
      <c r="M386" s="210"/>
      <c r="N386" s="210"/>
      <c r="O386" s="299">
        <v>8.0280983442047149E-2</v>
      </c>
      <c r="P386" s="210"/>
      <c r="Q386" s="210"/>
      <c r="R386" s="210"/>
      <c r="S386" s="210"/>
      <c r="T386" s="210"/>
      <c r="U386" s="210"/>
      <c r="V386" s="210"/>
      <c r="W386" s="210"/>
      <c r="X386" s="210"/>
      <c r="Y386" s="210"/>
      <c r="Z386" s="210"/>
      <c r="AA386" s="210"/>
      <c r="AB386" s="210"/>
      <c r="AC386" s="210"/>
      <c r="AD386" s="210"/>
      <c r="AE386" s="210"/>
      <c r="AF386" s="210"/>
      <c r="AG386" s="210"/>
      <c r="AH386" s="210"/>
      <c r="AI386" s="210"/>
      <c r="AJ386" s="210"/>
      <c r="AK386" s="294"/>
      <c r="AL386" s="294"/>
      <c r="AM386" s="42"/>
      <c r="AN386" s="6"/>
    </row>
    <row r="387" spans="1:50" s="7" customFormat="1">
      <c r="A387" s="47"/>
      <c r="B387" s="283"/>
      <c r="C387" s="37"/>
      <c r="D387" s="37"/>
      <c r="E387" s="345"/>
      <c r="F387" s="210"/>
      <c r="G387" s="210"/>
      <c r="H387" s="210"/>
      <c r="I387" s="210"/>
      <c r="J387" s="210"/>
      <c r="K387" s="210"/>
      <c r="L387" s="210"/>
      <c r="M387" s="210"/>
      <c r="N387" s="210"/>
      <c r="O387" s="299">
        <v>0.55049817217403763</v>
      </c>
      <c r="P387" s="210"/>
      <c r="Q387" s="210"/>
      <c r="R387" s="210"/>
      <c r="S387" s="210"/>
      <c r="T387" s="210"/>
      <c r="U387" s="210"/>
      <c r="V387" s="210"/>
      <c r="W387" s="210"/>
      <c r="X387" s="210"/>
      <c r="Y387" s="210"/>
      <c r="Z387" s="210"/>
      <c r="AA387" s="210"/>
      <c r="AB387" s="210"/>
      <c r="AC387" s="210"/>
      <c r="AD387" s="210"/>
      <c r="AE387" s="210"/>
      <c r="AF387" s="210"/>
      <c r="AG387" s="210"/>
      <c r="AH387" s="210"/>
      <c r="AI387" s="210"/>
      <c r="AJ387" s="210"/>
      <c r="AK387" s="294"/>
      <c r="AL387" s="294"/>
      <c r="AM387" s="42"/>
      <c r="AN387" s="6"/>
    </row>
    <row r="388" spans="1:50" s="7" customFormat="1">
      <c r="A388" s="47"/>
      <c r="B388" s="283"/>
      <c r="C388" s="37"/>
      <c r="D388" s="37"/>
      <c r="E388" s="345"/>
      <c r="F388" s="210"/>
      <c r="G388" s="210"/>
      <c r="H388" s="210"/>
      <c r="I388" s="210"/>
      <c r="J388" s="210"/>
      <c r="K388" s="210"/>
      <c r="L388" s="210"/>
      <c r="M388" s="210"/>
      <c r="N388" s="210"/>
      <c r="O388" s="299">
        <v>0.94616873342412733</v>
      </c>
      <c r="P388" s="210"/>
      <c r="Q388" s="210"/>
      <c r="R388" s="210"/>
      <c r="S388" s="210"/>
      <c r="T388" s="210"/>
      <c r="U388" s="210"/>
      <c r="V388" s="210"/>
      <c r="W388" s="210"/>
      <c r="X388" s="210"/>
      <c r="Y388" s="210"/>
      <c r="Z388" s="210"/>
      <c r="AA388" s="210"/>
      <c r="AB388" s="210"/>
      <c r="AC388" s="210"/>
      <c r="AD388" s="210"/>
      <c r="AE388" s="210"/>
      <c r="AF388" s="210"/>
      <c r="AG388" s="210"/>
      <c r="AH388" s="210"/>
      <c r="AI388" s="210"/>
      <c r="AJ388" s="210"/>
      <c r="AK388" s="294"/>
      <c r="AL388" s="294"/>
      <c r="AM388" s="42"/>
      <c r="AN388" s="6"/>
    </row>
    <row r="389" spans="1:50" s="7" customFormat="1">
      <c r="A389" s="47"/>
      <c r="B389" s="283"/>
      <c r="C389" s="37"/>
      <c r="D389" s="37"/>
      <c r="E389" s="345"/>
      <c r="F389" s="210"/>
      <c r="G389" s="210"/>
      <c r="H389" s="210"/>
      <c r="I389" s="210"/>
      <c r="J389" s="210"/>
      <c r="K389" s="210"/>
      <c r="L389" s="210"/>
      <c r="M389" s="210"/>
      <c r="N389" s="210"/>
      <c r="O389" s="299">
        <v>0.8630205720020071</v>
      </c>
      <c r="P389" s="210"/>
      <c r="Q389" s="210"/>
      <c r="R389" s="210"/>
      <c r="S389" s="210"/>
      <c r="T389" s="210"/>
      <c r="U389" s="210"/>
      <c r="V389" s="210"/>
      <c r="W389" s="210"/>
      <c r="X389" s="210"/>
      <c r="Y389" s="210"/>
      <c r="Z389" s="210"/>
      <c r="AA389" s="210"/>
      <c r="AB389" s="210"/>
      <c r="AC389" s="210"/>
      <c r="AD389" s="210"/>
      <c r="AE389" s="210"/>
      <c r="AF389" s="210"/>
      <c r="AG389" s="210"/>
      <c r="AH389" s="210"/>
      <c r="AI389" s="210"/>
      <c r="AJ389" s="210"/>
      <c r="AK389" s="294"/>
      <c r="AL389" s="294"/>
      <c r="AM389" s="42"/>
      <c r="AN389" s="6"/>
    </row>
    <row r="390" spans="1:50" s="7" customFormat="1">
      <c r="A390" s="47"/>
      <c r="B390" s="283"/>
      <c r="C390" s="37"/>
      <c r="D390" s="37"/>
      <c r="E390" s="345"/>
      <c r="F390" s="210"/>
      <c r="G390" s="210"/>
      <c r="H390" s="210"/>
      <c r="I390" s="210"/>
      <c r="J390" s="210"/>
      <c r="K390" s="210"/>
      <c r="L390" s="210"/>
      <c r="M390" s="210"/>
      <c r="N390" s="210"/>
      <c r="O390" s="299">
        <v>0.82861443624112963</v>
      </c>
      <c r="P390" s="210"/>
      <c r="Q390" s="210"/>
      <c r="R390" s="210"/>
      <c r="S390" s="210"/>
      <c r="T390" s="210"/>
      <c r="U390" s="210"/>
      <c r="V390" s="210"/>
      <c r="W390" s="210"/>
      <c r="X390" s="210"/>
      <c r="Y390" s="210"/>
      <c r="Z390" s="210"/>
      <c r="AA390" s="210"/>
      <c r="AB390" s="210"/>
      <c r="AC390" s="210"/>
      <c r="AD390" s="210"/>
      <c r="AE390" s="210"/>
      <c r="AF390" s="210"/>
      <c r="AG390" s="210"/>
      <c r="AH390" s="210"/>
      <c r="AI390" s="210"/>
      <c r="AJ390" s="210"/>
      <c r="AK390" s="294"/>
      <c r="AL390" s="294"/>
      <c r="AM390" s="42"/>
      <c r="AN390" s="6"/>
    </row>
    <row r="391" spans="1:50" s="7" customFormat="1">
      <c r="A391" s="47"/>
      <c r="B391" s="283"/>
      <c r="C391" s="37"/>
      <c r="D391" s="37"/>
      <c r="E391" s="345"/>
      <c r="F391" s="210"/>
      <c r="G391" s="210"/>
      <c r="H391" s="210"/>
      <c r="I391" s="210"/>
      <c r="J391" s="210"/>
      <c r="K391" s="210"/>
      <c r="L391" s="210"/>
      <c r="M391" s="210"/>
      <c r="N391" s="210"/>
      <c r="O391" s="299">
        <v>1.0207153609060282</v>
      </c>
      <c r="P391" s="210"/>
      <c r="Q391" s="210"/>
      <c r="R391" s="210"/>
      <c r="S391" s="210"/>
      <c r="T391" s="210"/>
      <c r="U391" s="210"/>
      <c r="V391" s="210"/>
      <c r="W391" s="210"/>
      <c r="X391" s="210"/>
      <c r="Y391" s="210"/>
      <c r="Z391" s="210"/>
      <c r="AA391" s="210"/>
      <c r="AB391" s="210"/>
      <c r="AC391" s="210"/>
      <c r="AD391" s="210"/>
      <c r="AE391" s="210"/>
      <c r="AF391" s="210"/>
      <c r="AG391" s="210"/>
      <c r="AH391" s="210"/>
      <c r="AI391" s="210"/>
      <c r="AJ391" s="210"/>
      <c r="AK391" s="284"/>
      <c r="AL391" s="284"/>
      <c r="AM391" s="42"/>
      <c r="AN391" s="6"/>
    </row>
    <row r="392" spans="1:50" s="7" customFormat="1">
      <c r="A392" s="47"/>
      <c r="B392" s="283"/>
      <c r="C392" s="37"/>
      <c r="D392" s="37"/>
      <c r="E392" s="345"/>
      <c r="F392" s="210"/>
      <c r="G392" s="210"/>
      <c r="H392" s="210"/>
      <c r="I392" s="210"/>
      <c r="J392" s="210"/>
      <c r="K392" s="210"/>
      <c r="L392" s="210"/>
      <c r="M392" s="210"/>
      <c r="N392" s="210"/>
      <c r="O392" s="299">
        <v>0.9633718013045659</v>
      </c>
      <c r="P392" s="210"/>
      <c r="Q392" s="210"/>
      <c r="R392" s="210"/>
      <c r="S392" s="210"/>
      <c r="T392" s="210"/>
      <c r="U392" s="210"/>
      <c r="V392" s="210"/>
      <c r="W392" s="210"/>
      <c r="X392" s="210"/>
      <c r="Y392" s="210"/>
      <c r="Z392" s="210"/>
      <c r="AA392" s="210"/>
      <c r="AB392" s="210"/>
      <c r="AC392" s="210"/>
      <c r="AD392" s="210"/>
      <c r="AE392" s="210"/>
      <c r="AF392" s="210"/>
      <c r="AG392" s="210"/>
      <c r="AH392" s="210"/>
      <c r="AI392" s="210"/>
      <c r="AJ392" s="210"/>
      <c r="AK392" s="284"/>
      <c r="AL392" s="284"/>
      <c r="AM392" s="42"/>
      <c r="AN392" s="6"/>
    </row>
    <row r="393" spans="1:50" s="7" customFormat="1">
      <c r="A393" s="47"/>
      <c r="B393" s="283"/>
      <c r="C393" s="37"/>
      <c r="D393" s="37"/>
      <c r="E393" s="345"/>
      <c r="F393" s="210"/>
      <c r="G393" s="210"/>
      <c r="H393" s="210"/>
      <c r="I393" s="210"/>
      <c r="J393" s="210"/>
      <c r="K393" s="210"/>
      <c r="L393" s="210"/>
      <c r="M393" s="210"/>
      <c r="N393" s="210"/>
      <c r="O393" s="299">
        <v>0.60210737581535378</v>
      </c>
      <c r="P393" s="210"/>
      <c r="Q393" s="210"/>
      <c r="R393" s="210"/>
      <c r="S393" s="210"/>
      <c r="T393" s="210"/>
      <c r="U393" s="210"/>
      <c r="V393" s="210"/>
      <c r="W393" s="210"/>
      <c r="X393" s="210"/>
      <c r="Y393" s="210"/>
      <c r="Z393" s="210"/>
      <c r="AA393" s="210"/>
      <c r="AB393" s="210"/>
      <c r="AC393" s="210"/>
      <c r="AD393" s="210"/>
      <c r="AE393" s="210"/>
      <c r="AF393" s="210"/>
      <c r="AG393" s="210"/>
      <c r="AH393" s="210"/>
      <c r="AI393" s="210"/>
      <c r="AJ393" s="210"/>
      <c r="AK393" s="284"/>
      <c r="AL393" s="284"/>
      <c r="AM393" s="42"/>
      <c r="AN393" s="6"/>
    </row>
    <row r="394" spans="1:50" s="7" customFormat="1">
      <c r="A394" s="47"/>
      <c r="B394" s="283"/>
      <c r="C394" s="37"/>
      <c r="D394" s="37"/>
      <c r="E394" s="345"/>
      <c r="F394" s="210"/>
      <c r="G394" s="210"/>
      <c r="H394" s="210"/>
      <c r="I394" s="210"/>
      <c r="J394" s="210"/>
      <c r="K394" s="210"/>
      <c r="L394" s="210"/>
      <c r="M394" s="210"/>
      <c r="N394" s="210"/>
      <c r="O394" s="299">
        <v>0.17776503476453301</v>
      </c>
      <c r="P394" s="210"/>
      <c r="Q394" s="210"/>
      <c r="R394" s="210"/>
      <c r="S394" s="210"/>
      <c r="T394" s="210"/>
      <c r="U394" s="210"/>
      <c r="V394" s="210"/>
      <c r="W394" s="210"/>
      <c r="X394" s="210"/>
      <c r="Y394" s="210"/>
      <c r="Z394" s="210"/>
      <c r="AA394" s="210"/>
      <c r="AB394" s="210"/>
      <c r="AC394" s="210"/>
      <c r="AD394" s="210"/>
      <c r="AE394" s="210"/>
      <c r="AF394" s="210"/>
      <c r="AG394" s="210"/>
      <c r="AH394" s="210"/>
      <c r="AI394" s="210"/>
      <c r="AJ394" s="210"/>
      <c r="AK394" s="284"/>
      <c r="AL394" s="284"/>
      <c r="AM394" s="42"/>
      <c r="AN394" s="6"/>
    </row>
    <row r="395" spans="1:50" s="7" customFormat="1">
      <c r="A395" s="47"/>
      <c r="B395" s="283"/>
      <c r="C395" s="37"/>
      <c r="D395" s="37"/>
      <c r="E395" s="345"/>
      <c r="F395" s="210"/>
      <c r="G395" s="210"/>
      <c r="H395" s="210"/>
      <c r="I395" s="210"/>
      <c r="J395" s="210"/>
      <c r="K395" s="210"/>
      <c r="L395" s="210"/>
      <c r="M395" s="210"/>
      <c r="N395" s="210"/>
      <c r="O395" s="299">
        <v>3.6699878144935845</v>
      </c>
      <c r="P395" s="210"/>
      <c r="Q395" s="210"/>
      <c r="R395" s="210"/>
      <c r="S395" s="210"/>
      <c r="T395" s="210"/>
      <c r="U395" s="210"/>
      <c r="V395" s="210"/>
      <c r="W395" s="210"/>
      <c r="X395" s="210"/>
      <c r="Y395" s="210"/>
      <c r="Z395" s="210"/>
      <c r="AA395" s="210"/>
      <c r="AB395" s="210"/>
      <c r="AC395" s="210"/>
      <c r="AD395" s="210"/>
      <c r="AE395" s="210"/>
      <c r="AF395" s="210"/>
      <c r="AG395" s="210"/>
      <c r="AH395" s="210"/>
      <c r="AI395" s="210"/>
      <c r="AJ395" s="210"/>
      <c r="AK395" s="284"/>
      <c r="AL395" s="284"/>
      <c r="AM395" s="42"/>
      <c r="AN395" s="6"/>
    </row>
    <row r="396" spans="1:50" s="7" customFormat="1">
      <c r="A396" s="47"/>
      <c r="B396" s="283"/>
      <c r="C396" s="37"/>
      <c r="D396" s="37"/>
      <c r="E396" s="345"/>
      <c r="F396" s="210"/>
      <c r="G396" s="210"/>
      <c r="H396" s="210"/>
      <c r="I396" s="210"/>
      <c r="J396" s="210"/>
      <c r="K396" s="210"/>
      <c r="L396" s="210"/>
      <c r="M396" s="210"/>
      <c r="N396" s="210"/>
      <c r="O396" s="299">
        <v>0.2924521539674575</v>
      </c>
      <c r="P396" s="210"/>
      <c r="Q396" s="210"/>
      <c r="R396" s="210"/>
      <c r="S396" s="210"/>
      <c r="T396" s="210"/>
      <c r="U396" s="210"/>
      <c r="V396" s="210"/>
      <c r="W396" s="210"/>
      <c r="X396" s="210"/>
      <c r="Y396" s="210"/>
      <c r="Z396" s="210"/>
      <c r="AA396" s="210"/>
      <c r="AB396" s="210"/>
      <c r="AC396" s="210"/>
      <c r="AD396" s="210"/>
      <c r="AE396" s="210"/>
      <c r="AF396" s="210"/>
      <c r="AG396" s="210"/>
      <c r="AH396" s="210"/>
      <c r="AI396" s="210"/>
      <c r="AJ396" s="210"/>
      <c r="AK396" s="284"/>
      <c r="AL396" s="284"/>
      <c r="AM396" s="42"/>
      <c r="AN396" s="6"/>
    </row>
    <row r="397" spans="1:50" s="7" customFormat="1" ht="15.75" thickBot="1">
      <c r="A397" s="79"/>
      <c r="B397" s="51"/>
      <c r="C397" s="51"/>
      <c r="D397" s="51"/>
      <c r="E397" s="363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2"/>
      <c r="AK397" s="52"/>
      <c r="AL397" s="52"/>
      <c r="AM397" s="53"/>
      <c r="AN397" s="6"/>
    </row>
    <row r="398" spans="1:50" s="7" customFormat="1" ht="15.75" thickBot="1">
      <c r="A398" s="97"/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  <c r="AE398" s="95"/>
      <c r="AF398" s="95"/>
      <c r="AG398" s="95"/>
      <c r="AH398" s="95"/>
      <c r="AI398" s="95"/>
      <c r="AJ398" s="96"/>
      <c r="AK398" s="96"/>
      <c r="AL398" s="96"/>
      <c r="AM398" s="96"/>
      <c r="AN398" s="8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</row>
    <row r="399" spans="1:50" ht="19.5" thickBot="1">
      <c r="A399" s="274" t="s">
        <v>494</v>
      </c>
      <c r="B399" s="272"/>
      <c r="C399" s="272"/>
      <c r="D399" s="272"/>
      <c r="E399" s="272"/>
      <c r="F399" s="272"/>
      <c r="G399" s="272"/>
      <c r="H399" s="272"/>
      <c r="I399" s="272"/>
      <c r="J399" s="272"/>
      <c r="K399" s="272"/>
      <c r="L399" s="272"/>
      <c r="M399" s="272"/>
      <c r="N399" s="272"/>
      <c r="O399" s="272"/>
      <c r="P399" s="272"/>
      <c r="Q399" s="272"/>
      <c r="R399" s="272"/>
      <c r="S399" s="272"/>
      <c r="T399" s="272"/>
      <c r="U399" s="272"/>
      <c r="V399" s="272"/>
      <c r="W399" s="272"/>
      <c r="X399" s="272"/>
      <c r="Y399" s="272"/>
      <c r="Z399" s="272"/>
      <c r="AA399" s="272"/>
      <c r="AB399" s="272"/>
      <c r="AC399" s="272"/>
      <c r="AD399" s="272"/>
      <c r="AE399" s="272"/>
      <c r="AF399" s="272"/>
      <c r="AG399" s="272"/>
      <c r="AH399" s="272"/>
      <c r="AI399" s="272"/>
      <c r="AJ399" s="272"/>
      <c r="AK399" s="272"/>
      <c r="AL399" s="272"/>
      <c r="AM399" s="273"/>
    </row>
    <row r="400" spans="1:50">
      <c r="A400" s="24" t="s">
        <v>558</v>
      </c>
      <c r="B400" s="10"/>
      <c r="C400" s="65"/>
      <c r="D400" s="10"/>
      <c r="E400" s="36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9"/>
      <c r="AH400" s="10"/>
      <c r="AI400" s="10"/>
      <c r="AJ400" s="10"/>
      <c r="AK400" s="10"/>
      <c r="AL400" s="10"/>
      <c r="AM400" s="11"/>
    </row>
    <row r="401" spans="1:40">
      <c r="A401" s="43" t="s">
        <v>79</v>
      </c>
      <c r="B401" s="276" t="s">
        <v>134</v>
      </c>
      <c r="C401" s="276" t="s">
        <v>139</v>
      </c>
      <c r="D401" s="5"/>
      <c r="E401" s="364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12"/>
    </row>
    <row r="402" spans="1:40">
      <c r="A402" s="63" t="s">
        <v>150</v>
      </c>
      <c r="B402" s="275" t="s">
        <v>135</v>
      </c>
      <c r="C402" s="275" t="s">
        <v>138</v>
      </c>
      <c r="D402" s="275" t="s">
        <v>141</v>
      </c>
      <c r="E402" s="313" t="s">
        <v>4</v>
      </c>
      <c r="F402" s="275" t="s">
        <v>5</v>
      </c>
      <c r="G402" s="275" t="s">
        <v>6</v>
      </c>
      <c r="H402" s="275" t="s">
        <v>15</v>
      </c>
      <c r="I402" s="275" t="s">
        <v>7</v>
      </c>
      <c r="J402" s="275" t="s">
        <v>8</v>
      </c>
      <c r="K402" s="275" t="s">
        <v>9</v>
      </c>
      <c r="L402" s="275" t="s">
        <v>10</v>
      </c>
      <c r="M402" s="275" t="s">
        <v>2</v>
      </c>
      <c r="N402" s="275" t="s">
        <v>12</v>
      </c>
      <c r="O402" s="275" t="s">
        <v>30</v>
      </c>
      <c r="P402" s="275" t="s">
        <v>13</v>
      </c>
      <c r="Q402" s="275" t="s">
        <v>14</v>
      </c>
      <c r="R402" s="275" t="s">
        <v>45</v>
      </c>
      <c r="S402" s="275" t="s">
        <v>16</v>
      </c>
      <c r="T402" s="275" t="s">
        <v>17</v>
      </c>
      <c r="U402" s="275" t="s">
        <v>20</v>
      </c>
      <c r="V402" s="275" t="s">
        <v>154</v>
      </c>
      <c r="W402" s="275" t="s">
        <v>18</v>
      </c>
      <c r="X402" s="275" t="s">
        <v>19</v>
      </c>
      <c r="Y402" s="275" t="s">
        <v>21</v>
      </c>
      <c r="Z402" s="275" t="s">
        <v>22</v>
      </c>
      <c r="AA402" s="275" t="s">
        <v>29</v>
      </c>
      <c r="AB402" s="275" t="s">
        <v>23</v>
      </c>
      <c r="AC402" s="275" t="s">
        <v>24</v>
      </c>
      <c r="AD402" s="275" t="s">
        <v>25</v>
      </c>
      <c r="AE402" s="275" t="s">
        <v>28</v>
      </c>
      <c r="AF402" s="275" t="s">
        <v>27</v>
      </c>
      <c r="AG402" s="275" t="s">
        <v>11</v>
      </c>
      <c r="AH402" s="275" t="s">
        <v>26</v>
      </c>
      <c r="AI402" s="275" t="s">
        <v>46</v>
      </c>
      <c r="AJ402" s="275" t="s">
        <v>31</v>
      </c>
      <c r="AK402" s="5"/>
      <c r="AL402" s="5"/>
      <c r="AM402" s="12"/>
    </row>
    <row r="403" spans="1:40">
      <c r="A403" s="27" t="s">
        <v>3</v>
      </c>
      <c r="B403" s="276">
        <v>0.95</v>
      </c>
      <c r="C403" s="119">
        <f>3.24/1.16279069767441</f>
        <v>2.7864000000000209</v>
      </c>
      <c r="D403" s="50">
        <f>B403*C403*1000</f>
        <v>2647.0800000000199</v>
      </c>
      <c r="E403" s="357">
        <v>14.527142227434151</v>
      </c>
      <c r="F403" s="104">
        <v>50</v>
      </c>
      <c r="G403" s="104">
        <v>50</v>
      </c>
      <c r="H403" s="104">
        <v>50</v>
      </c>
      <c r="I403" s="104">
        <v>50</v>
      </c>
      <c r="J403" s="50">
        <v>46.81286999026775</v>
      </c>
      <c r="K403" s="104">
        <v>50</v>
      </c>
      <c r="L403" s="104">
        <v>50</v>
      </c>
      <c r="M403" s="50">
        <v>6.003971816425909</v>
      </c>
      <c r="N403" s="104">
        <v>50</v>
      </c>
      <c r="O403" s="104">
        <v>50</v>
      </c>
      <c r="P403" s="104">
        <v>50</v>
      </c>
      <c r="Q403" s="50">
        <v>29.755999858618942</v>
      </c>
      <c r="R403" s="104">
        <v>50</v>
      </c>
      <c r="S403" s="104">
        <v>50</v>
      </c>
      <c r="T403" s="104">
        <v>50</v>
      </c>
      <c r="U403" s="50">
        <v>39.969341838500725</v>
      </c>
      <c r="V403" s="116"/>
      <c r="W403" s="50">
        <v>75.304746880826045</v>
      </c>
      <c r="X403" s="104">
        <v>50</v>
      </c>
      <c r="Y403" s="104">
        <v>50</v>
      </c>
      <c r="Z403" s="104">
        <v>50</v>
      </c>
      <c r="AA403" s="104">
        <v>50</v>
      </c>
      <c r="AB403" s="50">
        <v>14.89891979964999</v>
      </c>
      <c r="AC403" s="50">
        <v>14.92537313432836</v>
      </c>
      <c r="AD403" s="104">
        <v>50</v>
      </c>
      <c r="AE403" s="50">
        <v>39.123723902623951</v>
      </c>
      <c r="AF403" s="50">
        <v>34.417418238134282</v>
      </c>
      <c r="AG403" s="104">
        <v>50</v>
      </c>
      <c r="AH403" s="104">
        <v>50</v>
      </c>
      <c r="AI403" s="104">
        <v>50</v>
      </c>
      <c r="AJ403" s="104">
        <v>50</v>
      </c>
      <c r="AK403" s="5"/>
      <c r="AL403" s="5"/>
      <c r="AM403" s="12"/>
    </row>
    <row r="404" spans="1:40">
      <c r="A404" s="63" t="s">
        <v>127</v>
      </c>
      <c r="B404" s="275">
        <v>12.64</v>
      </c>
      <c r="C404" s="275" t="s">
        <v>140</v>
      </c>
      <c r="D404" s="275"/>
      <c r="E404" s="365">
        <v>85.472857772565845</v>
      </c>
      <c r="F404" s="191">
        <v>50</v>
      </c>
      <c r="G404" s="191">
        <v>50</v>
      </c>
      <c r="H404" s="191">
        <v>50</v>
      </c>
      <c r="I404" s="191">
        <v>50</v>
      </c>
      <c r="J404" s="190">
        <v>53.18713000973225</v>
      </c>
      <c r="K404" s="191">
        <v>50</v>
      </c>
      <c r="L404" s="191">
        <v>50</v>
      </c>
      <c r="M404" s="190">
        <v>93.996028183574083</v>
      </c>
      <c r="N404" s="191">
        <v>50</v>
      </c>
      <c r="O404" s="191">
        <v>50</v>
      </c>
      <c r="P404" s="191">
        <v>50</v>
      </c>
      <c r="Q404" s="190">
        <v>70.244000141381065</v>
      </c>
      <c r="R404" s="191">
        <v>50</v>
      </c>
      <c r="S404" s="191">
        <v>50</v>
      </c>
      <c r="T404" s="191">
        <v>50</v>
      </c>
      <c r="U404" s="190">
        <v>60.030658161499282</v>
      </c>
      <c r="V404" s="4"/>
      <c r="W404" s="190">
        <v>24.695253119173959</v>
      </c>
      <c r="X404" s="191">
        <v>50</v>
      </c>
      <c r="Y404" s="191">
        <v>50</v>
      </c>
      <c r="Z404" s="191">
        <v>50</v>
      </c>
      <c r="AA404" s="191">
        <v>50</v>
      </c>
      <c r="AB404" s="190">
        <v>85.101080200350012</v>
      </c>
      <c r="AC404" s="190">
        <v>85.074626865671647</v>
      </c>
      <c r="AD404" s="191">
        <v>50</v>
      </c>
      <c r="AE404" s="190">
        <v>60.876276097376049</v>
      </c>
      <c r="AF404" s="190">
        <v>65.582581761865725</v>
      </c>
      <c r="AG404" s="191">
        <v>50</v>
      </c>
      <c r="AH404" s="191">
        <v>50</v>
      </c>
      <c r="AI404" s="191">
        <v>50</v>
      </c>
      <c r="AJ404" s="191">
        <v>50</v>
      </c>
      <c r="AK404" s="5"/>
      <c r="AL404" s="5"/>
      <c r="AM404" s="12"/>
    </row>
    <row r="405" spans="1:40" s="7" customFormat="1">
      <c r="A405" s="27" t="s">
        <v>144</v>
      </c>
      <c r="B405" s="276"/>
      <c r="C405" s="276"/>
      <c r="D405" s="276"/>
      <c r="E405" s="357" t="e">
        <f>(E403/100*$D$403)+(E404/100*($B$404*1.17*#REF!))</f>
        <v>#REF!</v>
      </c>
      <c r="F405" s="50" t="e">
        <f>(F403/100*$D$403)+(F404/100*($B$404*1.17*#REF!))</f>
        <v>#REF!</v>
      </c>
      <c r="G405" s="50" t="e">
        <f>(G403/100*$D$403)+(G404/100*($B$404*1.17*#REF!))</f>
        <v>#REF!</v>
      </c>
      <c r="H405" s="50" t="e">
        <f>(H403/100*$D$403)+(H404/100*($B$404*1.17*#REF!))</f>
        <v>#REF!</v>
      </c>
      <c r="I405" s="50" t="e">
        <f>(I403/100*$D$403)+(I404/100*($B$404*1.17*#REF!))</f>
        <v>#REF!</v>
      </c>
      <c r="J405" s="50" t="e">
        <f>(J403/100*$D$403)+(J404/100*($B$404*1.17*#REF!))</f>
        <v>#REF!</v>
      </c>
      <c r="K405" s="50" t="e">
        <f>(K403/100*$D$403)+(K404/100*($B$404*1.17*#REF!))</f>
        <v>#REF!</v>
      </c>
      <c r="L405" s="50" t="e">
        <f>(L403/100*$D$403)+(L404/100*($B$404*1.17*#REF!))</f>
        <v>#REF!</v>
      </c>
      <c r="M405" s="50" t="e">
        <f>(M403/100*$D$403)+(M404/100*($B$404*1.17*#REF!))</f>
        <v>#REF!</v>
      </c>
      <c r="N405" s="50" t="e">
        <f>(N403/100*$D$403)+(N404/100*($B$404*1.17*#REF!))</f>
        <v>#REF!</v>
      </c>
      <c r="O405" s="50" t="e">
        <f>(O403/100*$D$403)+(O404/100*($B$404*1.17*#REF!))</f>
        <v>#REF!</v>
      </c>
      <c r="P405" s="50" t="e">
        <f>(P403/100*$D$403)+(P404/100*($B$404*1.17*#REF!))</f>
        <v>#REF!</v>
      </c>
      <c r="Q405" s="50" t="e">
        <f>(Q403/100*$D$403)+(Q404/100*($B$404*1.17*#REF!))</f>
        <v>#REF!</v>
      </c>
      <c r="R405" s="50" t="e">
        <f>(R403/100*$D$403)+(R404/100*($B$404*1.17*#REF!))</f>
        <v>#REF!</v>
      </c>
      <c r="S405" s="50" t="e">
        <f>(S403/100*$D$403)+(S404/100*($B$404*1.17*#REF!))</f>
        <v>#REF!</v>
      </c>
      <c r="T405" s="50" t="e">
        <f>(T403/100*$D$403)+(T404/100*($B$404*1.17*#REF!))</f>
        <v>#REF!</v>
      </c>
      <c r="U405" s="50" t="e">
        <f>(U403/100*$D$403)+(U404/100*($B$404*1.17*#REF!))</f>
        <v>#REF!</v>
      </c>
      <c r="V405" s="1"/>
      <c r="W405" s="50" t="e">
        <f>(W403/100*$D$403)+(W404/100*($B$404*1.17*#REF!))</f>
        <v>#REF!</v>
      </c>
      <c r="X405" s="50" t="e">
        <f>(X403/100*$D$403)+(X404/100*($B$404*1.17*#REF!))</f>
        <v>#REF!</v>
      </c>
      <c r="Y405" s="50" t="e">
        <f>(Y403/100*$D$403)+(Y404/100*($B$404*1.17*#REF!))</f>
        <v>#REF!</v>
      </c>
      <c r="Z405" s="50" t="e">
        <f>(Z403/100*$D$403)+(Z404/100*($B$404*1.17*#REF!))</f>
        <v>#REF!</v>
      </c>
      <c r="AA405" s="50" t="e">
        <f>(AA403/100*$D$403)+(AA404/100*($B$404*1.17*#REF!))</f>
        <v>#REF!</v>
      </c>
      <c r="AB405" s="50" t="e">
        <f>(AB403/100*$D$403)+(AB404/100*($B$404*1.17*#REF!))</f>
        <v>#REF!</v>
      </c>
      <c r="AC405" s="50" t="e">
        <f>(AC403/100*$D$403)+(AC404/100*($B$404*1.17*#REF!))</f>
        <v>#REF!</v>
      </c>
      <c r="AD405" s="50" t="e">
        <f>(AD403/100*$D$403)+(AD404/100*($B$404*1.17*#REF!))</f>
        <v>#REF!</v>
      </c>
      <c r="AE405" s="50" t="e">
        <f>(AE403/100*$D$403)+(AE404/100*($B$404*1.17*#REF!))</f>
        <v>#REF!</v>
      </c>
      <c r="AF405" s="50" t="e">
        <f>(AF403/100*$D$403)+(AF404/100*($B$404*1.17*#REF!))</f>
        <v>#REF!</v>
      </c>
      <c r="AG405" s="50" t="e">
        <f>(AG403/100*$D$403)+(AG404/100*($B$404*1.17*#REF!))</f>
        <v>#REF!</v>
      </c>
      <c r="AH405" s="50" t="e">
        <f>(AH403/100*$D$403)+(AH404/100*($B$404*1.17*#REF!))</f>
        <v>#REF!</v>
      </c>
      <c r="AI405" s="50" t="e">
        <f>(AI403/100*$D$403)+(AI404/100*($B$404*1.17*#REF!))</f>
        <v>#REF!</v>
      </c>
      <c r="AJ405" s="50" t="e">
        <f>(AJ403/100*$D$403)+(AJ404/100*($B$404*1.17*#REF!))</f>
        <v>#REF!</v>
      </c>
      <c r="AK405" s="5"/>
      <c r="AL405" s="5"/>
      <c r="AM405" s="12"/>
      <c r="AN405" s="6"/>
    </row>
    <row r="406" spans="1:40">
      <c r="A406" s="1"/>
      <c r="B406" s="116"/>
      <c r="C406" s="745"/>
      <c r="D406" s="746" t="s">
        <v>137</v>
      </c>
      <c r="E406" s="681">
        <v>2020</v>
      </c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2"/>
      <c r="AH406" s="5"/>
      <c r="AI406" s="5"/>
      <c r="AJ406" s="5"/>
      <c r="AK406" s="5"/>
      <c r="AL406" s="5"/>
      <c r="AM406" s="12"/>
    </row>
    <row r="407" spans="1:40">
      <c r="A407" s="1"/>
      <c r="B407" s="116"/>
      <c r="C407" s="747"/>
      <c r="D407" s="748" t="s">
        <v>1</v>
      </c>
      <c r="E407" s="681" t="s">
        <v>136</v>
      </c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2"/>
      <c r="AH407" s="5"/>
      <c r="AI407" s="5"/>
      <c r="AJ407" s="5"/>
      <c r="AK407" s="5"/>
      <c r="AL407" s="5"/>
      <c r="AM407" s="12"/>
    </row>
    <row r="408" spans="1:40" s="7" customFormat="1">
      <c r="A408" s="13"/>
      <c r="B408" s="5"/>
      <c r="C408" s="5"/>
      <c r="D408" s="5"/>
      <c r="E408" s="364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2"/>
      <c r="AH408" s="5"/>
      <c r="AI408" s="5"/>
      <c r="AJ408" s="5"/>
      <c r="AK408" s="5"/>
      <c r="AL408" s="5"/>
      <c r="AM408" s="12"/>
      <c r="AN408" s="6"/>
    </row>
    <row r="409" spans="1:40" s="7" customFormat="1">
      <c r="A409" s="43" t="s">
        <v>495</v>
      </c>
      <c r="B409" s="41"/>
      <c r="C409" s="5"/>
      <c r="D409" s="5"/>
      <c r="E409" s="364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37"/>
      <c r="AH409" s="41"/>
      <c r="AI409" s="41"/>
      <c r="AJ409" s="41"/>
      <c r="AK409" s="41"/>
      <c r="AL409" s="41"/>
      <c r="AM409" s="42"/>
      <c r="AN409" s="6"/>
    </row>
    <row r="410" spans="1:40" s="7" customFormat="1">
      <c r="A410" s="63" t="s">
        <v>149</v>
      </c>
      <c r="B410" s="64"/>
      <c r="C410" s="64"/>
      <c r="D410" s="64" t="s">
        <v>82</v>
      </c>
      <c r="E410" s="313" t="s">
        <v>4</v>
      </c>
      <c r="F410" s="64" t="s">
        <v>5</v>
      </c>
      <c r="G410" s="64" t="s">
        <v>6</v>
      </c>
      <c r="H410" s="64" t="s">
        <v>15</v>
      </c>
      <c r="I410" s="64" t="s">
        <v>7</v>
      </c>
      <c r="J410" s="64" t="s">
        <v>8</v>
      </c>
      <c r="K410" s="64" t="s">
        <v>9</v>
      </c>
      <c r="L410" s="64" t="s">
        <v>10</v>
      </c>
      <c r="M410" s="64" t="s">
        <v>2</v>
      </c>
      <c r="N410" s="64" t="s">
        <v>12</v>
      </c>
      <c r="O410" s="64" t="s">
        <v>30</v>
      </c>
      <c r="P410" s="64" t="s">
        <v>13</v>
      </c>
      <c r="Q410" s="64" t="s">
        <v>14</v>
      </c>
      <c r="R410" s="64" t="s">
        <v>45</v>
      </c>
      <c r="S410" s="64" t="s">
        <v>16</v>
      </c>
      <c r="T410" s="64" t="s">
        <v>17</v>
      </c>
      <c r="U410" s="64" t="s">
        <v>20</v>
      </c>
      <c r="V410" s="194" t="s">
        <v>154</v>
      </c>
      <c r="W410" s="64" t="s">
        <v>18</v>
      </c>
      <c r="X410" s="64" t="s">
        <v>19</v>
      </c>
      <c r="Y410" s="64" t="s">
        <v>21</v>
      </c>
      <c r="Z410" s="64" t="s">
        <v>22</v>
      </c>
      <c r="AA410" s="64" t="s">
        <v>29</v>
      </c>
      <c r="AB410" s="64" t="s">
        <v>23</v>
      </c>
      <c r="AC410" s="64" t="s">
        <v>24</v>
      </c>
      <c r="AD410" s="64" t="s">
        <v>25</v>
      </c>
      <c r="AE410" s="64" t="s">
        <v>28</v>
      </c>
      <c r="AF410" s="64" t="s">
        <v>27</v>
      </c>
      <c r="AG410" s="64" t="s">
        <v>11</v>
      </c>
      <c r="AH410" s="64" t="s">
        <v>26</v>
      </c>
      <c r="AI410" s="64" t="s">
        <v>46</v>
      </c>
      <c r="AJ410" s="194" t="s">
        <v>31</v>
      </c>
      <c r="AK410" s="41"/>
      <c r="AL410" s="41"/>
      <c r="AM410" s="42"/>
      <c r="AN410" s="6"/>
    </row>
    <row r="411" spans="1:40" s="7" customFormat="1">
      <c r="A411" s="27" t="s">
        <v>84</v>
      </c>
      <c r="B411" s="49"/>
      <c r="C411" s="41"/>
      <c r="D411" s="104">
        <v>1</v>
      </c>
      <c r="E411" s="357">
        <v>1.9</v>
      </c>
      <c r="F411" s="41">
        <v>3.1</v>
      </c>
      <c r="G411" s="41">
        <v>-2.5</v>
      </c>
      <c r="H411" s="41">
        <v>2.7</v>
      </c>
      <c r="I411" s="50">
        <v>0</v>
      </c>
      <c r="J411" s="41">
        <v>0.1</v>
      </c>
      <c r="K411" s="41">
        <v>1.8</v>
      </c>
      <c r="L411" s="41">
        <v>-1.3</v>
      </c>
      <c r="M411" s="41">
        <v>1.4</v>
      </c>
      <c r="N411" s="41">
        <v>2.1</v>
      </c>
      <c r="O411" s="41">
        <v>1.1000000000000001</v>
      </c>
      <c r="P411" s="41">
        <v>-0.2</v>
      </c>
      <c r="Q411" s="41">
        <v>-1.8</v>
      </c>
      <c r="R411" s="104">
        <v>1</v>
      </c>
      <c r="S411" s="50">
        <v>2.7</v>
      </c>
      <c r="T411" s="41">
        <v>-0.2</v>
      </c>
      <c r="U411" s="41">
        <v>-1.2</v>
      </c>
      <c r="V411" s="116"/>
      <c r="W411" s="41">
        <v>-4.8</v>
      </c>
      <c r="X411" s="41">
        <v>0.4</v>
      </c>
      <c r="Y411" s="50">
        <v>0</v>
      </c>
      <c r="Z411" s="41">
        <v>0.5</v>
      </c>
      <c r="AA411" s="104">
        <v>1</v>
      </c>
      <c r="AB411" s="41">
        <v>-2.5</v>
      </c>
      <c r="AC411" s="41">
        <v>1.4</v>
      </c>
      <c r="AD411" s="50">
        <v>-3.3</v>
      </c>
      <c r="AE411" s="41">
        <v>-2.1</v>
      </c>
      <c r="AF411" s="50">
        <v>1.4</v>
      </c>
      <c r="AG411" s="41">
        <v>1.2</v>
      </c>
      <c r="AH411" s="50">
        <v>2.8</v>
      </c>
      <c r="AI411" s="104">
        <v>1</v>
      </c>
      <c r="AJ411" s="41">
        <v>3.5</v>
      </c>
      <c r="AK411" s="41"/>
      <c r="AL411" s="41"/>
      <c r="AM411" s="42"/>
      <c r="AN411" s="6"/>
    </row>
    <row r="412" spans="1:40" s="7" customFormat="1">
      <c r="A412" s="27" t="s">
        <v>85</v>
      </c>
      <c r="B412" s="49"/>
      <c r="C412" s="41"/>
      <c r="D412" s="102">
        <v>1.7</v>
      </c>
      <c r="E412" s="357">
        <v>2.1</v>
      </c>
      <c r="F412" s="41">
        <v>1.1000000000000001</v>
      </c>
      <c r="G412" s="41">
        <v>1.6</v>
      </c>
      <c r="H412" s="41">
        <v>1.3</v>
      </c>
      <c r="I412" s="50">
        <v>0</v>
      </c>
      <c r="J412" s="41">
        <v>2.5</v>
      </c>
      <c r="K412" s="41">
        <v>1.6</v>
      </c>
      <c r="L412" s="50">
        <v>3</v>
      </c>
      <c r="M412" s="41">
        <v>1.4</v>
      </c>
      <c r="N412" s="50">
        <v>1.5</v>
      </c>
      <c r="O412" s="41">
        <v>1.3</v>
      </c>
      <c r="P412" s="41">
        <v>0.9</v>
      </c>
      <c r="Q412" s="50">
        <v>2</v>
      </c>
      <c r="R412" s="102">
        <v>1.7</v>
      </c>
      <c r="S412" s="41">
        <v>0.9</v>
      </c>
      <c r="T412" s="41">
        <v>1.4</v>
      </c>
      <c r="U412" s="41">
        <v>1.7</v>
      </c>
      <c r="V412" s="1"/>
      <c r="W412" s="41">
        <v>3.3</v>
      </c>
      <c r="X412" s="50">
        <v>3</v>
      </c>
      <c r="Y412" s="50">
        <v>0</v>
      </c>
      <c r="Z412" s="41">
        <v>1.9</v>
      </c>
      <c r="AA412" s="102">
        <v>1.7</v>
      </c>
      <c r="AB412" s="41">
        <v>3.1</v>
      </c>
      <c r="AC412" s="41">
        <v>1.5</v>
      </c>
      <c r="AD412" s="41">
        <v>1.5</v>
      </c>
      <c r="AE412" s="50">
        <v>2.8</v>
      </c>
      <c r="AF412" s="50">
        <v>4</v>
      </c>
      <c r="AG412" s="41">
        <v>2.4</v>
      </c>
      <c r="AH412" s="50">
        <v>2</v>
      </c>
      <c r="AI412" s="102">
        <v>1.7</v>
      </c>
      <c r="AJ412" s="41">
        <v>1.8</v>
      </c>
      <c r="AK412" s="41"/>
      <c r="AL412" s="41"/>
      <c r="AM412" s="42"/>
      <c r="AN412" s="6"/>
    </row>
    <row r="413" spans="1:40" s="7" customFormat="1">
      <c r="A413" s="27" t="s">
        <v>83</v>
      </c>
      <c r="B413" s="49"/>
      <c r="C413" s="41"/>
      <c r="D413" s="102">
        <v>1.6</v>
      </c>
      <c r="E413" s="357">
        <v>1.4</v>
      </c>
      <c r="F413" s="41">
        <v>1.7</v>
      </c>
      <c r="G413" s="41">
        <v>1.6</v>
      </c>
      <c r="H413" s="41">
        <v>0.6</v>
      </c>
      <c r="I413" s="50">
        <v>0</v>
      </c>
      <c r="J413" s="41">
        <v>1.6</v>
      </c>
      <c r="K413" s="41">
        <v>1.9</v>
      </c>
      <c r="L413" s="41">
        <v>2.4</v>
      </c>
      <c r="M413" s="41">
        <v>1.1000000000000001</v>
      </c>
      <c r="N413" s="41">
        <v>1.4</v>
      </c>
      <c r="O413" s="41">
        <v>1.2</v>
      </c>
      <c r="P413" s="41">
        <v>1.4</v>
      </c>
      <c r="Q413" s="41">
        <v>2.1</v>
      </c>
      <c r="R413" s="102">
        <v>1.6</v>
      </c>
      <c r="S413" s="41">
        <v>0.8</v>
      </c>
      <c r="T413" s="41">
        <v>1.4</v>
      </c>
      <c r="U413" s="41">
        <v>2.6</v>
      </c>
      <c r="V413" s="1"/>
      <c r="W413" s="41">
        <v>1.2</v>
      </c>
      <c r="X413" s="50">
        <v>2.5</v>
      </c>
      <c r="Y413" s="50">
        <v>0</v>
      </c>
      <c r="Z413" s="41">
        <v>1.3</v>
      </c>
      <c r="AA413" s="102">
        <v>1.6</v>
      </c>
      <c r="AB413" s="41">
        <v>3.9</v>
      </c>
      <c r="AC413" s="41">
        <v>1.9</v>
      </c>
      <c r="AD413" s="50">
        <v>1.5</v>
      </c>
      <c r="AE413" s="41">
        <v>2.9</v>
      </c>
      <c r="AF413" s="50">
        <v>3.4</v>
      </c>
      <c r="AG413" s="41">
        <v>2.8</v>
      </c>
      <c r="AH413" s="50">
        <v>1.5</v>
      </c>
      <c r="AI413" s="102">
        <v>1.6</v>
      </c>
      <c r="AJ413" s="41">
        <v>1.1000000000000001</v>
      </c>
      <c r="AK413" s="41"/>
      <c r="AL413" s="41"/>
      <c r="AM413" s="42"/>
      <c r="AN413" s="6"/>
    </row>
    <row r="414" spans="1:40" s="7" customFormat="1">
      <c r="A414" s="27" t="s">
        <v>87</v>
      </c>
      <c r="B414" s="49"/>
      <c r="C414" s="41"/>
      <c r="D414" s="102">
        <v>1.2</v>
      </c>
      <c r="E414" s="357">
        <v>0.8</v>
      </c>
      <c r="F414" s="41">
        <v>1.7</v>
      </c>
      <c r="G414" s="41">
        <v>0.9</v>
      </c>
      <c r="H414" s="41">
        <v>0.6</v>
      </c>
      <c r="I414" s="50">
        <v>0</v>
      </c>
      <c r="J414" s="50">
        <v>1</v>
      </c>
      <c r="K414" s="41">
        <v>0.9</v>
      </c>
      <c r="L414" s="41">
        <v>1.2</v>
      </c>
      <c r="M414" s="41">
        <v>0.9</v>
      </c>
      <c r="N414" s="41">
        <v>1.5</v>
      </c>
      <c r="O414" s="41">
        <v>1.2</v>
      </c>
      <c r="P414" s="41">
        <v>1.3</v>
      </c>
      <c r="Q414" s="41">
        <v>1.6</v>
      </c>
      <c r="R414" s="102">
        <v>1.2</v>
      </c>
      <c r="S414" s="41">
        <v>0.6</v>
      </c>
      <c r="T414" s="41">
        <v>0.9</v>
      </c>
      <c r="U414" s="41">
        <v>1.4</v>
      </c>
      <c r="V414" s="1"/>
      <c r="W414" s="41">
        <v>0.9</v>
      </c>
      <c r="X414" s="41">
        <v>1.7</v>
      </c>
      <c r="Y414" s="50">
        <v>0</v>
      </c>
      <c r="Z414" s="41">
        <v>0.9</v>
      </c>
      <c r="AA414" s="102">
        <v>1.2</v>
      </c>
      <c r="AB414" s="41">
        <v>1.1000000000000001</v>
      </c>
      <c r="AC414" s="41">
        <v>1.2</v>
      </c>
      <c r="AD414" s="41">
        <v>1.4</v>
      </c>
      <c r="AE414" s="41">
        <v>1.1000000000000001</v>
      </c>
      <c r="AF414" s="50">
        <v>1.9</v>
      </c>
      <c r="AG414" s="50">
        <v>2</v>
      </c>
      <c r="AH414" s="50">
        <v>0.9</v>
      </c>
      <c r="AI414" s="102">
        <v>1.2</v>
      </c>
      <c r="AJ414" s="41">
        <v>0.6</v>
      </c>
      <c r="AK414" s="41"/>
      <c r="AL414" s="41"/>
      <c r="AM414" s="42"/>
      <c r="AN414" s="6"/>
    </row>
    <row r="415" spans="1:40" s="7" customFormat="1">
      <c r="A415" s="27" t="s">
        <v>88</v>
      </c>
      <c r="B415" s="49"/>
      <c r="C415" s="41"/>
      <c r="D415" s="102">
        <v>1.2</v>
      </c>
      <c r="E415" s="357">
        <v>0.8</v>
      </c>
      <c r="F415" s="41">
        <v>1.7</v>
      </c>
      <c r="G415" s="41">
        <v>0.9</v>
      </c>
      <c r="H415" s="41">
        <v>0.6</v>
      </c>
      <c r="I415" s="50">
        <v>0</v>
      </c>
      <c r="J415" s="50">
        <v>1</v>
      </c>
      <c r="K415" s="41">
        <v>0.9</v>
      </c>
      <c r="L415" s="41">
        <v>1.2</v>
      </c>
      <c r="M415" s="41">
        <v>0.9</v>
      </c>
      <c r="N415" s="41">
        <v>1.5</v>
      </c>
      <c r="O415" s="41">
        <v>1.2</v>
      </c>
      <c r="P415" s="41">
        <v>1.3</v>
      </c>
      <c r="Q415" s="41">
        <v>1.6</v>
      </c>
      <c r="R415" s="102">
        <v>1.2</v>
      </c>
      <c r="S415" s="41">
        <v>0.6</v>
      </c>
      <c r="T415" s="41">
        <v>0.9</v>
      </c>
      <c r="U415" s="41">
        <v>1.4</v>
      </c>
      <c r="V415" s="1"/>
      <c r="W415" s="41">
        <v>0.9</v>
      </c>
      <c r="X415" s="41">
        <v>1.7</v>
      </c>
      <c r="Y415" s="50">
        <v>0</v>
      </c>
      <c r="Z415" s="41">
        <v>0.9</v>
      </c>
      <c r="AA415" s="102">
        <v>1.2</v>
      </c>
      <c r="AB415" s="41">
        <v>1.1000000000000001</v>
      </c>
      <c r="AC415" s="41">
        <v>1.2</v>
      </c>
      <c r="AD415" s="41">
        <v>1.4</v>
      </c>
      <c r="AE415" s="41">
        <v>1.1000000000000001</v>
      </c>
      <c r="AF415" s="41">
        <v>1.9</v>
      </c>
      <c r="AG415" s="50">
        <v>2</v>
      </c>
      <c r="AH415" s="50">
        <v>0.9</v>
      </c>
      <c r="AI415" s="102">
        <v>1.2</v>
      </c>
      <c r="AJ415" s="41">
        <v>0.6</v>
      </c>
      <c r="AK415" s="41"/>
      <c r="AL415" s="41"/>
      <c r="AM415" s="42"/>
      <c r="AN415" s="6"/>
    </row>
    <row r="416" spans="1:40" s="7" customFormat="1">
      <c r="A416" s="1"/>
      <c r="B416" s="1"/>
      <c r="C416" s="41"/>
      <c r="D416" s="429" t="s">
        <v>42</v>
      </c>
      <c r="E416" s="48">
        <v>2015</v>
      </c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 t="s">
        <v>82</v>
      </c>
      <c r="S416" s="41"/>
      <c r="T416" s="41"/>
      <c r="U416" s="41"/>
      <c r="V416" s="41"/>
      <c r="W416" s="41"/>
      <c r="X416" s="41"/>
      <c r="Y416" s="41"/>
      <c r="Z416" s="41"/>
      <c r="AA416" s="41" t="s">
        <v>82</v>
      </c>
      <c r="AB416" s="41"/>
      <c r="AC416" s="41"/>
      <c r="AD416" s="41"/>
      <c r="AE416" s="37"/>
      <c r="AF416" s="41"/>
      <c r="AG416" s="41"/>
      <c r="AH416" s="41"/>
      <c r="AI416" s="41" t="s">
        <v>82</v>
      </c>
      <c r="AJ416" s="1"/>
      <c r="AK416" s="41"/>
      <c r="AL416" s="41"/>
      <c r="AM416" s="42"/>
      <c r="AN416" s="6"/>
    </row>
    <row r="417" spans="1:41" s="7" customFormat="1">
      <c r="A417" s="1"/>
      <c r="B417" s="1"/>
      <c r="C417" s="388"/>
      <c r="D417" s="380" t="s">
        <v>1</v>
      </c>
      <c r="E417" s="49" t="s">
        <v>86</v>
      </c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37"/>
      <c r="AH417" s="41"/>
      <c r="AI417" s="41"/>
      <c r="AJ417" s="41"/>
      <c r="AK417" s="41"/>
      <c r="AL417" s="41"/>
      <c r="AM417" s="42"/>
      <c r="AN417" s="6"/>
    </row>
    <row r="418" spans="1:41" s="7" customFormat="1">
      <c r="A418" s="13"/>
      <c r="B418" s="5"/>
      <c r="C418" s="5"/>
      <c r="D418" s="5"/>
      <c r="E418" s="364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2"/>
      <c r="AH418" s="5"/>
      <c r="AI418" s="5"/>
      <c r="AJ418" s="5"/>
      <c r="AK418" s="5"/>
      <c r="AL418" s="5"/>
      <c r="AM418" s="12"/>
      <c r="AN418" s="6"/>
    </row>
    <row r="419" spans="1:41">
      <c r="A419" s="128" t="s">
        <v>496</v>
      </c>
      <c r="B419" s="72"/>
      <c r="C419" s="72"/>
      <c r="D419" s="64" t="s">
        <v>82</v>
      </c>
      <c r="E419" s="313" t="s">
        <v>4</v>
      </c>
      <c r="F419" s="64" t="s">
        <v>5</v>
      </c>
      <c r="G419" s="64" t="s">
        <v>6</v>
      </c>
      <c r="H419" s="64" t="s">
        <v>15</v>
      </c>
      <c r="I419" s="64" t="s">
        <v>7</v>
      </c>
      <c r="J419" s="64" t="s">
        <v>8</v>
      </c>
      <c r="K419" s="64" t="s">
        <v>9</v>
      </c>
      <c r="L419" s="64" t="s">
        <v>10</v>
      </c>
      <c r="M419" s="64" t="s">
        <v>2</v>
      </c>
      <c r="N419" s="64" t="s">
        <v>12</v>
      </c>
      <c r="O419" s="64" t="s">
        <v>30</v>
      </c>
      <c r="P419" s="64" t="s">
        <v>13</v>
      </c>
      <c r="Q419" s="64" t="s">
        <v>14</v>
      </c>
      <c r="R419" s="64" t="s">
        <v>45</v>
      </c>
      <c r="S419" s="64" t="s">
        <v>16</v>
      </c>
      <c r="T419" s="64" t="s">
        <v>17</v>
      </c>
      <c r="U419" s="64" t="s">
        <v>20</v>
      </c>
      <c r="V419" s="194" t="s">
        <v>154</v>
      </c>
      <c r="W419" s="64" t="s">
        <v>18</v>
      </c>
      <c r="X419" s="64" t="s">
        <v>19</v>
      </c>
      <c r="Y419" s="64" t="s">
        <v>21</v>
      </c>
      <c r="Z419" s="64" t="s">
        <v>22</v>
      </c>
      <c r="AA419" s="64" t="s">
        <v>29</v>
      </c>
      <c r="AB419" s="64" t="s">
        <v>23</v>
      </c>
      <c r="AC419" s="64" t="s">
        <v>24</v>
      </c>
      <c r="AD419" s="64" t="s">
        <v>25</v>
      </c>
      <c r="AE419" s="64" t="s">
        <v>28</v>
      </c>
      <c r="AF419" s="64" t="s">
        <v>27</v>
      </c>
      <c r="AG419" s="64" t="s">
        <v>11</v>
      </c>
      <c r="AH419" s="64" t="s">
        <v>26</v>
      </c>
      <c r="AI419" s="64" t="s">
        <v>46</v>
      </c>
      <c r="AJ419" s="194" t="s">
        <v>31</v>
      </c>
      <c r="AK419" s="5"/>
      <c r="AL419" s="5"/>
      <c r="AM419" s="12"/>
    </row>
    <row r="420" spans="1:41">
      <c r="A420" s="27" t="s">
        <v>131</v>
      </c>
      <c r="B420" s="37"/>
      <c r="C420" s="37"/>
      <c r="D420" s="50">
        <v>179.9</v>
      </c>
      <c r="E420" s="357">
        <v>179.9</v>
      </c>
      <c r="F420" s="50">
        <v>179.9</v>
      </c>
      <c r="G420" s="50">
        <v>179.9</v>
      </c>
      <c r="H420" s="50">
        <v>179.9</v>
      </c>
      <c r="I420" s="50">
        <v>179.9</v>
      </c>
      <c r="J420" s="50">
        <v>179.9</v>
      </c>
      <c r="K420" s="50">
        <v>179.9</v>
      </c>
      <c r="L420" s="50">
        <v>179.9</v>
      </c>
      <c r="M420" s="50">
        <v>179.9</v>
      </c>
      <c r="N420" s="50">
        <v>179.9</v>
      </c>
      <c r="O420" s="50">
        <v>179.9</v>
      </c>
      <c r="P420" s="50">
        <v>179.9</v>
      </c>
      <c r="Q420" s="50">
        <v>179.9</v>
      </c>
      <c r="R420" s="50">
        <v>179.9</v>
      </c>
      <c r="S420" s="50">
        <v>179.9</v>
      </c>
      <c r="T420" s="50">
        <v>179.9</v>
      </c>
      <c r="U420" s="50">
        <v>179.9</v>
      </c>
      <c r="V420" s="50">
        <v>179.9</v>
      </c>
      <c r="W420" s="50">
        <v>179.9</v>
      </c>
      <c r="X420" s="50">
        <v>179.9</v>
      </c>
      <c r="Y420" s="50">
        <v>179.9</v>
      </c>
      <c r="Z420" s="50">
        <v>179.9</v>
      </c>
      <c r="AA420" s="50">
        <v>179.9</v>
      </c>
      <c r="AB420" s="50">
        <v>179.9</v>
      </c>
      <c r="AC420" s="50">
        <v>179.9</v>
      </c>
      <c r="AD420" s="50">
        <v>179.9</v>
      </c>
      <c r="AE420" s="50">
        <v>179.9</v>
      </c>
      <c r="AF420" s="50">
        <v>179.9</v>
      </c>
      <c r="AG420" s="50">
        <v>179.9</v>
      </c>
      <c r="AH420" s="50">
        <v>179.9</v>
      </c>
      <c r="AI420" s="50">
        <v>179.9</v>
      </c>
      <c r="AJ420" s="50">
        <v>179.9</v>
      </c>
      <c r="AK420" s="5"/>
      <c r="AL420" s="5"/>
      <c r="AM420" s="12"/>
    </row>
    <row r="421" spans="1:41">
      <c r="A421" s="1"/>
      <c r="B421" s="116"/>
      <c r="C421" s="37"/>
      <c r="D421" s="748" t="s">
        <v>42</v>
      </c>
      <c r="E421" s="681">
        <v>2020</v>
      </c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41"/>
      <c r="AK421" s="5"/>
      <c r="AL421" s="5"/>
      <c r="AM421" s="12"/>
    </row>
    <row r="422" spans="1:41">
      <c r="A422" s="1"/>
      <c r="B422" s="116"/>
      <c r="C422" s="37"/>
      <c r="D422" s="748" t="s">
        <v>1</v>
      </c>
      <c r="E422" s="681" t="s">
        <v>133</v>
      </c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41"/>
      <c r="AK422" s="41"/>
      <c r="AL422" s="41"/>
      <c r="AM422" s="42"/>
    </row>
    <row r="423" spans="1:41" s="7" customFormat="1" ht="15.75" thickBot="1">
      <c r="A423" s="15"/>
      <c r="B423" s="16"/>
      <c r="C423" s="16"/>
      <c r="D423" s="54"/>
      <c r="E423" s="36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7"/>
      <c r="AH423" s="16"/>
      <c r="AI423" s="16"/>
      <c r="AJ423" s="16"/>
      <c r="AK423" s="16"/>
      <c r="AL423" s="16"/>
      <c r="AM423" s="20"/>
      <c r="AN423" s="6"/>
    </row>
    <row r="424" spans="1:41" s="7" customFormat="1" ht="15.75" thickBot="1">
      <c r="A424" s="21"/>
      <c r="B424" s="8"/>
      <c r="C424" s="8"/>
      <c r="D424" s="9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21"/>
      <c r="AH424" s="8"/>
      <c r="AI424" s="8"/>
      <c r="AJ424" s="8"/>
      <c r="AK424" s="8"/>
      <c r="AL424" s="8"/>
      <c r="AM424" s="8"/>
      <c r="AN424" s="85"/>
      <c r="AO424" s="86"/>
    </row>
    <row r="425" spans="1:41" s="7" customFormat="1" ht="19.5" thickBot="1">
      <c r="A425" s="766" t="s">
        <v>497</v>
      </c>
      <c r="B425" s="767"/>
      <c r="C425" s="767"/>
      <c r="D425" s="767"/>
      <c r="E425" s="767"/>
      <c r="F425" s="767"/>
      <c r="G425" s="767"/>
      <c r="H425" s="767"/>
      <c r="I425" s="767"/>
      <c r="J425" s="767"/>
      <c r="K425" s="767"/>
      <c r="L425" s="767"/>
      <c r="M425" s="767"/>
      <c r="N425" s="767"/>
      <c r="O425" s="767"/>
      <c r="P425" s="767"/>
      <c r="Q425" s="767"/>
      <c r="R425" s="767"/>
      <c r="S425" s="767"/>
      <c r="T425" s="767"/>
      <c r="U425" s="767"/>
      <c r="V425" s="767"/>
      <c r="W425" s="767"/>
      <c r="X425" s="767"/>
      <c r="Y425" s="767"/>
      <c r="Z425" s="767"/>
      <c r="AA425" s="767"/>
      <c r="AB425" s="767"/>
      <c r="AC425" s="767"/>
      <c r="AD425" s="767"/>
      <c r="AE425" s="767"/>
      <c r="AF425" s="767"/>
      <c r="AG425" s="767"/>
      <c r="AH425" s="767"/>
      <c r="AI425" s="767"/>
      <c r="AJ425" s="767"/>
      <c r="AK425" s="767"/>
      <c r="AL425" s="767"/>
      <c r="AM425" s="768"/>
      <c r="AN425" s="85"/>
      <c r="AO425" s="86"/>
    </row>
    <row r="426" spans="1:41" s="7" customFormat="1">
      <c r="A426" s="177" t="s">
        <v>498</v>
      </c>
      <c r="B426" s="62"/>
      <c r="C426" s="178" t="s">
        <v>47</v>
      </c>
      <c r="D426" s="178" t="s">
        <v>48</v>
      </c>
      <c r="E426" s="341" t="s">
        <v>4</v>
      </c>
      <c r="F426" s="62" t="s">
        <v>5</v>
      </c>
      <c r="G426" s="62" t="s">
        <v>6</v>
      </c>
      <c r="H426" s="62" t="s">
        <v>15</v>
      </c>
      <c r="I426" s="62" t="s">
        <v>7</v>
      </c>
      <c r="J426" s="62" t="s">
        <v>8</v>
      </c>
      <c r="K426" s="62" t="s">
        <v>9</v>
      </c>
      <c r="L426" s="62" t="s">
        <v>10</v>
      </c>
      <c r="M426" s="62" t="s">
        <v>2</v>
      </c>
      <c r="N426" s="62" t="s">
        <v>12</v>
      </c>
      <c r="O426" s="62" t="s">
        <v>30</v>
      </c>
      <c r="P426" s="62" t="s">
        <v>13</v>
      </c>
      <c r="Q426" s="62" t="s">
        <v>14</v>
      </c>
      <c r="R426" s="62" t="s">
        <v>45</v>
      </c>
      <c r="S426" s="62" t="s">
        <v>16</v>
      </c>
      <c r="T426" s="62" t="s">
        <v>17</v>
      </c>
      <c r="U426" s="62" t="s">
        <v>20</v>
      </c>
      <c r="V426" s="62" t="s">
        <v>154</v>
      </c>
      <c r="W426" s="62" t="s">
        <v>18</v>
      </c>
      <c r="X426" s="62" t="s">
        <v>19</v>
      </c>
      <c r="Y426" s="62" t="s">
        <v>21</v>
      </c>
      <c r="Z426" s="62" t="s">
        <v>22</v>
      </c>
      <c r="AA426" s="62" t="s">
        <v>29</v>
      </c>
      <c r="AB426" s="62" t="s">
        <v>23</v>
      </c>
      <c r="AC426" s="62" t="s">
        <v>24</v>
      </c>
      <c r="AD426" s="62" t="s">
        <v>25</v>
      </c>
      <c r="AE426" s="62" t="s">
        <v>28</v>
      </c>
      <c r="AF426" s="62" t="s">
        <v>27</v>
      </c>
      <c r="AG426" s="62" t="s">
        <v>11</v>
      </c>
      <c r="AH426" s="62" t="s">
        <v>26</v>
      </c>
      <c r="AI426" s="62" t="s">
        <v>46</v>
      </c>
      <c r="AJ426" s="62" t="s">
        <v>31</v>
      </c>
      <c r="AK426" s="19"/>
      <c r="AL426" s="25"/>
      <c r="AM426" s="180"/>
      <c r="AN426" s="85"/>
      <c r="AO426" s="86"/>
    </row>
    <row r="427" spans="1:41" s="7" customFormat="1">
      <c r="A427" s="27" t="s">
        <v>80</v>
      </c>
      <c r="B427" s="388"/>
      <c r="C427" s="66"/>
      <c r="D427" s="66"/>
      <c r="E427" s="367">
        <v>2713</v>
      </c>
      <c r="F427" s="92">
        <v>2807</v>
      </c>
      <c r="G427" s="92">
        <v>1634</v>
      </c>
      <c r="H427" s="92">
        <v>1128</v>
      </c>
      <c r="I427" s="92">
        <v>146</v>
      </c>
      <c r="J427" s="189"/>
      <c r="K427" s="92">
        <v>1475</v>
      </c>
      <c r="L427" s="92">
        <v>357</v>
      </c>
      <c r="M427" s="92">
        <v>2004</v>
      </c>
      <c r="N427" s="92">
        <v>17169</v>
      </c>
      <c r="O427" s="92">
        <v>30110</v>
      </c>
      <c r="P427" s="92">
        <v>2526</v>
      </c>
      <c r="Q427" s="92">
        <v>3281</v>
      </c>
      <c r="R427" s="187" t="s">
        <v>72</v>
      </c>
      <c r="S427" s="92">
        <v>2004</v>
      </c>
      <c r="T427" s="187" t="s">
        <v>72</v>
      </c>
      <c r="U427" s="92">
        <v>1237</v>
      </c>
      <c r="V427" s="5"/>
      <c r="W427" s="92">
        <v>3845</v>
      </c>
      <c r="X427" s="92">
        <v>590</v>
      </c>
      <c r="Y427" s="187" t="s">
        <v>72</v>
      </c>
      <c r="Z427" s="92">
        <v>7255</v>
      </c>
      <c r="AA427" s="187" t="s">
        <v>72</v>
      </c>
      <c r="AB427" s="92">
        <v>29436</v>
      </c>
      <c r="AC427" s="92">
        <v>2611</v>
      </c>
      <c r="AD427" s="92">
        <v>4202</v>
      </c>
      <c r="AE427" s="92">
        <v>4167</v>
      </c>
      <c r="AF427" s="92">
        <v>1842</v>
      </c>
      <c r="AG427" s="114" t="s">
        <v>72</v>
      </c>
      <c r="AH427" s="92">
        <v>3121</v>
      </c>
      <c r="AI427" s="187" t="s">
        <v>72</v>
      </c>
      <c r="AJ427" s="92">
        <v>19829</v>
      </c>
      <c r="AK427" s="2"/>
      <c r="AL427" s="114"/>
      <c r="AM427" s="14"/>
      <c r="AN427" s="85"/>
      <c r="AO427" s="86"/>
    </row>
    <row r="428" spans="1:41" s="7" customFormat="1">
      <c r="A428" s="37"/>
      <c r="B428" s="622"/>
      <c r="C428" s="66"/>
      <c r="D428" s="380" t="s">
        <v>421</v>
      </c>
      <c r="E428" s="92"/>
      <c r="F428" s="92"/>
      <c r="G428" s="92"/>
      <c r="H428" s="92"/>
      <c r="I428" s="92"/>
      <c r="J428" s="189"/>
      <c r="K428" s="92"/>
      <c r="L428" s="92"/>
      <c r="M428" s="92"/>
      <c r="N428" s="92"/>
      <c r="O428" s="92"/>
      <c r="P428" s="92"/>
      <c r="Q428" s="92"/>
      <c r="R428" s="187"/>
      <c r="S428" s="92" t="s">
        <v>2</v>
      </c>
      <c r="T428" s="187"/>
      <c r="U428" s="92"/>
      <c r="V428" s="5"/>
      <c r="W428" s="92"/>
      <c r="X428" s="92"/>
      <c r="Y428" s="187"/>
      <c r="Z428" s="92"/>
      <c r="AA428" s="187"/>
      <c r="AB428" s="92"/>
      <c r="AC428" s="92"/>
      <c r="AD428" s="92"/>
      <c r="AE428" s="92"/>
      <c r="AF428" s="92"/>
      <c r="AG428" s="114"/>
      <c r="AH428" s="92"/>
      <c r="AI428" s="187"/>
      <c r="AJ428" s="92"/>
      <c r="AK428" s="2"/>
      <c r="AL428" s="114"/>
      <c r="AM428" s="14"/>
      <c r="AN428" s="85"/>
      <c r="AO428" s="86"/>
    </row>
    <row r="429" spans="1:41" s="7" customFormat="1">
      <c r="A429" s="1"/>
      <c r="B429" s="1"/>
      <c r="C429" s="388"/>
      <c r="D429" s="380" t="s">
        <v>42</v>
      </c>
      <c r="E429" s="48">
        <v>2019</v>
      </c>
      <c r="F429" s="388"/>
      <c r="G429" s="388"/>
      <c r="H429" s="388"/>
      <c r="I429" s="388"/>
      <c r="J429" s="388"/>
      <c r="K429" s="388"/>
      <c r="L429" s="388"/>
      <c r="M429" s="388"/>
      <c r="N429" s="388"/>
      <c r="O429" s="388"/>
      <c r="P429" s="388"/>
      <c r="Q429" s="388"/>
      <c r="R429" s="388"/>
      <c r="S429" s="388"/>
      <c r="T429" s="388"/>
      <c r="U429" s="388"/>
      <c r="V429" s="388"/>
      <c r="W429" s="388"/>
      <c r="X429" s="388"/>
      <c r="Y429" s="388"/>
      <c r="Z429" s="388"/>
      <c r="AA429" s="388"/>
      <c r="AB429" s="388"/>
      <c r="AC429" s="388"/>
      <c r="AD429" s="388"/>
      <c r="AE429" s="388"/>
      <c r="AF429" s="388"/>
      <c r="AG429" s="388"/>
      <c r="AH429" s="388"/>
      <c r="AI429" s="2"/>
      <c r="AJ429" s="2"/>
      <c r="AK429" s="2"/>
      <c r="AL429" s="2"/>
      <c r="AM429" s="14"/>
      <c r="AN429" s="85"/>
      <c r="AO429" s="86"/>
    </row>
    <row r="430" spans="1:41" s="7" customFormat="1">
      <c r="A430" s="1"/>
      <c r="B430" s="1"/>
      <c r="C430" s="388"/>
      <c r="D430" s="380" t="s">
        <v>1</v>
      </c>
      <c r="E430" s="48" t="s">
        <v>76</v>
      </c>
      <c r="F430" s="388"/>
      <c r="G430" s="388"/>
      <c r="H430" s="388"/>
      <c r="I430" s="388"/>
      <c r="J430" s="388"/>
      <c r="K430" s="388"/>
      <c r="L430" s="388"/>
      <c r="M430" s="388"/>
      <c r="N430" s="388"/>
      <c r="O430" s="388"/>
      <c r="P430" s="388"/>
      <c r="Q430" s="388"/>
      <c r="R430" s="388"/>
      <c r="S430" s="388"/>
      <c r="T430" s="388"/>
      <c r="U430" s="388"/>
      <c r="V430" s="388"/>
      <c r="W430" s="388"/>
      <c r="X430" s="388"/>
      <c r="Y430" s="388"/>
      <c r="Z430" s="388"/>
      <c r="AA430" s="388"/>
      <c r="AB430" s="388"/>
      <c r="AC430" s="388"/>
      <c r="AD430" s="388"/>
      <c r="AE430" s="388"/>
      <c r="AF430" s="388"/>
      <c r="AG430" s="388"/>
      <c r="AH430" s="388"/>
      <c r="AI430" s="388"/>
      <c r="AJ430" s="388"/>
      <c r="AK430" s="388"/>
      <c r="AL430" s="388"/>
      <c r="AM430" s="14"/>
      <c r="AN430" s="85"/>
      <c r="AO430" s="86"/>
    </row>
    <row r="431" spans="1:41" s="7" customFormat="1">
      <c r="A431" s="47"/>
      <c r="B431" s="48"/>
      <c r="C431" s="37"/>
      <c r="D431" s="37"/>
      <c r="E431" s="368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46"/>
      <c r="AN431" s="85"/>
      <c r="AO431" s="86"/>
    </row>
    <row r="432" spans="1:41" s="7" customFormat="1">
      <c r="A432" s="128" t="s">
        <v>499</v>
      </c>
      <c r="B432" s="387"/>
      <c r="C432" s="387"/>
      <c r="D432" s="387"/>
      <c r="E432" s="313" t="s">
        <v>4</v>
      </c>
      <c r="F432" s="387" t="s">
        <v>5</v>
      </c>
      <c r="G432" s="387" t="s">
        <v>6</v>
      </c>
      <c r="H432" s="387" t="s">
        <v>15</v>
      </c>
      <c r="I432" s="387" t="s">
        <v>7</v>
      </c>
      <c r="J432" s="387" t="s">
        <v>8</v>
      </c>
      <c r="K432" s="387" t="s">
        <v>9</v>
      </c>
      <c r="L432" s="387" t="s">
        <v>10</v>
      </c>
      <c r="M432" s="387" t="s">
        <v>2</v>
      </c>
      <c r="N432" s="387" t="s">
        <v>12</v>
      </c>
      <c r="O432" s="387" t="s">
        <v>30</v>
      </c>
      <c r="P432" s="387" t="s">
        <v>13</v>
      </c>
      <c r="Q432" s="387" t="s">
        <v>14</v>
      </c>
      <c r="R432" s="387" t="s">
        <v>45</v>
      </c>
      <c r="S432" s="387" t="s">
        <v>16</v>
      </c>
      <c r="T432" s="387" t="s">
        <v>17</v>
      </c>
      <c r="U432" s="387" t="s">
        <v>20</v>
      </c>
      <c r="V432" s="387" t="s">
        <v>154</v>
      </c>
      <c r="W432" s="387" t="s">
        <v>18</v>
      </c>
      <c r="X432" s="387" t="s">
        <v>19</v>
      </c>
      <c r="Y432" s="387" t="s">
        <v>21</v>
      </c>
      <c r="Z432" s="387" t="s">
        <v>22</v>
      </c>
      <c r="AA432" s="387" t="s">
        <v>29</v>
      </c>
      <c r="AB432" s="387" t="s">
        <v>23</v>
      </c>
      <c r="AC432" s="387" t="s">
        <v>24</v>
      </c>
      <c r="AD432" s="387" t="s">
        <v>25</v>
      </c>
      <c r="AE432" s="387" t="s">
        <v>28</v>
      </c>
      <c r="AF432" s="387" t="s">
        <v>27</v>
      </c>
      <c r="AG432" s="387" t="s">
        <v>11</v>
      </c>
      <c r="AH432" s="387" t="s">
        <v>26</v>
      </c>
      <c r="AI432" s="387" t="s">
        <v>46</v>
      </c>
      <c r="AJ432" s="387" t="s">
        <v>31</v>
      </c>
      <c r="AK432" s="388"/>
      <c r="AL432" s="388"/>
      <c r="AM432" s="14"/>
      <c r="AN432" s="85"/>
      <c r="AO432" s="86"/>
    </row>
    <row r="433" spans="1:41" s="7" customFormat="1">
      <c r="A433" s="27" t="s">
        <v>36</v>
      </c>
      <c r="B433" s="388"/>
      <c r="C433" s="44">
        <v>17.600000000000001</v>
      </c>
      <c r="D433" s="45">
        <v>17</v>
      </c>
      <c r="E433" s="369">
        <v>30.8</v>
      </c>
      <c r="F433" s="67">
        <v>12</v>
      </c>
      <c r="G433" s="66">
        <v>21.1</v>
      </c>
      <c r="H433" s="66">
        <v>22.8</v>
      </c>
      <c r="I433" s="92">
        <v>0</v>
      </c>
      <c r="J433" s="66">
        <v>26.2</v>
      </c>
      <c r="K433" s="66">
        <v>11.5</v>
      </c>
      <c r="L433" s="67">
        <v>42</v>
      </c>
      <c r="M433" s="66">
        <v>26.9</v>
      </c>
      <c r="N433" s="66">
        <v>9.6999999999999993</v>
      </c>
      <c r="O433" s="66">
        <v>18.7</v>
      </c>
      <c r="P433" s="66">
        <v>2.5</v>
      </c>
      <c r="Q433" s="66">
        <v>26.3</v>
      </c>
      <c r="R433" s="188" t="s">
        <v>72</v>
      </c>
      <c r="S433" s="66">
        <v>0.6</v>
      </c>
      <c r="T433" s="66">
        <v>11.9</v>
      </c>
      <c r="U433" s="66">
        <v>73.599999999999994</v>
      </c>
      <c r="V433" s="2"/>
      <c r="W433" s="66">
        <v>67.400000000000006</v>
      </c>
      <c r="X433" s="66">
        <v>6.9</v>
      </c>
      <c r="Y433" s="92">
        <v>0</v>
      </c>
      <c r="Z433" s="66">
        <v>6.3</v>
      </c>
      <c r="AA433" s="66">
        <v>14.6</v>
      </c>
      <c r="AB433" s="67">
        <v>24</v>
      </c>
      <c r="AC433" s="67">
        <v>13</v>
      </c>
      <c r="AD433" s="66">
        <v>26.8</v>
      </c>
      <c r="AE433" s="67">
        <v>31</v>
      </c>
      <c r="AF433" s="66">
        <v>35.5</v>
      </c>
      <c r="AG433" s="66">
        <v>4.8</v>
      </c>
      <c r="AH433" s="66">
        <v>30.6</v>
      </c>
      <c r="AI433" s="66">
        <v>34.299999999999997</v>
      </c>
      <c r="AJ433" s="66">
        <v>9.1</v>
      </c>
      <c r="AK433" s="30"/>
      <c r="AL433" s="30"/>
      <c r="AM433" s="46"/>
      <c r="AN433" s="85"/>
      <c r="AO433" s="86"/>
    </row>
    <row r="434" spans="1:41" s="7" customFormat="1">
      <c r="A434" s="27" t="s">
        <v>34</v>
      </c>
      <c r="B434" s="388"/>
      <c r="C434" s="44">
        <v>76.3</v>
      </c>
      <c r="D434" s="44">
        <v>77.400000000000006</v>
      </c>
      <c r="E434" s="369">
        <v>66.7</v>
      </c>
      <c r="F434" s="66">
        <v>76.599999999999994</v>
      </c>
      <c r="G434" s="66">
        <v>47.1</v>
      </c>
      <c r="H434" s="66">
        <v>70.7</v>
      </c>
      <c r="I434" s="67">
        <v>100</v>
      </c>
      <c r="J434" s="66">
        <v>73.8</v>
      </c>
      <c r="K434" s="66">
        <v>88.5</v>
      </c>
      <c r="L434" s="67">
        <v>58</v>
      </c>
      <c r="M434" s="66">
        <v>72.8</v>
      </c>
      <c r="N434" s="66">
        <v>87.9</v>
      </c>
      <c r="O434" s="66">
        <v>73.400000000000006</v>
      </c>
      <c r="P434" s="66">
        <v>97.5</v>
      </c>
      <c r="Q434" s="66">
        <v>68.5</v>
      </c>
      <c r="R434" s="188" t="s">
        <v>72</v>
      </c>
      <c r="S434" s="66">
        <v>99.4</v>
      </c>
      <c r="T434" s="66">
        <v>88.1</v>
      </c>
      <c r="U434" s="66">
        <v>26.4</v>
      </c>
      <c r="V434" s="2"/>
      <c r="W434" s="66">
        <v>32.6</v>
      </c>
      <c r="X434" s="67">
        <v>85</v>
      </c>
      <c r="Y434" s="67">
        <v>100</v>
      </c>
      <c r="Z434" s="66">
        <v>50.9</v>
      </c>
      <c r="AA434" s="66">
        <v>85.4</v>
      </c>
      <c r="AB434" s="67">
        <v>76</v>
      </c>
      <c r="AC434" s="67">
        <v>87</v>
      </c>
      <c r="AD434" s="67">
        <v>45</v>
      </c>
      <c r="AE434" s="66">
        <v>65.5</v>
      </c>
      <c r="AF434" s="66">
        <v>64.5</v>
      </c>
      <c r="AG434" s="66">
        <v>95.2</v>
      </c>
      <c r="AH434" s="66">
        <v>69.3</v>
      </c>
      <c r="AI434" s="66">
        <v>65.599999999999994</v>
      </c>
      <c r="AJ434" s="66">
        <v>90.8</v>
      </c>
      <c r="AK434" s="388"/>
      <c r="AL434" s="388"/>
      <c r="AM434" s="14"/>
      <c r="AN434" s="85"/>
      <c r="AO434" s="86"/>
    </row>
    <row r="435" spans="1:41" s="7" customFormat="1">
      <c r="A435" s="27" t="s">
        <v>35</v>
      </c>
      <c r="B435" s="388"/>
      <c r="C435" s="44">
        <v>6.1</v>
      </c>
      <c r="D435" s="44">
        <v>5.6</v>
      </c>
      <c r="E435" s="369">
        <v>2.4</v>
      </c>
      <c r="F435" s="66">
        <v>11.4</v>
      </c>
      <c r="G435" s="66">
        <v>31.8</v>
      </c>
      <c r="H435" s="66">
        <v>6.5</v>
      </c>
      <c r="I435" s="92">
        <v>0</v>
      </c>
      <c r="J435" s="66">
        <v>0.1</v>
      </c>
      <c r="K435" s="92">
        <v>0</v>
      </c>
      <c r="L435" s="92">
        <v>0</v>
      </c>
      <c r="M435" s="66">
        <v>0.3</v>
      </c>
      <c r="N435" s="66">
        <v>2.4</v>
      </c>
      <c r="O435" s="67">
        <v>8</v>
      </c>
      <c r="P435" s="92">
        <v>0</v>
      </c>
      <c r="Q435" s="66">
        <v>5.2</v>
      </c>
      <c r="R435" s="188" t="s">
        <v>72</v>
      </c>
      <c r="S435" s="92">
        <v>0</v>
      </c>
      <c r="T435" s="67">
        <v>0</v>
      </c>
      <c r="U435" s="92">
        <v>0</v>
      </c>
      <c r="V435" s="2"/>
      <c r="W435" s="67">
        <v>0</v>
      </c>
      <c r="X435" s="66">
        <v>8.1999999999999993</v>
      </c>
      <c r="Y435" s="92">
        <v>0</v>
      </c>
      <c r="Z435" s="66">
        <v>42.7</v>
      </c>
      <c r="AA435" s="92">
        <v>0</v>
      </c>
      <c r="AB435" s="67">
        <v>0</v>
      </c>
      <c r="AC435" s="92">
        <v>0</v>
      </c>
      <c r="AD435" s="66">
        <v>28.1</v>
      </c>
      <c r="AE435" s="66">
        <v>3.6</v>
      </c>
      <c r="AF435" s="92">
        <v>0</v>
      </c>
      <c r="AG435" s="92">
        <v>0</v>
      </c>
      <c r="AH435" s="66">
        <v>0.1</v>
      </c>
      <c r="AI435" s="66">
        <v>0.1</v>
      </c>
      <c r="AJ435" s="66">
        <v>0.1</v>
      </c>
      <c r="AK435" s="30"/>
      <c r="AL435" s="30"/>
      <c r="AM435" s="46"/>
      <c r="AN435" s="85"/>
      <c r="AO435" s="86"/>
    </row>
    <row r="436" spans="1:41" s="7" customFormat="1">
      <c r="A436" s="13"/>
      <c r="B436" s="2"/>
      <c r="C436" s="37"/>
      <c r="D436" s="380" t="s">
        <v>42</v>
      </c>
      <c r="E436" s="48">
        <v>2019</v>
      </c>
      <c r="F436" s="388"/>
      <c r="G436" s="388"/>
      <c r="H436" s="388"/>
      <c r="I436" s="388"/>
      <c r="J436" s="388"/>
      <c r="K436" s="388"/>
      <c r="L436" s="388"/>
      <c r="M436" s="388"/>
      <c r="N436" s="388"/>
      <c r="O436" s="388"/>
      <c r="P436" s="388"/>
      <c r="Q436" s="388"/>
      <c r="R436" s="388"/>
      <c r="S436" s="388"/>
      <c r="T436" s="388"/>
      <c r="U436" s="388"/>
      <c r="V436" s="388"/>
      <c r="W436" s="388"/>
      <c r="X436" s="388"/>
      <c r="Y436" s="388"/>
      <c r="Z436" s="388"/>
      <c r="AA436" s="388"/>
      <c r="AB436" s="388"/>
      <c r="AC436" s="388"/>
      <c r="AD436" s="388"/>
      <c r="AE436" s="388"/>
      <c r="AF436" s="388"/>
      <c r="AG436" s="388"/>
      <c r="AH436" s="388"/>
      <c r="AI436" s="388"/>
      <c r="AJ436" s="388"/>
      <c r="AK436" s="388"/>
      <c r="AL436" s="388"/>
      <c r="AM436" s="42"/>
      <c r="AN436" s="85"/>
      <c r="AO436" s="86"/>
    </row>
    <row r="437" spans="1:41" s="7" customFormat="1">
      <c r="A437" s="13"/>
      <c r="B437" s="2"/>
      <c r="C437" s="37"/>
      <c r="D437" s="380" t="s">
        <v>1</v>
      </c>
      <c r="E437" s="49" t="s">
        <v>52</v>
      </c>
      <c r="F437" s="388"/>
      <c r="G437" s="388"/>
      <c r="H437" s="388"/>
      <c r="I437" s="388"/>
      <c r="J437" s="388"/>
      <c r="K437" s="388"/>
      <c r="L437" s="388"/>
      <c r="M437" s="388"/>
      <c r="N437" s="388"/>
      <c r="O437" s="388"/>
      <c r="P437" s="388"/>
      <c r="Q437" s="388"/>
      <c r="R437" s="388"/>
      <c r="S437" s="388"/>
      <c r="T437" s="388"/>
      <c r="U437" s="388"/>
      <c r="V437" s="388"/>
      <c r="W437" s="388"/>
      <c r="X437" s="388"/>
      <c r="Y437" s="388"/>
      <c r="Z437" s="388"/>
      <c r="AA437" s="388"/>
      <c r="AB437" s="388"/>
      <c r="AC437" s="388"/>
      <c r="AD437" s="388"/>
      <c r="AE437" s="388"/>
      <c r="AF437" s="388"/>
      <c r="AG437" s="388"/>
      <c r="AH437" s="388"/>
      <c r="AI437" s="388"/>
      <c r="AJ437" s="388"/>
      <c r="AK437" s="388"/>
      <c r="AL437" s="388"/>
      <c r="AM437" s="42"/>
      <c r="AN437" s="85"/>
      <c r="AO437" s="86"/>
    </row>
    <row r="438" spans="1:41" s="7" customFormat="1" ht="15.75" thickBot="1">
      <c r="A438" s="39"/>
      <c r="B438" s="51"/>
      <c r="C438" s="51"/>
      <c r="D438" s="430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3"/>
      <c r="AN438" s="85"/>
      <c r="AO438" s="86"/>
    </row>
    <row r="439" spans="1:41" s="7" customFormat="1" ht="15.75" thickBot="1">
      <c r="A439" s="21"/>
      <c r="B439" s="8"/>
      <c r="C439" s="8"/>
      <c r="D439" s="9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21"/>
      <c r="AH439" s="8"/>
      <c r="AI439" s="8"/>
      <c r="AJ439" s="8"/>
      <c r="AK439" s="8"/>
      <c r="AL439" s="8"/>
      <c r="AM439" s="8"/>
      <c r="AN439" s="85"/>
      <c r="AO439" s="86"/>
    </row>
    <row r="440" spans="1:41" ht="19.5" thickBot="1">
      <c r="A440" s="766" t="s">
        <v>708</v>
      </c>
      <c r="B440" s="767"/>
      <c r="C440" s="767"/>
      <c r="D440" s="767"/>
      <c r="E440" s="767"/>
      <c r="F440" s="767"/>
      <c r="G440" s="767"/>
      <c r="H440" s="767"/>
      <c r="I440" s="767"/>
      <c r="J440" s="767"/>
      <c r="K440" s="767"/>
      <c r="L440" s="767"/>
      <c r="M440" s="767"/>
      <c r="N440" s="767"/>
      <c r="O440" s="767"/>
      <c r="P440" s="767"/>
      <c r="Q440" s="767"/>
      <c r="R440" s="767"/>
      <c r="S440" s="767"/>
      <c r="T440" s="767"/>
      <c r="U440" s="767"/>
      <c r="V440" s="767"/>
      <c r="W440" s="767"/>
      <c r="X440" s="767"/>
      <c r="Y440" s="767"/>
      <c r="Z440" s="767"/>
      <c r="AA440" s="767"/>
      <c r="AB440" s="767"/>
      <c r="AC440" s="767"/>
      <c r="AD440" s="767"/>
      <c r="AE440" s="767"/>
      <c r="AF440" s="767"/>
      <c r="AG440" s="767"/>
      <c r="AH440" s="767"/>
      <c r="AI440" s="767"/>
      <c r="AJ440" s="767"/>
      <c r="AK440" s="767"/>
      <c r="AL440" s="767"/>
      <c r="AM440" s="768"/>
    </row>
    <row r="441" spans="1:41">
      <c r="A441" s="24"/>
      <c r="B441" s="10"/>
      <c r="C441" s="65"/>
      <c r="D441" s="10"/>
      <c r="E441" s="36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9"/>
      <c r="AH441" s="10"/>
      <c r="AI441" s="10"/>
      <c r="AJ441" s="10"/>
      <c r="AK441" s="10"/>
      <c r="AL441" s="10"/>
      <c r="AM441" s="11"/>
    </row>
    <row r="442" spans="1:41" s="7" customFormat="1">
      <c r="A442" s="128" t="s">
        <v>706</v>
      </c>
      <c r="B442" s="643"/>
      <c r="C442" s="135"/>
      <c r="D442" s="77"/>
      <c r="E442" s="313" t="s">
        <v>4</v>
      </c>
      <c r="F442" s="643" t="s">
        <v>5</v>
      </c>
      <c r="G442" s="643" t="s">
        <v>6</v>
      </c>
      <c r="H442" s="643" t="s">
        <v>15</v>
      </c>
      <c r="I442" s="643" t="s">
        <v>7</v>
      </c>
      <c r="J442" s="643" t="s">
        <v>8</v>
      </c>
      <c r="K442" s="643" t="s">
        <v>9</v>
      </c>
      <c r="L442" s="643" t="s">
        <v>10</v>
      </c>
      <c r="M442" s="643" t="s">
        <v>2</v>
      </c>
      <c r="N442" s="643" t="s">
        <v>12</v>
      </c>
      <c r="O442" s="643" t="s">
        <v>30</v>
      </c>
      <c r="P442" s="643" t="s">
        <v>13</v>
      </c>
      <c r="Q442" s="643" t="s">
        <v>14</v>
      </c>
      <c r="R442" s="643" t="s">
        <v>45</v>
      </c>
      <c r="S442" s="643" t="s">
        <v>16</v>
      </c>
      <c r="T442" s="643" t="s">
        <v>17</v>
      </c>
      <c r="U442" s="643" t="s">
        <v>20</v>
      </c>
      <c r="V442" s="643" t="s">
        <v>154</v>
      </c>
      <c r="W442" s="643" t="s">
        <v>18</v>
      </c>
      <c r="X442" s="643" t="s">
        <v>19</v>
      </c>
      <c r="Y442" s="643" t="s">
        <v>21</v>
      </c>
      <c r="Z442" s="643" t="s">
        <v>22</v>
      </c>
      <c r="AA442" s="643" t="s">
        <v>29</v>
      </c>
      <c r="AB442" s="643" t="s">
        <v>23</v>
      </c>
      <c r="AC442" s="643" t="s">
        <v>24</v>
      </c>
      <c r="AD442" s="643" t="s">
        <v>25</v>
      </c>
      <c r="AE442" s="643" t="s">
        <v>28</v>
      </c>
      <c r="AF442" s="643" t="s">
        <v>27</v>
      </c>
      <c r="AG442" s="643" t="s">
        <v>11</v>
      </c>
      <c r="AH442" s="643" t="s">
        <v>26</v>
      </c>
      <c r="AI442" s="643" t="s">
        <v>46</v>
      </c>
      <c r="AJ442" s="643" t="s">
        <v>31</v>
      </c>
      <c r="AK442" s="5"/>
      <c r="AL442" s="5"/>
      <c r="AM442" s="12"/>
      <c r="AN442" s="6"/>
    </row>
    <row r="443" spans="1:41" s="7" customFormat="1">
      <c r="A443" s="551" t="s">
        <v>672</v>
      </c>
      <c r="B443" s="642"/>
      <c r="C443" s="106"/>
      <c r="D443" s="642">
        <v>2021</v>
      </c>
      <c r="E443" s="676">
        <v>95.708086423490244</v>
      </c>
      <c r="F443" s="641">
        <v>30.686288979954334</v>
      </c>
      <c r="G443" s="641">
        <v>51.912290572117769</v>
      </c>
      <c r="H443" s="641">
        <v>65.384236746272336</v>
      </c>
      <c r="I443" s="641">
        <v>0</v>
      </c>
      <c r="J443" s="641">
        <v>0</v>
      </c>
      <c r="K443" s="641">
        <v>29.98203335761967</v>
      </c>
      <c r="L443" s="641">
        <v>117.28496305452052</v>
      </c>
      <c r="M443" s="641">
        <v>100.26078134111631</v>
      </c>
      <c r="N443" s="641">
        <v>26.35122266081386</v>
      </c>
      <c r="O443" s="641">
        <v>69.551851532831478</v>
      </c>
      <c r="P443" s="641">
        <v>6.0124328776648497</v>
      </c>
      <c r="Q443" s="641">
        <v>92.622139891881119</v>
      </c>
      <c r="R443" s="641">
        <v>0</v>
      </c>
      <c r="S443" s="641">
        <v>2.4643245884135658</v>
      </c>
      <c r="T443" s="655"/>
      <c r="U443" s="641">
        <v>502.77337566256062</v>
      </c>
      <c r="V443" s="655"/>
      <c r="W443" s="641">
        <v>962.50300007511589</v>
      </c>
      <c r="X443" s="641">
        <v>67.447515762607736</v>
      </c>
      <c r="Y443" s="641">
        <v>0</v>
      </c>
      <c r="Z443" s="641">
        <v>26.945270806158252</v>
      </c>
      <c r="AA443" s="655"/>
      <c r="AB443" s="641">
        <v>195.3843386505196</v>
      </c>
      <c r="AC443" s="641">
        <v>34.156903564799151</v>
      </c>
      <c r="AD443" s="641">
        <v>62.447830672471326</v>
      </c>
      <c r="AE443" s="641">
        <v>247.60012756555616</v>
      </c>
      <c r="AF443" s="641">
        <v>333.75012607534359</v>
      </c>
      <c r="AG443" s="686"/>
      <c r="AH443" s="641">
        <v>95.354781745581008</v>
      </c>
      <c r="AI443" s="655"/>
      <c r="AJ443" s="641">
        <v>27.2564358745006</v>
      </c>
      <c r="AK443" s="5"/>
      <c r="AL443" s="5"/>
      <c r="AM443" s="12"/>
      <c r="AN443" s="6"/>
    </row>
    <row r="444" spans="1:41" s="7" customFormat="1">
      <c r="A444" s="174"/>
      <c r="B444" s="642"/>
      <c r="C444" s="106"/>
      <c r="D444" s="28" t="s">
        <v>421</v>
      </c>
      <c r="E444" s="364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2"/>
      <c r="AH444" s="5"/>
      <c r="AI444" s="5"/>
      <c r="AJ444" s="5"/>
      <c r="AK444" s="5"/>
      <c r="AL444" s="5"/>
      <c r="AM444" s="12"/>
      <c r="AN444" s="6"/>
    </row>
    <row r="445" spans="1:41" s="7" customFormat="1">
      <c r="A445" s="174"/>
      <c r="B445" s="642"/>
      <c r="C445" s="106"/>
      <c r="D445" s="28" t="s">
        <v>42</v>
      </c>
      <c r="E445" s="677">
        <v>2019</v>
      </c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2"/>
      <c r="AH445" s="5"/>
      <c r="AI445" s="5"/>
      <c r="AJ445" s="5"/>
      <c r="AK445" s="5"/>
      <c r="AL445" s="5"/>
      <c r="AM445" s="12"/>
      <c r="AN445" s="6"/>
    </row>
    <row r="446" spans="1:41" s="7" customFormat="1">
      <c r="A446" s="174"/>
      <c r="B446" s="642"/>
      <c r="C446" s="106"/>
      <c r="D446" s="28" t="s">
        <v>1</v>
      </c>
      <c r="E446" s="677" t="s">
        <v>76</v>
      </c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2"/>
      <c r="AH446" s="5"/>
      <c r="AI446" s="5"/>
      <c r="AJ446" s="5"/>
      <c r="AK446" s="5"/>
      <c r="AL446" s="5"/>
      <c r="AM446" s="12"/>
      <c r="AN446" s="6"/>
    </row>
    <row r="447" spans="1:41" s="7" customFormat="1">
      <c r="A447" s="174"/>
      <c r="B447" s="642"/>
      <c r="C447" s="106"/>
      <c r="D447" s="28" t="s">
        <v>673</v>
      </c>
      <c r="E447" s="677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2"/>
      <c r="AH447" s="5"/>
      <c r="AI447" s="5"/>
      <c r="AJ447" s="5"/>
      <c r="AK447" s="5"/>
      <c r="AL447" s="5"/>
      <c r="AM447" s="12"/>
      <c r="AN447" s="6"/>
    </row>
    <row r="448" spans="1:41" s="7" customFormat="1">
      <c r="A448" s="174"/>
      <c r="B448" s="642"/>
      <c r="C448" s="106"/>
      <c r="D448" s="329" t="s">
        <v>42</v>
      </c>
      <c r="E448" s="677">
        <v>2015</v>
      </c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2"/>
      <c r="AH448" s="5"/>
      <c r="AI448" s="5"/>
      <c r="AJ448" s="5"/>
      <c r="AK448" s="5"/>
      <c r="AL448" s="5"/>
      <c r="AM448" s="12"/>
      <c r="AN448" s="6"/>
    </row>
    <row r="449" spans="1:40" s="7" customFormat="1">
      <c r="A449" s="174"/>
      <c r="B449" s="642"/>
      <c r="C449" s="106"/>
      <c r="D449" s="329" t="s">
        <v>1</v>
      </c>
      <c r="E449" s="677" t="s">
        <v>130</v>
      </c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2"/>
      <c r="AH449" s="5"/>
      <c r="AI449" s="5"/>
      <c r="AJ449" s="5"/>
      <c r="AK449" s="5"/>
      <c r="AL449" s="5"/>
      <c r="AM449" s="12"/>
      <c r="AN449" s="6"/>
    </row>
    <row r="450" spans="1:40" s="7" customFormat="1">
      <c r="A450" s="174"/>
      <c r="B450" s="642"/>
      <c r="C450" s="106"/>
      <c r="D450" s="28"/>
      <c r="E450" s="677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2"/>
      <c r="AH450" s="5"/>
      <c r="AI450" s="5"/>
      <c r="AJ450" s="5"/>
      <c r="AK450" s="5"/>
      <c r="AL450" s="5"/>
      <c r="AM450" s="12"/>
      <c r="AN450" s="6"/>
    </row>
    <row r="451" spans="1:40" s="7" customFormat="1">
      <c r="A451" s="43" t="s">
        <v>707</v>
      </c>
      <c r="B451" s="41"/>
      <c r="C451" s="41"/>
      <c r="D451" s="41"/>
      <c r="E451" s="352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37"/>
      <c r="AH451" s="41"/>
      <c r="AI451" s="41"/>
      <c r="AJ451" s="41"/>
      <c r="AK451" s="5"/>
      <c r="AL451" s="5"/>
      <c r="AM451" s="12"/>
      <c r="AN451" s="6"/>
    </row>
    <row r="452" spans="1:40" s="7" customFormat="1">
      <c r="A452" s="63" t="s">
        <v>151</v>
      </c>
      <c r="B452" s="64"/>
      <c r="C452" s="64"/>
      <c r="D452" s="64" t="s">
        <v>82</v>
      </c>
      <c r="E452" s="313" t="s">
        <v>4</v>
      </c>
      <c r="F452" s="64" t="s">
        <v>5</v>
      </c>
      <c r="G452" s="64" t="s">
        <v>6</v>
      </c>
      <c r="H452" s="64" t="s">
        <v>15</v>
      </c>
      <c r="I452" s="64" t="s">
        <v>7</v>
      </c>
      <c r="J452" s="64" t="s">
        <v>8</v>
      </c>
      <c r="K452" s="64" t="s">
        <v>9</v>
      </c>
      <c r="L452" s="64" t="s">
        <v>10</v>
      </c>
      <c r="M452" s="64" t="s">
        <v>2</v>
      </c>
      <c r="N452" s="64" t="s">
        <v>12</v>
      </c>
      <c r="O452" s="64" t="s">
        <v>30</v>
      </c>
      <c r="P452" s="64" t="s">
        <v>13</v>
      </c>
      <c r="Q452" s="64" t="s">
        <v>14</v>
      </c>
      <c r="R452" s="64" t="s">
        <v>45</v>
      </c>
      <c r="S452" s="64" t="s">
        <v>16</v>
      </c>
      <c r="T452" s="64" t="s">
        <v>17</v>
      </c>
      <c r="U452" s="64" t="s">
        <v>20</v>
      </c>
      <c r="V452" s="194" t="s">
        <v>154</v>
      </c>
      <c r="W452" s="64" t="s">
        <v>18</v>
      </c>
      <c r="X452" s="64" t="s">
        <v>19</v>
      </c>
      <c r="Y452" s="64" t="s">
        <v>21</v>
      </c>
      <c r="Z452" s="64" t="s">
        <v>22</v>
      </c>
      <c r="AA452" s="64" t="s">
        <v>29</v>
      </c>
      <c r="AB452" s="64" t="s">
        <v>23</v>
      </c>
      <c r="AC452" s="64" t="s">
        <v>24</v>
      </c>
      <c r="AD452" s="64" t="s">
        <v>25</v>
      </c>
      <c r="AE452" s="64" t="s">
        <v>28</v>
      </c>
      <c r="AF452" s="64" t="s">
        <v>27</v>
      </c>
      <c r="AG452" s="64" t="s">
        <v>11</v>
      </c>
      <c r="AH452" s="64" t="s">
        <v>26</v>
      </c>
      <c r="AI452" s="64" t="s">
        <v>46</v>
      </c>
      <c r="AJ452" s="194" t="s">
        <v>31</v>
      </c>
      <c r="AK452" s="5"/>
      <c r="AL452" s="5"/>
      <c r="AM452" s="12"/>
      <c r="AN452" s="6"/>
    </row>
    <row r="453" spans="1:40" s="7" customFormat="1">
      <c r="A453" s="27" t="s">
        <v>85</v>
      </c>
      <c r="B453" s="49"/>
      <c r="C453" s="41"/>
      <c r="D453" s="104">
        <v>2</v>
      </c>
      <c r="E453" s="357">
        <v>0.9</v>
      </c>
      <c r="F453" s="41">
        <v>2.1</v>
      </c>
      <c r="G453" s="41">
        <v>1.9</v>
      </c>
      <c r="H453" s="41">
        <v>1.4</v>
      </c>
      <c r="I453" s="50">
        <v>0</v>
      </c>
      <c r="J453" s="41">
        <v>2.1</v>
      </c>
      <c r="K453" s="41">
        <v>1.6</v>
      </c>
      <c r="L453" s="50">
        <v>1.8</v>
      </c>
      <c r="M453" s="41">
        <v>1.4</v>
      </c>
      <c r="N453" s="50">
        <v>3.5</v>
      </c>
      <c r="O453" s="41">
        <v>1.6</v>
      </c>
      <c r="P453" s="41">
        <v>0.8</v>
      </c>
      <c r="Q453" s="50">
        <v>2</v>
      </c>
      <c r="R453" s="104">
        <v>0</v>
      </c>
      <c r="S453" s="41">
        <v>1.2</v>
      </c>
      <c r="T453" s="41">
        <v>1.7</v>
      </c>
      <c r="U453" s="41">
        <v>2.2000000000000002</v>
      </c>
      <c r="V453" s="1"/>
      <c r="W453" s="41">
        <v>2.5</v>
      </c>
      <c r="X453" s="50">
        <v>1.9</v>
      </c>
      <c r="Y453" s="50">
        <v>0</v>
      </c>
      <c r="Z453" s="41">
        <v>1.5</v>
      </c>
      <c r="AA453" s="104">
        <v>2</v>
      </c>
      <c r="AB453" s="41">
        <v>2.2000000000000002</v>
      </c>
      <c r="AC453" s="41">
        <v>1.5</v>
      </c>
      <c r="AD453" s="41">
        <v>3.9</v>
      </c>
      <c r="AE453" s="50">
        <v>1.8</v>
      </c>
      <c r="AF453" s="50">
        <v>3.6</v>
      </c>
      <c r="AG453" s="41">
        <v>2.2999999999999998</v>
      </c>
      <c r="AH453" s="50">
        <v>1.7</v>
      </c>
      <c r="AI453" s="104">
        <v>2</v>
      </c>
      <c r="AJ453" s="41">
        <v>2.1</v>
      </c>
      <c r="AK453" s="5"/>
      <c r="AL453" s="5"/>
      <c r="AM453" s="12"/>
      <c r="AN453" s="6"/>
    </row>
    <row r="454" spans="1:40" s="7" customFormat="1">
      <c r="A454" s="27" t="s">
        <v>83</v>
      </c>
      <c r="B454" s="49"/>
      <c r="C454" s="41"/>
      <c r="D454" s="102">
        <v>1.9</v>
      </c>
      <c r="E454" s="357">
        <v>1.4</v>
      </c>
      <c r="F454" s="41">
        <v>3.2</v>
      </c>
      <c r="G454" s="41">
        <v>2.2000000000000002</v>
      </c>
      <c r="H454" s="41">
        <v>1.2</v>
      </c>
      <c r="I454" s="50">
        <v>0</v>
      </c>
      <c r="J454" s="41">
        <v>1.8</v>
      </c>
      <c r="K454" s="41">
        <v>1.6</v>
      </c>
      <c r="L454" s="41">
        <v>2.2000000000000002</v>
      </c>
      <c r="M454" s="41">
        <v>1.5</v>
      </c>
      <c r="N454" s="41">
        <v>3.1</v>
      </c>
      <c r="O454" s="41">
        <v>1.1000000000000001</v>
      </c>
      <c r="P454" s="41">
        <v>0.9</v>
      </c>
      <c r="Q454" s="41">
        <v>2.4</v>
      </c>
      <c r="R454" s="104">
        <v>0</v>
      </c>
      <c r="S454" s="41">
        <v>1.4</v>
      </c>
      <c r="T454" s="41">
        <v>1.2</v>
      </c>
      <c r="U454" s="41">
        <v>2.2999999999999998</v>
      </c>
      <c r="V454" s="1"/>
      <c r="W454" s="41">
        <v>1.3</v>
      </c>
      <c r="X454" s="50">
        <v>3.2</v>
      </c>
      <c r="Y454" s="50">
        <v>0</v>
      </c>
      <c r="Z454" s="41">
        <v>1.5</v>
      </c>
      <c r="AA454" s="102">
        <v>1.9</v>
      </c>
      <c r="AB454" s="41">
        <v>2.4</v>
      </c>
      <c r="AC454" s="41">
        <v>2.1</v>
      </c>
      <c r="AD454" s="50">
        <v>2.4</v>
      </c>
      <c r="AE454" s="41">
        <v>2.8</v>
      </c>
      <c r="AF454" s="50">
        <v>3.9</v>
      </c>
      <c r="AG454" s="41">
        <v>2.2999999999999998</v>
      </c>
      <c r="AH454" s="50">
        <v>1.9</v>
      </c>
      <c r="AI454" s="102">
        <v>1.9</v>
      </c>
      <c r="AJ454" s="41">
        <v>1.1000000000000001</v>
      </c>
      <c r="AK454" s="5"/>
      <c r="AL454" s="5"/>
      <c r="AM454" s="12"/>
      <c r="AN454" s="6"/>
    </row>
    <row r="455" spans="1:40" s="7" customFormat="1">
      <c r="A455" s="27" t="s">
        <v>87</v>
      </c>
      <c r="B455" s="49"/>
      <c r="C455" s="41"/>
      <c r="D455" s="102">
        <v>1.1000000000000001</v>
      </c>
      <c r="E455" s="357">
        <v>1.1000000000000001</v>
      </c>
      <c r="F455" s="41">
        <v>1.7</v>
      </c>
      <c r="G455" s="41">
        <v>1.5</v>
      </c>
      <c r="H455" s="41">
        <v>0.6</v>
      </c>
      <c r="I455" s="50">
        <v>0</v>
      </c>
      <c r="J455" s="50">
        <v>1.1000000000000001</v>
      </c>
      <c r="K455" s="41">
        <v>1.3</v>
      </c>
      <c r="L455" s="41">
        <v>1.3</v>
      </c>
      <c r="M455" s="41">
        <v>1.4</v>
      </c>
      <c r="N455" s="41">
        <v>1.6</v>
      </c>
      <c r="O455" s="41">
        <v>0.8</v>
      </c>
      <c r="P455" s="41">
        <v>0.8</v>
      </c>
      <c r="Q455" s="41">
        <v>1.4</v>
      </c>
      <c r="R455" s="104">
        <v>0</v>
      </c>
      <c r="S455" s="41">
        <v>1.1000000000000001</v>
      </c>
      <c r="T455" s="41">
        <v>0.7</v>
      </c>
      <c r="U455" s="41">
        <v>1.2</v>
      </c>
      <c r="V455" s="1"/>
      <c r="W455" s="41">
        <v>1.3</v>
      </c>
      <c r="X455" s="41">
        <v>2.7</v>
      </c>
      <c r="Y455" s="50">
        <v>0</v>
      </c>
      <c r="Z455" s="41">
        <v>0.8</v>
      </c>
      <c r="AA455" s="102">
        <v>1.1000000000000001</v>
      </c>
      <c r="AB455" s="41">
        <v>0.9</v>
      </c>
      <c r="AC455" s="41">
        <v>0.9</v>
      </c>
      <c r="AD455" s="41">
        <v>1.7</v>
      </c>
      <c r="AE455" s="50">
        <v>1</v>
      </c>
      <c r="AF455" s="50">
        <v>1.8</v>
      </c>
      <c r="AG455" s="50">
        <v>0.8</v>
      </c>
      <c r="AH455" s="50">
        <v>1.3</v>
      </c>
      <c r="AI455" s="102">
        <v>1.1000000000000001</v>
      </c>
      <c r="AJ455" s="41">
        <v>0.7</v>
      </c>
      <c r="AK455" s="5"/>
      <c r="AL455" s="5"/>
      <c r="AM455" s="12"/>
      <c r="AN455" s="6"/>
    </row>
    <row r="456" spans="1:40" s="7" customFormat="1">
      <c r="A456" s="27" t="s">
        <v>88</v>
      </c>
      <c r="B456" s="49"/>
      <c r="C456" s="41"/>
      <c r="D456" s="102">
        <v>1.1000000000000001</v>
      </c>
      <c r="E456" s="357">
        <v>1.1000000000000001</v>
      </c>
      <c r="F456" s="41">
        <v>1.7</v>
      </c>
      <c r="G456" s="41">
        <v>1.5</v>
      </c>
      <c r="H456" s="41">
        <v>0.6</v>
      </c>
      <c r="I456" s="50">
        <v>0</v>
      </c>
      <c r="J456" s="50">
        <v>1.1000000000000001</v>
      </c>
      <c r="K456" s="41">
        <v>1.3</v>
      </c>
      <c r="L456" s="41">
        <v>1.3</v>
      </c>
      <c r="M456" s="41">
        <v>1.4</v>
      </c>
      <c r="N456" s="41">
        <v>1.6</v>
      </c>
      <c r="O456" s="41">
        <v>0.8</v>
      </c>
      <c r="P456" s="41">
        <v>0.8</v>
      </c>
      <c r="Q456" s="41">
        <v>1.4</v>
      </c>
      <c r="R456" s="104">
        <v>0</v>
      </c>
      <c r="S456" s="41">
        <v>1.1000000000000001</v>
      </c>
      <c r="T456" s="41">
        <v>0.7</v>
      </c>
      <c r="U456" s="41">
        <v>1.2</v>
      </c>
      <c r="V456" s="1"/>
      <c r="W456" s="41">
        <v>1.3</v>
      </c>
      <c r="X456" s="41">
        <v>2.7</v>
      </c>
      <c r="Y456" s="50">
        <v>0</v>
      </c>
      <c r="Z456" s="41">
        <v>0.8</v>
      </c>
      <c r="AA456" s="102">
        <v>1.1000000000000001</v>
      </c>
      <c r="AB456" s="41">
        <v>0.9</v>
      </c>
      <c r="AC456" s="41">
        <v>0.9</v>
      </c>
      <c r="AD456" s="41">
        <v>1.7</v>
      </c>
      <c r="AE456" s="50">
        <v>1</v>
      </c>
      <c r="AF456" s="41">
        <v>1.8</v>
      </c>
      <c r="AG456" s="50">
        <v>0.8</v>
      </c>
      <c r="AH456" s="50">
        <v>1.3</v>
      </c>
      <c r="AI456" s="102">
        <v>1.1000000000000001</v>
      </c>
      <c r="AJ456" s="41">
        <v>0.7</v>
      </c>
      <c r="AK456" s="5"/>
      <c r="AL456" s="5"/>
      <c r="AM456" s="12"/>
      <c r="AN456" s="6"/>
    </row>
    <row r="457" spans="1:40" s="7" customFormat="1">
      <c r="A457" s="1"/>
      <c r="B457" s="1"/>
      <c r="C457" s="41"/>
      <c r="D457" s="47" t="s">
        <v>42</v>
      </c>
      <c r="E457" s="370">
        <v>2015</v>
      </c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685" t="s">
        <v>711</v>
      </c>
      <c r="S457" s="41"/>
      <c r="T457" s="41"/>
      <c r="U457" s="41"/>
      <c r="V457" s="41"/>
      <c r="W457" s="41"/>
      <c r="X457" s="41"/>
      <c r="Y457" s="41"/>
      <c r="Z457" s="41"/>
      <c r="AA457" s="41" t="s">
        <v>82</v>
      </c>
      <c r="AB457" s="41"/>
      <c r="AC457" s="41"/>
      <c r="AD457" s="41"/>
      <c r="AE457" s="37"/>
      <c r="AF457" s="41"/>
      <c r="AG457" s="41"/>
      <c r="AH457" s="41"/>
      <c r="AI457" s="41" t="s">
        <v>82</v>
      </c>
      <c r="AJ457" s="1"/>
      <c r="AK457" s="5"/>
      <c r="AL457" s="5"/>
      <c r="AM457" s="12"/>
      <c r="AN457" s="6"/>
    </row>
    <row r="458" spans="1:40" s="7" customFormat="1">
      <c r="A458" s="1"/>
      <c r="B458" s="1"/>
      <c r="C458" s="5"/>
      <c r="D458" s="371" t="s">
        <v>1</v>
      </c>
      <c r="E458" s="372" t="s">
        <v>86</v>
      </c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2"/>
      <c r="AH458" s="5"/>
      <c r="AI458" s="5"/>
      <c r="AJ458" s="5"/>
      <c r="AK458" s="5"/>
      <c r="AL458" s="5"/>
      <c r="AM458" s="12"/>
      <c r="AN458" s="6"/>
    </row>
    <row r="459" spans="1:40" s="7" customFormat="1">
      <c r="A459" s="174"/>
      <c r="B459" s="642"/>
      <c r="C459" s="106"/>
      <c r="D459" s="28"/>
      <c r="E459" s="364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2"/>
      <c r="AH459" s="5"/>
      <c r="AI459" s="5"/>
      <c r="AJ459" s="5"/>
      <c r="AK459" s="5"/>
      <c r="AL459" s="5"/>
      <c r="AM459" s="12"/>
      <c r="AN459" s="6"/>
    </row>
    <row r="460" spans="1:40" s="7" customFormat="1">
      <c r="A460" s="43" t="s">
        <v>712</v>
      </c>
      <c r="B460" s="642"/>
      <c r="C460" s="106"/>
      <c r="D460" s="28"/>
      <c r="E460" s="364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2"/>
      <c r="AH460" s="5"/>
      <c r="AI460" s="5"/>
      <c r="AJ460" s="5"/>
      <c r="AK460" s="5"/>
      <c r="AL460" s="5"/>
      <c r="AM460" s="12"/>
      <c r="AN460" s="6"/>
    </row>
    <row r="461" spans="1:40">
      <c r="A461" s="63"/>
      <c r="B461" s="64" t="s">
        <v>710</v>
      </c>
      <c r="C461" s="64" t="s">
        <v>138</v>
      </c>
      <c r="D461" s="64" t="s">
        <v>141</v>
      </c>
      <c r="E461" s="313" t="s">
        <v>4</v>
      </c>
      <c r="F461" s="64" t="s">
        <v>5</v>
      </c>
      <c r="G461" s="64" t="s">
        <v>6</v>
      </c>
      <c r="H461" s="64" t="s">
        <v>15</v>
      </c>
      <c r="I461" s="64" t="s">
        <v>7</v>
      </c>
      <c r="J461" s="64" t="s">
        <v>8</v>
      </c>
      <c r="K461" s="64" t="s">
        <v>9</v>
      </c>
      <c r="L461" s="64" t="s">
        <v>10</v>
      </c>
      <c r="M461" s="64" t="s">
        <v>2</v>
      </c>
      <c r="N461" s="64" t="s">
        <v>12</v>
      </c>
      <c r="O461" s="64" t="s">
        <v>30</v>
      </c>
      <c r="P461" s="64" t="s">
        <v>13</v>
      </c>
      <c r="Q461" s="64" t="s">
        <v>14</v>
      </c>
      <c r="R461" s="64" t="s">
        <v>45</v>
      </c>
      <c r="S461" s="64" t="s">
        <v>16</v>
      </c>
      <c r="T461" s="64" t="s">
        <v>17</v>
      </c>
      <c r="U461" s="64" t="s">
        <v>20</v>
      </c>
      <c r="V461" s="194" t="s">
        <v>154</v>
      </c>
      <c r="W461" s="64" t="s">
        <v>18</v>
      </c>
      <c r="X461" s="64" t="s">
        <v>19</v>
      </c>
      <c r="Y461" s="64" t="s">
        <v>21</v>
      </c>
      <c r="Z461" s="64" t="s">
        <v>22</v>
      </c>
      <c r="AA461" s="64" t="s">
        <v>29</v>
      </c>
      <c r="AB461" s="64" t="s">
        <v>23</v>
      </c>
      <c r="AC461" s="64" t="s">
        <v>24</v>
      </c>
      <c r="AD461" s="64" t="s">
        <v>25</v>
      </c>
      <c r="AE461" s="64" t="s">
        <v>28</v>
      </c>
      <c r="AF461" s="64" t="s">
        <v>27</v>
      </c>
      <c r="AG461" s="64" t="s">
        <v>11</v>
      </c>
      <c r="AH461" s="64" t="s">
        <v>26</v>
      </c>
      <c r="AI461" s="64" t="s">
        <v>46</v>
      </c>
      <c r="AJ461" s="643" t="s">
        <v>31</v>
      </c>
      <c r="AK461" s="5"/>
      <c r="AL461" s="5"/>
      <c r="AM461" s="12"/>
    </row>
    <row r="462" spans="1:40">
      <c r="A462" s="687" t="s">
        <v>3</v>
      </c>
      <c r="B462" s="41">
        <v>4.0199999999999996</v>
      </c>
      <c r="C462" s="119">
        <f>3.24/1.16279069767441</f>
        <v>2.7864000000000209</v>
      </c>
      <c r="D462" s="50">
        <f>B462*C462*1000</f>
        <v>11201.328000000081</v>
      </c>
      <c r="E462" s="357">
        <v>14.527142227434151</v>
      </c>
      <c r="F462" s="104">
        <v>50</v>
      </c>
      <c r="G462" s="104">
        <v>50</v>
      </c>
      <c r="H462" s="104">
        <v>50</v>
      </c>
      <c r="I462" s="683">
        <v>50</v>
      </c>
      <c r="J462" s="50">
        <v>46.81286999026775</v>
      </c>
      <c r="K462" s="104">
        <v>50</v>
      </c>
      <c r="L462" s="104">
        <v>50</v>
      </c>
      <c r="M462" s="50">
        <v>6.003971816425909</v>
      </c>
      <c r="N462" s="104">
        <v>50</v>
      </c>
      <c r="O462" s="104">
        <v>50</v>
      </c>
      <c r="P462" s="104">
        <v>50</v>
      </c>
      <c r="Q462" s="50">
        <v>29.755999858618942</v>
      </c>
      <c r="R462" s="683">
        <v>50</v>
      </c>
      <c r="S462" s="104">
        <v>50</v>
      </c>
      <c r="T462" s="104">
        <v>50</v>
      </c>
      <c r="U462" s="50">
        <v>39.969341838500725</v>
      </c>
      <c r="V462" s="1"/>
      <c r="W462" s="50">
        <v>75.304746880826045</v>
      </c>
      <c r="X462" s="104">
        <v>50</v>
      </c>
      <c r="Y462" s="683">
        <v>50</v>
      </c>
      <c r="Z462" s="104">
        <v>50</v>
      </c>
      <c r="AA462" s="104">
        <v>50</v>
      </c>
      <c r="AB462" s="50">
        <v>14.89891979964999</v>
      </c>
      <c r="AC462" s="50">
        <v>14.92537313432836</v>
      </c>
      <c r="AD462" s="104">
        <v>50</v>
      </c>
      <c r="AE462" s="50">
        <v>39.123723902623951</v>
      </c>
      <c r="AF462" s="50">
        <v>34.417418238134282</v>
      </c>
      <c r="AG462" s="104">
        <v>50</v>
      </c>
      <c r="AH462" s="104">
        <v>50</v>
      </c>
      <c r="AI462" s="104">
        <v>50</v>
      </c>
      <c r="AJ462" s="104">
        <v>50</v>
      </c>
      <c r="AK462" s="5"/>
      <c r="AL462" s="5"/>
      <c r="AM462" s="12"/>
    </row>
    <row r="463" spans="1:40">
      <c r="A463" s="688" t="s">
        <v>59</v>
      </c>
      <c r="B463" s="643">
        <v>11.11</v>
      </c>
      <c r="C463" s="777" t="s">
        <v>140</v>
      </c>
      <c r="D463" s="777"/>
      <c r="E463" s="365">
        <v>85.472857772565845</v>
      </c>
      <c r="F463" s="191">
        <v>50</v>
      </c>
      <c r="G463" s="191">
        <v>50</v>
      </c>
      <c r="H463" s="191">
        <v>50</v>
      </c>
      <c r="I463" s="684">
        <v>50</v>
      </c>
      <c r="J463" s="190">
        <v>53.18713000973225</v>
      </c>
      <c r="K463" s="191">
        <v>50</v>
      </c>
      <c r="L463" s="191">
        <v>50</v>
      </c>
      <c r="M463" s="190">
        <v>93.996028183574083</v>
      </c>
      <c r="N463" s="191">
        <v>50</v>
      </c>
      <c r="O463" s="191">
        <v>50</v>
      </c>
      <c r="P463" s="191">
        <v>50</v>
      </c>
      <c r="Q463" s="190">
        <v>70.244000141381065</v>
      </c>
      <c r="R463" s="684">
        <v>50</v>
      </c>
      <c r="S463" s="191">
        <v>50</v>
      </c>
      <c r="T463" s="191">
        <v>50</v>
      </c>
      <c r="U463" s="190">
        <v>60.030658161499282</v>
      </c>
      <c r="V463" s="3"/>
      <c r="W463" s="190">
        <v>24.695253119173959</v>
      </c>
      <c r="X463" s="191">
        <v>50</v>
      </c>
      <c r="Y463" s="684">
        <v>50</v>
      </c>
      <c r="Z463" s="191">
        <v>50</v>
      </c>
      <c r="AA463" s="191">
        <v>50</v>
      </c>
      <c r="AB463" s="190">
        <v>85.101080200350012</v>
      </c>
      <c r="AC463" s="190">
        <v>85.074626865671647</v>
      </c>
      <c r="AD463" s="191">
        <v>50</v>
      </c>
      <c r="AE463" s="190">
        <v>60.876276097376049</v>
      </c>
      <c r="AF463" s="190">
        <v>65.582581761865725</v>
      </c>
      <c r="AG463" s="191">
        <v>50</v>
      </c>
      <c r="AH463" s="191">
        <v>50</v>
      </c>
      <c r="AI463" s="191">
        <v>50</v>
      </c>
      <c r="AJ463" s="191">
        <v>50</v>
      </c>
      <c r="AK463" s="5"/>
      <c r="AL463" s="5"/>
      <c r="AM463" s="12"/>
    </row>
    <row r="464" spans="1:40">
      <c r="A464" s="27" t="s">
        <v>709</v>
      </c>
      <c r="B464" s="37" t="s">
        <v>141</v>
      </c>
      <c r="C464" s="5"/>
      <c r="D464" s="682"/>
      <c r="E464" s="50">
        <f t="shared" ref="E464:AJ464" si="8">(E462/100*$D$462)+(E463/100*($B$463*E16))</f>
        <v>4124.9512817830164</v>
      </c>
      <c r="F464" s="50">
        <f t="shared" si="8"/>
        <v>6734.2330052356428</v>
      </c>
      <c r="G464" s="50">
        <f t="shared" si="8"/>
        <v>8714.9748523908929</v>
      </c>
      <c r="H464" s="50">
        <f t="shared" si="8"/>
        <v>7685.7035873786808</v>
      </c>
      <c r="I464" s="683">
        <f t="shared" si="8"/>
        <v>9402.5860720721121</v>
      </c>
      <c r="J464" s="50">
        <f t="shared" si="8"/>
        <v>8684.7604384824353</v>
      </c>
      <c r="K464" s="50">
        <f t="shared" si="8"/>
        <v>6256.8327459807479</v>
      </c>
      <c r="L464" s="50">
        <f t="shared" si="8"/>
        <v>9549.5810214944104</v>
      </c>
      <c r="M464" s="50">
        <f t="shared" si="8"/>
        <v>1717.4042171843203</v>
      </c>
      <c r="N464" s="50">
        <f t="shared" si="8"/>
        <v>6088.6326274510211</v>
      </c>
      <c r="O464" s="50">
        <f t="shared" si="8"/>
        <v>7766.1160958084238</v>
      </c>
      <c r="P464" s="50">
        <f t="shared" si="8"/>
        <v>8612.8627500000403</v>
      </c>
      <c r="Q464" s="50">
        <f t="shared" si="8"/>
        <v>5568.3480577730043</v>
      </c>
      <c r="R464" s="683">
        <f t="shared" si="8"/>
        <v>5600.6640000000407</v>
      </c>
      <c r="S464" s="50">
        <f t="shared" si="8"/>
        <v>7623.1670434783009</v>
      </c>
      <c r="T464" s="50">
        <f t="shared" si="8"/>
        <v>7316.9351721612129</v>
      </c>
      <c r="U464" s="50">
        <f t="shared" si="8"/>
        <v>13528.433958279504</v>
      </c>
      <c r="V464" s="50">
        <f t="shared" si="8"/>
        <v>0</v>
      </c>
      <c r="W464" s="50">
        <f t="shared" si="8"/>
        <v>8804.6223532871099</v>
      </c>
      <c r="X464" s="50">
        <f t="shared" si="8"/>
        <v>6737.2914484536486</v>
      </c>
      <c r="Y464" s="683">
        <f t="shared" si="8"/>
        <v>8063.9835348837614</v>
      </c>
      <c r="Z464" s="50">
        <f t="shared" si="8"/>
        <v>7868.0926016949561</v>
      </c>
      <c r="AA464" s="50">
        <f t="shared" si="8"/>
        <v>5600.6640000000407</v>
      </c>
      <c r="AB464" s="50">
        <f t="shared" si="8"/>
        <v>9183.0825726675175</v>
      </c>
      <c r="AC464" s="50">
        <f t="shared" si="8"/>
        <v>4248.7905773021803</v>
      </c>
      <c r="AD464" s="50">
        <f t="shared" si="8"/>
        <v>7623.9015342466155</v>
      </c>
      <c r="AE464" s="50">
        <f t="shared" si="8"/>
        <v>6737.2536284221387</v>
      </c>
      <c r="AF464" s="50">
        <f t="shared" si="8"/>
        <v>5508.8979830572771</v>
      </c>
      <c r="AG464" s="50">
        <f t="shared" si="8"/>
        <v>6840.6634444444853</v>
      </c>
      <c r="AH464" s="50">
        <f t="shared" si="8"/>
        <v>5760.6480000000411</v>
      </c>
      <c r="AI464" s="50">
        <f t="shared" si="8"/>
        <v>5600.6640000000407</v>
      </c>
      <c r="AJ464" s="50">
        <f t="shared" si="8"/>
        <v>7042.8182918455341</v>
      </c>
      <c r="AK464" s="5"/>
      <c r="AL464" s="5"/>
      <c r="AM464" s="12"/>
    </row>
    <row r="465" spans="1:40" s="7" customFormat="1">
      <c r="A465" s="2"/>
      <c r="B465" s="2"/>
      <c r="C465" s="5"/>
      <c r="D465" s="390"/>
      <c r="E465" s="1"/>
      <c r="F465" s="5"/>
      <c r="G465" s="5"/>
      <c r="H465" s="5"/>
      <c r="I465" s="685" t="s">
        <v>711</v>
      </c>
      <c r="J465" s="5"/>
      <c r="K465" s="5"/>
      <c r="L465" s="5"/>
      <c r="M465" s="5"/>
      <c r="N465" s="5"/>
      <c r="O465" s="5"/>
      <c r="P465" s="5"/>
      <c r="Q465" s="5"/>
      <c r="R465" s="685" t="s">
        <v>711</v>
      </c>
      <c r="S465" s="5"/>
      <c r="T465" s="5"/>
      <c r="U465" s="5"/>
      <c r="V465" s="5"/>
      <c r="W465" s="5"/>
      <c r="X465" s="5"/>
      <c r="Y465" s="685" t="s">
        <v>711</v>
      </c>
      <c r="Z465" s="5"/>
      <c r="AA465" s="5"/>
      <c r="AB465" s="5"/>
      <c r="AC465" s="5"/>
      <c r="AD465" s="5"/>
      <c r="AE465" s="5"/>
      <c r="AF465" s="5"/>
      <c r="AG465" s="2"/>
      <c r="AH465" s="5"/>
      <c r="AI465" s="5"/>
      <c r="AJ465" s="5"/>
      <c r="AK465" s="5"/>
      <c r="AL465" s="5"/>
      <c r="AM465" s="12"/>
      <c r="AN465" s="6"/>
    </row>
    <row r="466" spans="1:40">
      <c r="A466" s="2"/>
      <c r="B466" s="5"/>
      <c r="C466" s="5"/>
      <c r="D466" s="380" t="s">
        <v>42</v>
      </c>
      <c r="E466" s="48">
        <v>2020</v>
      </c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2"/>
      <c r="AH466" s="5"/>
      <c r="AI466" s="5"/>
      <c r="AJ466" s="5"/>
      <c r="AK466" s="5"/>
      <c r="AL466" s="5"/>
      <c r="AM466" s="12"/>
    </row>
    <row r="467" spans="1:40" s="7" customFormat="1">
      <c r="A467" s="13"/>
      <c r="B467" s="5"/>
      <c r="C467" s="5"/>
      <c r="D467" s="380" t="s">
        <v>1</v>
      </c>
      <c r="E467" s="681" t="s">
        <v>136</v>
      </c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2"/>
      <c r="AH467" s="5"/>
      <c r="AI467" s="5"/>
      <c r="AJ467" s="5"/>
      <c r="AK467" s="5"/>
      <c r="AL467" s="5"/>
      <c r="AM467" s="12"/>
      <c r="AN467" s="6"/>
    </row>
    <row r="468" spans="1:40" s="7" customFormat="1">
      <c r="AK468" s="41"/>
      <c r="AL468" s="41"/>
      <c r="AM468" s="42"/>
      <c r="AN468" s="6"/>
    </row>
    <row r="469" spans="1:40" s="7" customFormat="1">
      <c r="E469" s="689" t="s">
        <v>713</v>
      </c>
      <c r="AK469" s="2"/>
      <c r="AL469" s="41"/>
      <c r="AM469" s="42"/>
      <c r="AN469" s="6"/>
    </row>
    <row r="470" spans="1:40" s="7" customFormat="1">
      <c r="AK470" s="2"/>
      <c r="AL470" s="41"/>
      <c r="AM470" s="42"/>
      <c r="AN470" s="6"/>
    </row>
    <row r="471" spans="1:40" s="7" customFormat="1">
      <c r="AK471" s="2"/>
      <c r="AL471" s="41"/>
      <c r="AM471" s="42"/>
      <c r="AN471" s="6"/>
    </row>
    <row r="472" spans="1:40" s="7" customFormat="1">
      <c r="AK472" s="2"/>
      <c r="AL472" s="41"/>
      <c r="AM472" s="42"/>
      <c r="AN472" s="6"/>
    </row>
    <row r="473" spans="1:40" s="7" customFormat="1">
      <c r="AK473" s="2"/>
      <c r="AL473" s="41"/>
      <c r="AM473" s="42"/>
      <c r="AN473" s="6"/>
    </row>
    <row r="474" spans="1:40" s="7" customFormat="1">
      <c r="AK474" s="1"/>
      <c r="AL474" s="41"/>
      <c r="AM474" s="42"/>
      <c r="AN474" s="6"/>
    </row>
    <row r="475" spans="1:40" s="7" customFormat="1">
      <c r="AK475" s="5"/>
      <c r="AL475" s="5"/>
      <c r="AM475" s="5"/>
      <c r="AN475" s="6"/>
    </row>
    <row r="476" spans="1:40" ht="15.75" thickBot="1">
      <c r="A476" s="15"/>
      <c r="B476" s="16"/>
      <c r="C476" s="16"/>
      <c r="D476" s="16"/>
      <c r="E476" s="36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7"/>
      <c r="AH476" s="16"/>
      <c r="AI476" s="16"/>
      <c r="AJ476" s="16"/>
      <c r="AK476" s="16"/>
      <c r="AL476" s="16"/>
      <c r="AM476" s="20"/>
    </row>
    <row r="477" spans="1:40" ht="15.75" thickBot="1"/>
    <row r="478" spans="1:40" ht="19.5" thickBot="1">
      <c r="A478" s="766" t="s">
        <v>500</v>
      </c>
      <c r="B478" s="767"/>
      <c r="C478" s="767"/>
      <c r="D478" s="767"/>
      <c r="E478" s="767"/>
      <c r="F478" s="767"/>
      <c r="G478" s="767"/>
      <c r="H478" s="767"/>
      <c r="I478" s="767"/>
      <c r="J478" s="767"/>
      <c r="K478" s="767"/>
      <c r="L478" s="767"/>
      <c r="M478" s="767"/>
      <c r="N478" s="767"/>
      <c r="O478" s="767"/>
      <c r="P478" s="767"/>
      <c r="Q478" s="767"/>
      <c r="R478" s="767"/>
      <c r="S478" s="767"/>
      <c r="T478" s="767"/>
      <c r="U478" s="767"/>
      <c r="V478" s="767"/>
      <c r="W478" s="767"/>
      <c r="X478" s="767"/>
      <c r="Y478" s="767"/>
      <c r="Z478" s="767"/>
      <c r="AA478" s="767"/>
      <c r="AB478" s="767"/>
      <c r="AC478" s="767"/>
      <c r="AD478" s="767"/>
      <c r="AE478" s="767"/>
      <c r="AF478" s="767"/>
      <c r="AG478" s="767"/>
      <c r="AH478" s="767"/>
      <c r="AI478" s="767"/>
      <c r="AJ478" s="767"/>
      <c r="AK478" s="767"/>
      <c r="AL478" s="767"/>
      <c r="AM478" s="768"/>
    </row>
    <row r="479" spans="1:40">
      <c r="A479" s="2"/>
      <c r="B479" s="642"/>
      <c r="C479" s="106"/>
      <c r="D479" s="642"/>
      <c r="E479" s="352"/>
      <c r="F479" s="642"/>
      <c r="G479" s="642"/>
      <c r="H479" s="642"/>
      <c r="I479" s="642"/>
      <c r="J479" s="642"/>
      <c r="K479" s="642"/>
      <c r="L479" s="642"/>
      <c r="M479" s="642"/>
      <c r="N479" s="642"/>
      <c r="O479" s="642"/>
      <c r="P479" s="642"/>
      <c r="Q479" s="642"/>
      <c r="R479" s="642"/>
      <c r="S479" s="642"/>
      <c r="T479" s="642"/>
      <c r="U479" s="642"/>
      <c r="V479" s="642"/>
      <c r="W479" s="642"/>
      <c r="X479" s="642"/>
      <c r="Y479" s="642"/>
      <c r="Z479" s="642"/>
      <c r="AA479" s="642"/>
      <c r="AB479" s="642"/>
      <c r="AC479" s="642"/>
      <c r="AD479" s="642"/>
      <c r="AE479" s="642"/>
      <c r="AF479" s="642"/>
      <c r="AG479" s="37"/>
      <c r="AH479" s="642"/>
      <c r="AI479" s="642"/>
      <c r="AJ479" s="642"/>
      <c r="AK479" s="642"/>
      <c r="AL479" s="642"/>
      <c r="AM479" s="42"/>
    </row>
    <row r="480" spans="1:40" s="7" customFormat="1">
      <c r="A480" s="128" t="s">
        <v>694</v>
      </c>
      <c r="B480" s="643"/>
      <c r="C480" s="135"/>
      <c r="D480" s="77"/>
      <c r="E480" s="313" t="s">
        <v>4</v>
      </c>
      <c r="F480" s="643" t="s">
        <v>5</v>
      </c>
      <c r="G480" s="643" t="s">
        <v>6</v>
      </c>
      <c r="H480" s="643" t="s">
        <v>15</v>
      </c>
      <c r="I480" s="643" t="s">
        <v>7</v>
      </c>
      <c r="J480" s="643" t="s">
        <v>8</v>
      </c>
      <c r="K480" s="643" t="s">
        <v>9</v>
      </c>
      <c r="L480" s="643" t="s">
        <v>10</v>
      </c>
      <c r="M480" s="643" t="s">
        <v>2</v>
      </c>
      <c r="N480" s="643" t="s">
        <v>12</v>
      </c>
      <c r="O480" s="643" t="s">
        <v>30</v>
      </c>
      <c r="P480" s="643" t="s">
        <v>13</v>
      </c>
      <c r="Q480" s="643" t="s">
        <v>14</v>
      </c>
      <c r="R480" s="643" t="s">
        <v>45</v>
      </c>
      <c r="S480" s="643" t="s">
        <v>16</v>
      </c>
      <c r="T480" s="643" t="s">
        <v>17</v>
      </c>
      <c r="U480" s="643" t="s">
        <v>20</v>
      </c>
      <c r="V480" s="643" t="s">
        <v>154</v>
      </c>
      <c r="W480" s="643" t="s">
        <v>18</v>
      </c>
      <c r="X480" s="643" t="s">
        <v>19</v>
      </c>
      <c r="Y480" s="643" t="s">
        <v>21</v>
      </c>
      <c r="Z480" s="643" t="s">
        <v>22</v>
      </c>
      <c r="AA480" s="643" t="s">
        <v>29</v>
      </c>
      <c r="AB480" s="643" t="s">
        <v>23</v>
      </c>
      <c r="AC480" s="643" t="s">
        <v>24</v>
      </c>
      <c r="AD480" s="643" t="s">
        <v>25</v>
      </c>
      <c r="AE480" s="643" t="s">
        <v>28</v>
      </c>
      <c r="AF480" s="643" t="s">
        <v>27</v>
      </c>
      <c r="AG480" s="643" t="s">
        <v>11</v>
      </c>
      <c r="AH480" s="643" t="s">
        <v>26</v>
      </c>
      <c r="AI480" s="643" t="s">
        <v>46</v>
      </c>
      <c r="AJ480" s="643" t="s">
        <v>31</v>
      </c>
      <c r="AK480" s="642"/>
      <c r="AL480" s="642"/>
      <c r="AM480" s="42"/>
      <c r="AN480" s="6"/>
    </row>
    <row r="481" spans="1:40" s="7" customFormat="1">
      <c r="A481" s="551" t="s">
        <v>672</v>
      </c>
      <c r="B481" s="642"/>
      <c r="C481" s="106"/>
      <c r="D481" s="642">
        <v>2021</v>
      </c>
      <c r="E481" s="678">
        <v>208.29081384288048</v>
      </c>
      <c r="F481" s="641">
        <v>192.27726710081694</v>
      </c>
      <c r="G481" s="641">
        <v>114.97228988217823</v>
      </c>
      <c r="H481" s="641">
        <v>203.95114737925681</v>
      </c>
      <c r="I481" s="641">
        <v>166.21925770503509</v>
      </c>
      <c r="J481" s="655"/>
      <c r="K481" s="641">
        <v>232.08785152768519</v>
      </c>
      <c r="L481" s="641">
        <v>162.58874371836629</v>
      </c>
      <c r="M481" s="641">
        <v>269.20068727688226</v>
      </c>
      <c r="N481" s="641">
        <v>232.81921603432133</v>
      </c>
      <c r="O481" s="641">
        <v>273.00191030750739</v>
      </c>
      <c r="P481" s="641">
        <v>233.32360716503285</v>
      </c>
      <c r="Q481" s="641">
        <v>236.30672398860028</v>
      </c>
      <c r="R481" s="655"/>
      <c r="S481" s="641">
        <v>417.57875862283845</v>
      </c>
      <c r="T481" s="655"/>
      <c r="U481" s="641">
        <v>179.46118387955354</v>
      </c>
      <c r="V481" s="655"/>
      <c r="W481" s="641">
        <v>463.67916319464319</v>
      </c>
      <c r="X481" s="641">
        <v>835.65371732862798</v>
      </c>
      <c r="Y481" s="655"/>
      <c r="Z481" s="641">
        <v>216.20140914250103</v>
      </c>
      <c r="AA481" s="655"/>
      <c r="AB481" s="641">
        <v>624.76573460555664</v>
      </c>
      <c r="AC481" s="641">
        <v>225.6793024505518</v>
      </c>
      <c r="AD481" s="641">
        <v>105.46392639168118</v>
      </c>
      <c r="AE481" s="641">
        <v>518.06555086275444</v>
      </c>
      <c r="AF481" s="641">
        <v>593.59065906361229</v>
      </c>
      <c r="AG481" s="655"/>
      <c r="AH481" s="641">
        <v>213.20177484077675</v>
      </c>
      <c r="AI481" s="655"/>
      <c r="AJ481" s="641">
        <v>270.36392543224167</v>
      </c>
      <c r="AK481" s="642"/>
      <c r="AL481" s="642"/>
      <c r="AM481" s="42"/>
      <c r="AN481" s="6"/>
    </row>
    <row r="482" spans="1:40" s="7" customFormat="1">
      <c r="A482" s="174"/>
      <c r="B482" s="642"/>
      <c r="C482" s="106"/>
      <c r="D482" s="28" t="s">
        <v>421</v>
      </c>
      <c r="E482" s="352"/>
      <c r="F482" s="642"/>
      <c r="G482" s="642"/>
      <c r="H482" s="642"/>
      <c r="I482" s="642"/>
      <c r="J482" s="642"/>
      <c r="K482" s="642"/>
      <c r="L482" s="642"/>
      <c r="M482" s="642"/>
      <c r="N482" s="642"/>
      <c r="O482" s="642"/>
      <c r="P482" s="642"/>
      <c r="Q482" s="642"/>
      <c r="R482" s="642"/>
      <c r="S482" s="642"/>
      <c r="T482" s="642"/>
      <c r="U482" s="642"/>
      <c r="V482" s="642"/>
      <c r="W482" s="642"/>
      <c r="X482" s="642"/>
      <c r="Y482" s="642"/>
      <c r="Z482" s="642"/>
      <c r="AA482" s="642"/>
      <c r="AB482" s="642"/>
      <c r="AC482" s="642"/>
      <c r="AD482" s="642"/>
      <c r="AE482" s="642"/>
      <c r="AF482" s="642"/>
      <c r="AG482" s="37"/>
      <c r="AH482" s="642"/>
      <c r="AI482" s="642"/>
      <c r="AJ482" s="642"/>
      <c r="AK482" s="642"/>
      <c r="AL482" s="642"/>
      <c r="AM482" s="42"/>
      <c r="AN482" s="6"/>
    </row>
    <row r="483" spans="1:40" s="7" customFormat="1">
      <c r="A483" s="174"/>
      <c r="B483" s="642"/>
      <c r="C483" s="106"/>
      <c r="D483" s="28" t="s">
        <v>42</v>
      </c>
      <c r="E483" s="677">
        <v>2019</v>
      </c>
      <c r="F483" s="642"/>
      <c r="G483" s="642"/>
      <c r="H483" s="642"/>
      <c r="I483" s="642"/>
      <c r="J483" s="642"/>
      <c r="K483" s="642"/>
      <c r="L483" s="642"/>
      <c r="M483" s="642"/>
      <c r="N483" s="642"/>
      <c r="O483" s="642"/>
      <c r="P483" s="642"/>
      <c r="Q483" s="642"/>
      <c r="R483" s="642"/>
      <c r="S483" s="642"/>
      <c r="T483" s="642"/>
      <c r="U483" s="642"/>
      <c r="V483" s="642"/>
      <c r="W483" s="642"/>
      <c r="X483" s="642"/>
      <c r="Y483" s="642"/>
      <c r="Z483" s="642"/>
      <c r="AA483" s="642"/>
      <c r="AB483" s="642"/>
      <c r="AC483" s="642"/>
      <c r="AD483" s="642"/>
      <c r="AE483" s="642"/>
      <c r="AF483" s="642"/>
      <c r="AG483" s="37"/>
      <c r="AH483" s="642"/>
      <c r="AI483" s="642"/>
      <c r="AJ483" s="642"/>
      <c r="AK483" s="642"/>
      <c r="AL483" s="642"/>
      <c r="AM483" s="42"/>
      <c r="AN483" s="6"/>
    </row>
    <row r="484" spans="1:40" s="7" customFormat="1">
      <c r="A484" s="174"/>
      <c r="B484" s="642"/>
      <c r="C484" s="106"/>
      <c r="D484" s="28" t="s">
        <v>1</v>
      </c>
      <c r="E484" s="677" t="s">
        <v>76</v>
      </c>
      <c r="F484" s="642"/>
      <c r="G484" s="642"/>
      <c r="H484" s="642"/>
      <c r="I484" s="642"/>
      <c r="J484" s="642"/>
      <c r="K484" s="642"/>
      <c r="L484" s="642"/>
      <c r="M484" s="642"/>
      <c r="N484" s="642"/>
      <c r="O484" s="642"/>
      <c r="P484" s="642"/>
      <c r="Q484" s="642"/>
      <c r="R484" s="642"/>
      <c r="S484" s="642"/>
      <c r="T484" s="642"/>
      <c r="U484" s="642"/>
      <c r="V484" s="642"/>
      <c r="W484" s="642"/>
      <c r="X484" s="642"/>
      <c r="Y484" s="642"/>
      <c r="Z484" s="642"/>
      <c r="AA484" s="642"/>
      <c r="AB484" s="642"/>
      <c r="AC484" s="642"/>
      <c r="AD484" s="642"/>
      <c r="AE484" s="642"/>
      <c r="AF484" s="642"/>
      <c r="AG484" s="37"/>
      <c r="AH484" s="642"/>
      <c r="AI484" s="642"/>
      <c r="AJ484" s="642"/>
      <c r="AK484" s="642"/>
      <c r="AL484" s="642"/>
      <c r="AM484" s="42"/>
      <c r="AN484" s="6"/>
    </row>
    <row r="485" spans="1:40" s="7" customFormat="1">
      <c r="A485" s="174"/>
      <c r="B485" s="642"/>
      <c r="C485" s="106"/>
      <c r="D485" s="28" t="s">
        <v>673</v>
      </c>
      <c r="E485" s="677"/>
      <c r="F485" s="642"/>
      <c r="G485" s="642"/>
      <c r="H485" s="642"/>
      <c r="I485" s="642"/>
      <c r="J485" s="642"/>
      <c r="K485" s="642"/>
      <c r="L485" s="642"/>
      <c r="M485" s="642"/>
      <c r="N485" s="642"/>
      <c r="O485" s="642"/>
      <c r="P485" s="642"/>
      <c r="Q485" s="642"/>
      <c r="R485" s="642"/>
      <c r="S485" s="642"/>
      <c r="T485" s="642"/>
      <c r="U485" s="642"/>
      <c r="V485" s="642"/>
      <c r="W485" s="642"/>
      <c r="X485" s="642"/>
      <c r="Y485" s="642"/>
      <c r="Z485" s="642"/>
      <c r="AA485" s="642"/>
      <c r="AB485" s="642"/>
      <c r="AC485" s="642"/>
      <c r="AD485" s="642"/>
      <c r="AE485" s="642"/>
      <c r="AF485" s="642"/>
      <c r="AG485" s="37"/>
      <c r="AH485" s="642"/>
      <c r="AI485" s="642"/>
      <c r="AJ485" s="642"/>
      <c r="AK485" s="642"/>
      <c r="AL485" s="642"/>
      <c r="AM485" s="42"/>
      <c r="AN485" s="6"/>
    </row>
    <row r="486" spans="1:40" s="7" customFormat="1">
      <c r="A486" s="174"/>
      <c r="B486" s="642"/>
      <c r="C486" s="106"/>
      <c r="D486" s="329" t="s">
        <v>42</v>
      </c>
      <c r="E486" s="648">
        <v>2015</v>
      </c>
      <c r="F486" s="642"/>
      <c r="G486" s="642"/>
      <c r="H486" s="642"/>
      <c r="I486" s="642"/>
      <c r="J486" s="642"/>
      <c r="K486" s="642"/>
      <c r="L486" s="642"/>
      <c r="M486" s="642"/>
      <c r="N486" s="642"/>
      <c r="O486" s="642"/>
      <c r="P486" s="642"/>
      <c r="Q486" s="642"/>
      <c r="R486" s="642"/>
      <c r="S486" s="642"/>
      <c r="T486" s="642"/>
      <c r="U486" s="642"/>
      <c r="V486" s="642"/>
      <c r="W486" s="642"/>
      <c r="X486" s="642"/>
      <c r="Y486" s="642"/>
      <c r="Z486" s="642"/>
      <c r="AA486" s="642"/>
      <c r="AB486" s="642"/>
      <c r="AC486" s="642"/>
      <c r="AD486" s="642"/>
      <c r="AE486" s="642"/>
      <c r="AF486" s="642"/>
      <c r="AG486" s="37"/>
      <c r="AH486" s="642"/>
      <c r="AI486" s="642"/>
      <c r="AJ486" s="642"/>
      <c r="AK486" s="642"/>
      <c r="AL486" s="642"/>
      <c r="AM486" s="42"/>
      <c r="AN486" s="6"/>
    </row>
    <row r="487" spans="1:40" s="7" customFormat="1">
      <c r="A487" s="174"/>
      <c r="B487" s="642"/>
      <c r="C487" s="106"/>
      <c r="D487" s="329" t="s">
        <v>1</v>
      </c>
      <c r="E487" s="648" t="s">
        <v>130</v>
      </c>
      <c r="F487" s="642"/>
      <c r="G487" s="642"/>
      <c r="H487" s="642"/>
      <c r="I487" s="642"/>
      <c r="J487" s="642"/>
      <c r="K487" s="642"/>
      <c r="L487" s="642"/>
      <c r="M487" s="642"/>
      <c r="N487" s="642"/>
      <c r="O487" s="642"/>
      <c r="P487" s="642"/>
      <c r="Q487" s="642"/>
      <c r="R487" s="642"/>
      <c r="S487" s="642"/>
      <c r="T487" s="642"/>
      <c r="U487" s="642"/>
      <c r="V487" s="642"/>
      <c r="W487" s="642"/>
      <c r="X487" s="642"/>
      <c r="Y487" s="642"/>
      <c r="Z487" s="642"/>
      <c r="AA487" s="642"/>
      <c r="AB487" s="642"/>
      <c r="AC487" s="642"/>
      <c r="AD487" s="642"/>
      <c r="AE487" s="642"/>
      <c r="AF487" s="642"/>
      <c r="AG487" s="37"/>
      <c r="AH487" s="642"/>
      <c r="AI487" s="642"/>
      <c r="AJ487" s="642"/>
      <c r="AK487" s="642"/>
      <c r="AL487" s="642"/>
      <c r="AM487" s="42"/>
      <c r="AN487" s="6"/>
    </row>
    <row r="488" spans="1:40" s="7" customFormat="1">
      <c r="A488" s="174"/>
      <c r="B488" s="642"/>
      <c r="C488" s="106"/>
      <c r="D488" s="329"/>
      <c r="E488" s="648"/>
      <c r="F488" s="642"/>
      <c r="G488" s="642"/>
      <c r="H488" s="642"/>
      <c r="I488" s="642"/>
      <c r="J488" s="642"/>
      <c r="K488" s="642"/>
      <c r="L488" s="642"/>
      <c r="M488" s="642"/>
      <c r="N488" s="642"/>
      <c r="O488" s="642"/>
      <c r="P488" s="642"/>
      <c r="Q488" s="642"/>
      <c r="R488" s="642"/>
      <c r="S488" s="642"/>
      <c r="T488" s="642"/>
      <c r="U488" s="642"/>
      <c r="V488" s="642"/>
      <c r="W488" s="642"/>
      <c r="X488" s="642"/>
      <c r="Y488" s="642"/>
      <c r="Z488" s="642"/>
      <c r="AA488" s="642"/>
      <c r="AB488" s="642"/>
      <c r="AC488" s="642"/>
      <c r="AD488" s="642"/>
      <c r="AE488" s="642"/>
      <c r="AF488" s="642"/>
      <c r="AG488" s="37"/>
      <c r="AH488" s="642"/>
      <c r="AI488" s="642"/>
      <c r="AJ488" s="642"/>
      <c r="AK488" s="642"/>
      <c r="AL488" s="642"/>
      <c r="AM488" s="42"/>
      <c r="AN488" s="6"/>
    </row>
    <row r="489" spans="1:40" s="7" customFormat="1">
      <c r="A489" s="174" t="s">
        <v>695</v>
      </c>
      <c r="B489" s="642"/>
      <c r="C489" s="106"/>
      <c r="D489" s="329"/>
      <c r="E489" s="648"/>
      <c r="F489" s="642"/>
      <c r="G489" s="642"/>
      <c r="H489" s="642"/>
      <c r="I489" s="642"/>
      <c r="J489" s="642"/>
      <c r="K489" s="642"/>
      <c r="L489" s="642"/>
      <c r="M489" s="642"/>
      <c r="N489" s="642"/>
      <c r="O489" s="642"/>
      <c r="P489" s="642"/>
      <c r="Q489" s="642"/>
      <c r="R489" s="642"/>
      <c r="S489" s="642"/>
      <c r="T489" s="642"/>
      <c r="U489" s="642"/>
      <c r="V489" s="642"/>
      <c r="W489" s="642"/>
      <c r="X489" s="642"/>
      <c r="Y489" s="642"/>
      <c r="Z489" s="642"/>
      <c r="AA489" s="642"/>
      <c r="AB489" s="642"/>
      <c r="AC489" s="642"/>
      <c r="AD489" s="642"/>
      <c r="AE489" s="642"/>
      <c r="AF489" s="642"/>
      <c r="AG489" s="37"/>
      <c r="AH489" s="642"/>
      <c r="AI489" s="642"/>
      <c r="AJ489" s="642"/>
      <c r="AK489" s="642"/>
      <c r="AL489" s="642"/>
      <c r="AM489" s="42"/>
      <c r="AN489" s="6"/>
    </row>
    <row r="490" spans="1:40" s="7" customFormat="1">
      <c r="A490" s="679" t="s">
        <v>152</v>
      </c>
      <c r="B490" s="643"/>
      <c r="C490" s="135"/>
      <c r="D490" s="77" t="s">
        <v>82</v>
      </c>
      <c r="E490" s="567" t="s">
        <v>4</v>
      </c>
      <c r="F490" s="643" t="s">
        <v>5</v>
      </c>
      <c r="G490" s="643" t="s">
        <v>6</v>
      </c>
      <c r="H490" s="643" t="s">
        <v>15</v>
      </c>
      <c r="I490" s="643" t="s">
        <v>7</v>
      </c>
      <c r="J490" s="643" t="s">
        <v>8</v>
      </c>
      <c r="K490" s="643" t="s">
        <v>9</v>
      </c>
      <c r="L490" s="643" t="s">
        <v>10</v>
      </c>
      <c r="M490" s="643" t="s">
        <v>2</v>
      </c>
      <c r="N490" s="643" t="s">
        <v>12</v>
      </c>
      <c r="O490" s="643" t="s">
        <v>30</v>
      </c>
      <c r="P490" s="643" t="s">
        <v>13</v>
      </c>
      <c r="Q490" s="643" t="s">
        <v>14</v>
      </c>
      <c r="R490" s="643" t="s">
        <v>45</v>
      </c>
      <c r="S490" s="643" t="s">
        <v>16</v>
      </c>
      <c r="T490" s="643" t="s">
        <v>17</v>
      </c>
      <c r="U490" s="643" t="s">
        <v>20</v>
      </c>
      <c r="V490" s="643" t="s">
        <v>154</v>
      </c>
      <c r="W490" s="643" t="s">
        <v>18</v>
      </c>
      <c r="X490" s="643" t="s">
        <v>19</v>
      </c>
      <c r="Y490" s="643" t="s">
        <v>21</v>
      </c>
      <c r="Z490" s="643" t="s">
        <v>22</v>
      </c>
      <c r="AA490" s="643" t="s">
        <v>29</v>
      </c>
      <c r="AB490" s="643" t="s">
        <v>23</v>
      </c>
      <c r="AC490" s="643" t="s">
        <v>24</v>
      </c>
      <c r="AD490" s="643" t="s">
        <v>25</v>
      </c>
      <c r="AE490" s="643" t="s">
        <v>28</v>
      </c>
      <c r="AF490" s="643" t="s">
        <v>27</v>
      </c>
      <c r="AG490" s="643" t="s">
        <v>11</v>
      </c>
      <c r="AH490" s="643" t="s">
        <v>26</v>
      </c>
      <c r="AI490" s="643" t="s">
        <v>46</v>
      </c>
      <c r="AJ490" s="643" t="s">
        <v>31</v>
      </c>
      <c r="AK490" s="642"/>
      <c r="AL490" s="642"/>
      <c r="AM490" s="42"/>
      <c r="AN490" s="6"/>
    </row>
    <row r="491" spans="1:40" s="7" customFormat="1">
      <c r="A491" s="458" t="s">
        <v>84</v>
      </c>
      <c r="B491" s="642"/>
      <c r="C491" s="106"/>
      <c r="D491" s="644">
        <v>1.3</v>
      </c>
      <c r="E491" s="594">
        <v>2.2999999999999998</v>
      </c>
      <c r="F491" s="50">
        <v>-1.7</v>
      </c>
      <c r="G491" s="50">
        <v>7</v>
      </c>
      <c r="H491" s="50">
        <v>12.1</v>
      </c>
      <c r="I491" s="50">
        <v>-1.6</v>
      </c>
      <c r="J491" s="50">
        <v>1.7</v>
      </c>
      <c r="K491" s="50">
        <v>0.2</v>
      </c>
      <c r="L491" s="50">
        <v>1.9</v>
      </c>
      <c r="M491" s="50">
        <v>-0.5</v>
      </c>
      <c r="N491" s="50">
        <v>-0.5</v>
      </c>
      <c r="O491" s="50">
        <v>2.1</v>
      </c>
      <c r="P491" s="50">
        <v>0.8</v>
      </c>
      <c r="Q491" s="50">
        <v>2.7</v>
      </c>
      <c r="R491" s="50">
        <v>1.3</v>
      </c>
      <c r="S491" s="50">
        <v>-0.5</v>
      </c>
      <c r="T491" s="50">
        <v>0.5</v>
      </c>
      <c r="U491" s="50">
        <v>5.8</v>
      </c>
      <c r="V491" s="50"/>
      <c r="W491" s="50">
        <v>9.1</v>
      </c>
      <c r="X491" s="50">
        <v>2.8</v>
      </c>
      <c r="Y491" s="50">
        <v>0.3</v>
      </c>
      <c r="Z491" s="50">
        <v>1.2</v>
      </c>
      <c r="AA491" s="50">
        <v>1.3</v>
      </c>
      <c r="AB491" s="50">
        <v>7.4</v>
      </c>
      <c r="AC491" s="50">
        <v>-0.4</v>
      </c>
      <c r="AD491" s="50">
        <v>7.2</v>
      </c>
      <c r="AE491" s="50">
        <v>6</v>
      </c>
      <c r="AF491" s="50">
        <v>7.9</v>
      </c>
      <c r="AG491" s="50">
        <v>3.2</v>
      </c>
      <c r="AH491" s="50">
        <v>0.4</v>
      </c>
      <c r="AI491" s="50">
        <v>1.3</v>
      </c>
      <c r="AJ491" s="50">
        <v>-1.1000000000000001</v>
      </c>
      <c r="AK491" s="642"/>
      <c r="AL491" s="642"/>
      <c r="AM491" s="42"/>
      <c r="AN491" s="6"/>
    </row>
    <row r="492" spans="1:40" s="7" customFormat="1">
      <c r="A492" s="458" t="s">
        <v>85</v>
      </c>
      <c r="B492" s="642"/>
      <c r="C492" s="106"/>
      <c r="D492" s="644">
        <v>1.5</v>
      </c>
      <c r="E492" s="594">
        <v>1.5</v>
      </c>
      <c r="F492" s="50">
        <v>1.6</v>
      </c>
      <c r="G492" s="50">
        <v>2</v>
      </c>
      <c r="H492" s="50">
        <v>1.5</v>
      </c>
      <c r="I492" s="50">
        <v>0.7</v>
      </c>
      <c r="J492" s="50">
        <v>1.1000000000000001</v>
      </c>
      <c r="K492" s="50">
        <v>2.5</v>
      </c>
      <c r="L492" s="50">
        <v>3.1</v>
      </c>
      <c r="M492" s="50">
        <v>0.8</v>
      </c>
      <c r="N492" s="50">
        <v>1.9</v>
      </c>
      <c r="O492" s="50">
        <v>1.4</v>
      </c>
      <c r="P492" s="50">
        <v>0.5</v>
      </c>
      <c r="Q492" s="50">
        <v>0.8</v>
      </c>
      <c r="R492" s="50">
        <v>1.5</v>
      </c>
      <c r="S492" s="50">
        <v>2.4</v>
      </c>
      <c r="T492" s="50">
        <v>0.7</v>
      </c>
      <c r="U492" s="50">
        <v>2.2000000000000002</v>
      </c>
      <c r="V492" s="50"/>
      <c r="W492" s="50">
        <v>2.8</v>
      </c>
      <c r="X492" s="50">
        <v>4.0999999999999996</v>
      </c>
      <c r="Y492" s="50">
        <v>1.3</v>
      </c>
      <c r="Z492" s="50">
        <v>1.3</v>
      </c>
      <c r="AA492" s="50">
        <v>1.5</v>
      </c>
      <c r="AB492" s="50">
        <v>3.3</v>
      </c>
      <c r="AC492" s="50">
        <v>0.9</v>
      </c>
      <c r="AD492" s="50">
        <v>4.4000000000000004</v>
      </c>
      <c r="AE492" s="50">
        <v>1.9</v>
      </c>
      <c r="AF492" s="50">
        <v>3.1</v>
      </c>
      <c r="AG492" s="50">
        <v>0.8</v>
      </c>
      <c r="AH492" s="50">
        <v>1.1000000000000001</v>
      </c>
      <c r="AI492" s="50">
        <v>1.5</v>
      </c>
      <c r="AJ492" s="50">
        <v>1.7</v>
      </c>
      <c r="AK492" s="642"/>
      <c r="AL492" s="642"/>
      <c r="AM492" s="42"/>
      <c r="AN492" s="6"/>
    </row>
    <row r="493" spans="1:40" s="7" customFormat="1">
      <c r="A493" s="458" t="s">
        <v>83</v>
      </c>
      <c r="B493" s="642"/>
      <c r="C493" s="106"/>
      <c r="D493" s="644">
        <v>1.5</v>
      </c>
      <c r="E493" s="594">
        <v>1.3</v>
      </c>
      <c r="F493" s="50">
        <v>1.8</v>
      </c>
      <c r="G493" s="50">
        <v>1.3</v>
      </c>
      <c r="H493" s="50">
        <v>1.7</v>
      </c>
      <c r="I493" s="50">
        <v>1.3</v>
      </c>
      <c r="J493" s="50">
        <v>1.4</v>
      </c>
      <c r="K493" s="50">
        <v>1.3</v>
      </c>
      <c r="L493" s="50">
        <v>1.3</v>
      </c>
      <c r="M493" s="50">
        <v>1.3</v>
      </c>
      <c r="N493" s="50">
        <v>2.1</v>
      </c>
      <c r="O493" s="50">
        <v>1.3</v>
      </c>
      <c r="P493" s="50">
        <v>0.7</v>
      </c>
      <c r="Q493" s="50">
        <v>1.5</v>
      </c>
      <c r="R493" s="50">
        <v>1.5</v>
      </c>
      <c r="S493" s="50">
        <v>2.5</v>
      </c>
      <c r="T493" s="50">
        <v>1.1000000000000001</v>
      </c>
      <c r="U493" s="50">
        <v>1.8</v>
      </c>
      <c r="V493" s="50"/>
      <c r="W493" s="50">
        <v>0.6</v>
      </c>
      <c r="X493" s="50">
        <v>1.6</v>
      </c>
      <c r="Y493" s="50">
        <v>1.6</v>
      </c>
      <c r="Z493" s="50">
        <v>1</v>
      </c>
      <c r="AA493" s="50">
        <v>1.5</v>
      </c>
      <c r="AB493" s="50">
        <v>2.2999999999999998</v>
      </c>
      <c r="AC493" s="50">
        <v>1.4</v>
      </c>
      <c r="AD493" s="50">
        <v>2.5</v>
      </c>
      <c r="AE493" s="50">
        <v>1.7</v>
      </c>
      <c r="AF493" s="50">
        <v>2.2000000000000002</v>
      </c>
      <c r="AG493" s="50">
        <v>1.3</v>
      </c>
      <c r="AH493" s="50">
        <v>1.2</v>
      </c>
      <c r="AI493" s="50">
        <v>1.5</v>
      </c>
      <c r="AJ493" s="50">
        <v>0.9</v>
      </c>
      <c r="AK493" s="642"/>
      <c r="AL493" s="642"/>
      <c r="AM493" s="42"/>
      <c r="AN493" s="6"/>
    </row>
    <row r="494" spans="1:40" s="7" customFormat="1">
      <c r="A494" s="458" t="s">
        <v>87</v>
      </c>
      <c r="B494" s="642"/>
      <c r="C494" s="106"/>
      <c r="D494" s="644">
        <v>0.7</v>
      </c>
      <c r="E494" s="594">
        <v>0.8</v>
      </c>
      <c r="F494" s="50">
        <v>0.9</v>
      </c>
      <c r="G494" s="50">
        <v>0.9</v>
      </c>
      <c r="H494" s="50">
        <v>1</v>
      </c>
      <c r="I494" s="50">
        <v>0.8</v>
      </c>
      <c r="J494" s="50">
        <v>1.2</v>
      </c>
      <c r="K494" s="50">
        <v>1</v>
      </c>
      <c r="L494" s="50">
        <v>0.9</v>
      </c>
      <c r="M494" s="50">
        <v>0.7</v>
      </c>
      <c r="N494" s="50">
        <v>0.8</v>
      </c>
      <c r="O494" s="50">
        <v>0.4</v>
      </c>
      <c r="P494" s="50">
        <v>0.5</v>
      </c>
      <c r="Q494" s="50">
        <v>0.9</v>
      </c>
      <c r="R494" s="50">
        <v>0.7</v>
      </c>
      <c r="S494" s="50">
        <v>1.3</v>
      </c>
      <c r="T494" s="50">
        <v>0.7</v>
      </c>
      <c r="U494" s="50">
        <v>1.1000000000000001</v>
      </c>
      <c r="V494" s="50"/>
      <c r="W494" s="50">
        <v>0.7</v>
      </c>
      <c r="X494" s="50">
        <v>1.4</v>
      </c>
      <c r="Y494" s="50">
        <v>1.5</v>
      </c>
      <c r="Z494" s="50">
        <v>0.5</v>
      </c>
      <c r="AA494" s="50">
        <v>0.7</v>
      </c>
      <c r="AB494" s="50">
        <v>1.1000000000000001</v>
      </c>
      <c r="AC494" s="50">
        <v>0.7</v>
      </c>
      <c r="AD494" s="50">
        <v>1.3</v>
      </c>
      <c r="AE494" s="50">
        <v>0.6</v>
      </c>
      <c r="AF494" s="50">
        <v>1.2</v>
      </c>
      <c r="AG494" s="50">
        <v>0.9</v>
      </c>
      <c r="AH494" s="50">
        <v>0.7</v>
      </c>
      <c r="AI494" s="50">
        <v>0.7</v>
      </c>
      <c r="AJ494" s="50">
        <v>0.8</v>
      </c>
      <c r="AK494" s="642"/>
      <c r="AL494" s="642"/>
      <c r="AM494" s="42"/>
      <c r="AN494" s="6"/>
    </row>
    <row r="495" spans="1:40" s="7" customFormat="1">
      <c r="A495" s="458" t="s">
        <v>88</v>
      </c>
      <c r="B495" s="642"/>
      <c r="C495" s="106"/>
      <c r="D495" s="644">
        <v>0.7</v>
      </c>
      <c r="E495" s="594">
        <v>0.8</v>
      </c>
      <c r="F495" s="50">
        <v>0.9</v>
      </c>
      <c r="G495" s="50">
        <v>0.9</v>
      </c>
      <c r="H495" s="50">
        <v>1</v>
      </c>
      <c r="I495" s="50">
        <v>0.8</v>
      </c>
      <c r="J495" s="50">
        <v>1.2</v>
      </c>
      <c r="K495" s="50">
        <v>1</v>
      </c>
      <c r="L495" s="50">
        <v>0.9</v>
      </c>
      <c r="M495" s="50">
        <v>0.7</v>
      </c>
      <c r="N495" s="50">
        <v>0.8</v>
      </c>
      <c r="O495" s="50">
        <v>0.4</v>
      </c>
      <c r="P495" s="50">
        <v>0.5</v>
      </c>
      <c r="Q495" s="50">
        <v>0.9</v>
      </c>
      <c r="R495" s="50">
        <v>0.7</v>
      </c>
      <c r="S495" s="50">
        <v>1.3</v>
      </c>
      <c r="T495" s="50">
        <v>0.7</v>
      </c>
      <c r="U495" s="50">
        <v>1.1000000000000001</v>
      </c>
      <c r="V495" s="50"/>
      <c r="W495" s="50">
        <v>0.7</v>
      </c>
      <c r="X495" s="50">
        <v>1.4</v>
      </c>
      <c r="Y495" s="50">
        <v>1.5</v>
      </c>
      <c r="Z495" s="50">
        <v>0.5</v>
      </c>
      <c r="AA495" s="50">
        <v>0.7</v>
      </c>
      <c r="AB495" s="50">
        <v>1.1000000000000001</v>
      </c>
      <c r="AC495" s="50">
        <v>0.7</v>
      </c>
      <c r="AD495" s="50">
        <v>1.3</v>
      </c>
      <c r="AE495" s="50">
        <v>0.6</v>
      </c>
      <c r="AF495" s="50">
        <v>1.2</v>
      </c>
      <c r="AG495" s="50">
        <v>0.9</v>
      </c>
      <c r="AH495" s="50">
        <v>0.7</v>
      </c>
      <c r="AI495" s="50">
        <v>0.7</v>
      </c>
      <c r="AJ495" s="50">
        <v>0.8</v>
      </c>
      <c r="AK495" s="642"/>
      <c r="AL495" s="642"/>
      <c r="AM495" s="42"/>
      <c r="AN495" s="6"/>
    </row>
    <row r="496" spans="1:40" s="7" customFormat="1">
      <c r="A496" s="174"/>
      <c r="B496" s="642"/>
      <c r="C496" s="106"/>
      <c r="D496" s="329" t="s">
        <v>421</v>
      </c>
      <c r="E496" s="648"/>
      <c r="F496" s="642"/>
      <c r="G496" s="642"/>
      <c r="H496" s="642"/>
      <c r="I496" s="642"/>
      <c r="J496" s="642"/>
      <c r="K496" s="642"/>
      <c r="L496" s="642"/>
      <c r="M496" s="642"/>
      <c r="N496" s="642"/>
      <c r="O496" s="642"/>
      <c r="P496" s="642"/>
      <c r="Q496" s="642"/>
      <c r="R496" s="642" t="s">
        <v>82</v>
      </c>
      <c r="S496" s="642"/>
      <c r="T496" s="642"/>
      <c r="U496" s="642"/>
      <c r="V496" s="642"/>
      <c r="W496" s="642"/>
      <c r="X496" s="642"/>
      <c r="Y496" s="642"/>
      <c r="Z496" s="642"/>
      <c r="AA496" s="642" t="s">
        <v>82</v>
      </c>
      <c r="AB496" s="642"/>
      <c r="AC496" s="642"/>
      <c r="AD496" s="642"/>
      <c r="AE496" s="642"/>
      <c r="AF496" s="642"/>
      <c r="AG496" s="37"/>
      <c r="AH496" s="642"/>
      <c r="AI496" s="642" t="s">
        <v>82</v>
      </c>
      <c r="AJ496" s="642"/>
      <c r="AK496" s="642"/>
      <c r="AL496" s="642"/>
      <c r="AM496" s="42"/>
      <c r="AN496" s="6"/>
    </row>
    <row r="497" spans="1:40" s="7" customFormat="1">
      <c r="A497" s="174"/>
      <c r="B497" s="642"/>
      <c r="C497" s="106"/>
      <c r="D497" s="329" t="s">
        <v>42</v>
      </c>
      <c r="E497" s="648">
        <v>2015</v>
      </c>
      <c r="F497" s="642"/>
      <c r="G497" s="642"/>
      <c r="H497" s="642"/>
      <c r="I497" s="642"/>
      <c r="J497" s="642"/>
      <c r="K497" s="642"/>
      <c r="L497" s="642"/>
      <c r="M497" s="642"/>
      <c r="N497" s="642"/>
      <c r="O497" s="642"/>
      <c r="P497" s="642"/>
      <c r="Q497" s="642"/>
      <c r="R497" s="642"/>
      <c r="S497" s="642"/>
      <c r="T497" s="642"/>
      <c r="U497" s="642"/>
      <c r="V497" s="642"/>
      <c r="W497" s="642"/>
      <c r="X497" s="642"/>
      <c r="Y497" s="642"/>
      <c r="Z497" s="642"/>
      <c r="AA497" s="642"/>
      <c r="AB497" s="642"/>
      <c r="AC497" s="642"/>
      <c r="AD497" s="642"/>
      <c r="AE497" s="642"/>
      <c r="AF497" s="642"/>
      <c r="AG497" s="37"/>
      <c r="AH497" s="642"/>
      <c r="AI497" s="642"/>
      <c r="AJ497" s="642"/>
      <c r="AK497" s="642"/>
      <c r="AL497" s="642"/>
      <c r="AM497" s="42"/>
      <c r="AN497" s="6"/>
    </row>
    <row r="498" spans="1:40" s="7" customFormat="1">
      <c r="A498" s="174"/>
      <c r="B498" s="642"/>
      <c r="C498" s="106"/>
      <c r="D498" s="329" t="s">
        <v>1</v>
      </c>
      <c r="E498" s="648" t="s">
        <v>86</v>
      </c>
      <c r="F498" s="642"/>
      <c r="G498" s="642"/>
      <c r="H498" s="642"/>
      <c r="I498" s="642"/>
      <c r="J498" s="642"/>
      <c r="K498" s="642"/>
      <c r="L498" s="642"/>
      <c r="M498" s="642"/>
      <c r="N498" s="642"/>
      <c r="O498" s="642"/>
      <c r="P498" s="642"/>
      <c r="Q498" s="642"/>
      <c r="R498" s="642"/>
      <c r="S498" s="642"/>
      <c r="T498" s="642"/>
      <c r="U498" s="642"/>
      <c r="V498" s="642"/>
      <c r="W498" s="642"/>
      <c r="X498" s="642"/>
      <c r="Y498" s="642"/>
      <c r="Z498" s="642"/>
      <c r="AA498" s="642"/>
      <c r="AB498" s="642"/>
      <c r="AC498" s="642"/>
      <c r="AD498" s="642"/>
      <c r="AE498" s="642"/>
      <c r="AF498" s="642"/>
      <c r="AG498" s="37"/>
      <c r="AH498" s="642"/>
      <c r="AI498" s="642"/>
      <c r="AJ498" s="642"/>
      <c r="AK498" s="642"/>
      <c r="AL498" s="642"/>
      <c r="AM498" s="42"/>
      <c r="AN498" s="6"/>
    </row>
    <row r="499" spans="1:40" s="7" customFormat="1">
      <c r="A499" s="174"/>
      <c r="B499" s="642"/>
      <c r="C499" s="106"/>
      <c r="D499" s="329"/>
      <c r="E499" s="648"/>
      <c r="F499" s="642"/>
      <c r="G499" s="642"/>
      <c r="H499" s="642"/>
      <c r="I499" s="642"/>
      <c r="J499" s="642"/>
      <c r="K499" s="642"/>
      <c r="L499" s="642"/>
      <c r="M499" s="642"/>
      <c r="N499" s="642"/>
      <c r="O499" s="642"/>
      <c r="P499" s="642"/>
      <c r="Q499" s="642"/>
      <c r="R499" s="642"/>
      <c r="S499" s="642"/>
      <c r="T499" s="642"/>
      <c r="U499" s="642"/>
      <c r="V499" s="642"/>
      <c r="W499" s="642"/>
      <c r="X499" s="642"/>
      <c r="Y499" s="642"/>
      <c r="Z499" s="642"/>
      <c r="AA499" s="642"/>
      <c r="AB499" s="642"/>
      <c r="AC499" s="642"/>
      <c r="AD499" s="642"/>
      <c r="AE499" s="642"/>
      <c r="AF499" s="642"/>
      <c r="AG499" s="37"/>
      <c r="AH499" s="642"/>
      <c r="AI499" s="642"/>
      <c r="AJ499" s="642"/>
      <c r="AK499" s="642"/>
      <c r="AL499" s="642"/>
      <c r="AM499" s="42"/>
      <c r="AN499" s="6"/>
    </row>
    <row r="500" spans="1:40" s="7" customFormat="1">
      <c r="A500" s="392" t="s">
        <v>698</v>
      </c>
      <c r="B500" s="643"/>
      <c r="C500" s="135"/>
      <c r="D500" s="77">
        <v>2019</v>
      </c>
      <c r="E500" s="567" t="s">
        <v>4</v>
      </c>
      <c r="F500" s="643" t="s">
        <v>5</v>
      </c>
      <c r="G500" s="643" t="s">
        <v>6</v>
      </c>
      <c r="H500" s="643" t="s">
        <v>15</v>
      </c>
      <c r="I500" s="643" t="s">
        <v>7</v>
      </c>
      <c r="J500" s="643" t="s">
        <v>8</v>
      </c>
      <c r="K500" s="643" t="s">
        <v>9</v>
      </c>
      <c r="L500" s="643" t="s">
        <v>10</v>
      </c>
      <c r="M500" s="643" t="s">
        <v>2</v>
      </c>
      <c r="N500" s="643" t="s">
        <v>12</v>
      </c>
      <c r="O500" s="643" t="s">
        <v>30</v>
      </c>
      <c r="P500" s="643" t="s">
        <v>13</v>
      </c>
      <c r="Q500" s="643" t="s">
        <v>14</v>
      </c>
      <c r="R500" s="643" t="s">
        <v>45</v>
      </c>
      <c r="S500" s="643" t="s">
        <v>16</v>
      </c>
      <c r="T500" s="643" t="s">
        <v>17</v>
      </c>
      <c r="U500" s="643" t="s">
        <v>20</v>
      </c>
      <c r="V500" s="643" t="s">
        <v>154</v>
      </c>
      <c r="W500" s="643" t="s">
        <v>18</v>
      </c>
      <c r="X500" s="643" t="s">
        <v>19</v>
      </c>
      <c r="Y500" s="643" t="s">
        <v>21</v>
      </c>
      <c r="Z500" s="643" t="s">
        <v>22</v>
      </c>
      <c r="AA500" s="643" t="s">
        <v>29</v>
      </c>
      <c r="AB500" s="643" t="s">
        <v>23</v>
      </c>
      <c r="AC500" s="643" t="s">
        <v>24</v>
      </c>
      <c r="AD500" s="643" t="s">
        <v>25</v>
      </c>
      <c r="AE500" s="643" t="s">
        <v>28</v>
      </c>
      <c r="AF500" s="643" t="s">
        <v>27</v>
      </c>
      <c r="AG500" s="643" t="s">
        <v>11</v>
      </c>
      <c r="AH500" s="643" t="s">
        <v>26</v>
      </c>
      <c r="AI500" s="643" t="s">
        <v>46</v>
      </c>
      <c r="AJ500" s="643" t="s">
        <v>31</v>
      </c>
      <c r="AK500" s="642"/>
      <c r="AL500" s="642"/>
      <c r="AM500" s="42"/>
      <c r="AN500" s="6"/>
    </row>
    <row r="501" spans="1:40" s="7" customFormat="1">
      <c r="A501" s="186" t="s">
        <v>696</v>
      </c>
      <c r="B501" s="642"/>
      <c r="C501" s="106"/>
      <c r="D501" s="644"/>
      <c r="E501" s="649">
        <v>440582</v>
      </c>
      <c r="F501" s="642">
        <v>798942</v>
      </c>
      <c r="G501" s="71"/>
      <c r="H501" s="642">
        <v>145750</v>
      </c>
      <c r="I501" s="71"/>
      <c r="J501" s="642">
        <v>587186</v>
      </c>
      <c r="K501" s="642">
        <v>379996</v>
      </c>
      <c r="L501" s="642">
        <v>91266</v>
      </c>
      <c r="M501" s="642">
        <v>330671</v>
      </c>
      <c r="N501" s="642">
        <v>6029070</v>
      </c>
      <c r="O501" s="642">
        <v>2795315</v>
      </c>
      <c r="P501" s="642">
        <v>906798</v>
      </c>
      <c r="Q501" s="642">
        <v>470454</v>
      </c>
      <c r="R501" s="71"/>
      <c r="S501" s="642">
        <v>395379</v>
      </c>
      <c r="T501" s="642">
        <v>4172981</v>
      </c>
      <c r="U501" s="642">
        <v>52970</v>
      </c>
      <c r="V501" s="71"/>
      <c r="W501" s="642">
        <v>50628</v>
      </c>
      <c r="X501" s="642">
        <v>38547</v>
      </c>
      <c r="Y501" s="71"/>
      <c r="Z501" s="642">
        <v>1021225</v>
      </c>
      <c r="AA501" s="642">
        <v>521949</v>
      </c>
      <c r="AB501" s="642">
        <v>2733004</v>
      </c>
      <c r="AC501" s="642">
        <v>1135000</v>
      </c>
      <c r="AD501" s="642">
        <v>811286</v>
      </c>
      <c r="AE501" s="642">
        <v>263913</v>
      </c>
      <c r="AF501" s="642">
        <v>88361</v>
      </c>
      <c r="AG501" s="642">
        <v>3786536</v>
      </c>
      <c r="AH501" s="642">
        <v>585091</v>
      </c>
      <c r="AI501" s="642">
        <v>391490</v>
      </c>
      <c r="AJ501" s="642">
        <v>4527724</v>
      </c>
      <c r="AK501" s="642"/>
      <c r="AL501" s="642"/>
      <c r="AM501" s="42"/>
      <c r="AN501" s="6"/>
    </row>
    <row r="502" spans="1:40" s="7" customFormat="1">
      <c r="A502" s="386" t="s">
        <v>697</v>
      </c>
      <c r="B502" s="643"/>
      <c r="C502" s="135"/>
      <c r="D502" s="77"/>
      <c r="E502" s="567">
        <v>73336</v>
      </c>
      <c r="F502" s="643">
        <v>147756</v>
      </c>
      <c r="G502" s="680"/>
      <c r="H502" s="643">
        <v>47300</v>
      </c>
      <c r="I502" s="680"/>
      <c r="J502" s="643">
        <v>186881</v>
      </c>
      <c r="K502" s="643">
        <v>42586</v>
      </c>
      <c r="L502" s="643">
        <v>39848</v>
      </c>
      <c r="M502" s="643">
        <v>95141</v>
      </c>
      <c r="N502" s="643">
        <v>601040</v>
      </c>
      <c r="O502" s="643">
        <v>1010742</v>
      </c>
      <c r="P502" s="643">
        <v>226913</v>
      </c>
      <c r="Q502" s="643">
        <v>96109</v>
      </c>
      <c r="R502" s="680"/>
      <c r="S502" s="643">
        <v>48311</v>
      </c>
      <c r="T502" s="643">
        <v>946393</v>
      </c>
      <c r="U502" s="643">
        <v>27852</v>
      </c>
      <c r="V502" s="680"/>
      <c r="W502" s="643">
        <v>67111</v>
      </c>
      <c r="X502" s="643">
        <v>12300</v>
      </c>
      <c r="Y502" s="680"/>
      <c r="Z502" s="643">
        <v>170640</v>
      </c>
      <c r="AA502" s="643">
        <v>86413</v>
      </c>
      <c r="AB502" s="643">
        <v>1150493</v>
      </c>
      <c r="AC502" s="643">
        <v>132500</v>
      </c>
      <c r="AD502" s="643">
        <v>296489</v>
      </c>
      <c r="AE502" s="643">
        <v>81083</v>
      </c>
      <c r="AF502" s="643">
        <v>37285</v>
      </c>
      <c r="AG502" s="643">
        <v>607020</v>
      </c>
      <c r="AH502" s="643">
        <v>84153</v>
      </c>
      <c r="AI502" s="643">
        <v>59634</v>
      </c>
      <c r="AJ502" s="643">
        <v>607998</v>
      </c>
      <c r="AK502" s="642"/>
      <c r="AL502" s="642"/>
      <c r="AM502" s="42"/>
      <c r="AN502" s="6"/>
    </row>
    <row r="503" spans="1:40" s="7" customFormat="1">
      <c r="A503" s="186" t="s">
        <v>514</v>
      </c>
      <c r="B503" s="642"/>
      <c r="C503" s="106"/>
      <c r="D503" s="644" t="s">
        <v>514</v>
      </c>
      <c r="E503" s="649">
        <f>SUM(E501:E502)</f>
        <v>513918</v>
      </c>
      <c r="F503" s="649">
        <f t="shared" ref="F503:AJ503" si="9">SUM(F501:F502)</f>
        <v>946698</v>
      </c>
      <c r="G503" s="649">
        <f t="shared" si="9"/>
        <v>0</v>
      </c>
      <c r="H503" s="649">
        <f t="shared" si="9"/>
        <v>193050</v>
      </c>
      <c r="I503" s="649">
        <f t="shared" si="9"/>
        <v>0</v>
      </c>
      <c r="J503" s="649">
        <f t="shared" si="9"/>
        <v>774067</v>
      </c>
      <c r="K503" s="649">
        <f t="shared" si="9"/>
        <v>422582</v>
      </c>
      <c r="L503" s="649">
        <f t="shared" si="9"/>
        <v>131114</v>
      </c>
      <c r="M503" s="649">
        <f t="shared" si="9"/>
        <v>425812</v>
      </c>
      <c r="N503" s="649">
        <f t="shared" si="9"/>
        <v>6630110</v>
      </c>
      <c r="O503" s="649">
        <f t="shared" si="9"/>
        <v>3806057</v>
      </c>
      <c r="P503" s="649">
        <f t="shared" si="9"/>
        <v>1133711</v>
      </c>
      <c r="Q503" s="649">
        <f t="shared" si="9"/>
        <v>566563</v>
      </c>
      <c r="R503" s="649">
        <f t="shared" si="9"/>
        <v>0</v>
      </c>
      <c r="S503" s="649">
        <f t="shared" si="9"/>
        <v>443690</v>
      </c>
      <c r="T503" s="649">
        <f t="shared" si="9"/>
        <v>5119374</v>
      </c>
      <c r="U503" s="649">
        <f t="shared" si="9"/>
        <v>80822</v>
      </c>
      <c r="V503" s="649">
        <f t="shared" si="9"/>
        <v>0</v>
      </c>
      <c r="W503" s="649">
        <f t="shared" si="9"/>
        <v>117739</v>
      </c>
      <c r="X503" s="649">
        <f t="shared" si="9"/>
        <v>50847</v>
      </c>
      <c r="Y503" s="649">
        <f t="shared" si="9"/>
        <v>0</v>
      </c>
      <c r="Z503" s="649">
        <f t="shared" si="9"/>
        <v>1191865</v>
      </c>
      <c r="AA503" s="649">
        <f t="shared" si="9"/>
        <v>608362</v>
      </c>
      <c r="AB503" s="649">
        <f t="shared" si="9"/>
        <v>3883497</v>
      </c>
      <c r="AC503" s="649">
        <f t="shared" si="9"/>
        <v>1267500</v>
      </c>
      <c r="AD503" s="649">
        <f t="shared" si="9"/>
        <v>1107775</v>
      </c>
      <c r="AE503" s="649">
        <f t="shared" si="9"/>
        <v>344996</v>
      </c>
      <c r="AF503" s="649">
        <f t="shared" si="9"/>
        <v>125646</v>
      </c>
      <c r="AG503" s="649">
        <f t="shared" si="9"/>
        <v>4393556</v>
      </c>
      <c r="AH503" s="649">
        <f t="shared" si="9"/>
        <v>669244</v>
      </c>
      <c r="AI503" s="649">
        <f t="shared" si="9"/>
        <v>451124</v>
      </c>
      <c r="AJ503" s="649">
        <f t="shared" si="9"/>
        <v>5135722</v>
      </c>
      <c r="AK503" s="642"/>
      <c r="AL503" s="642"/>
      <c r="AM503" s="42"/>
      <c r="AN503" s="6"/>
    </row>
    <row r="504" spans="1:40" s="7" customFormat="1">
      <c r="A504" s="174"/>
      <c r="B504" s="642"/>
      <c r="C504" s="106"/>
      <c r="D504" s="329" t="s">
        <v>421</v>
      </c>
      <c r="E504" s="648"/>
      <c r="F504" s="642"/>
      <c r="G504" s="642"/>
      <c r="H504" s="642"/>
      <c r="I504" s="642"/>
      <c r="J504" s="642"/>
      <c r="K504" s="642"/>
      <c r="L504" s="642"/>
      <c r="M504" s="642"/>
      <c r="N504" s="642"/>
      <c r="O504" s="642"/>
      <c r="P504" s="642"/>
      <c r="Q504" s="642"/>
      <c r="R504" s="642"/>
      <c r="S504" s="642"/>
      <c r="T504" s="642"/>
      <c r="U504" s="642"/>
      <c r="V504" s="642"/>
      <c r="W504" s="642"/>
      <c r="X504" s="642"/>
      <c r="Y504" s="642"/>
      <c r="Z504" s="642"/>
      <c r="AA504" s="642"/>
      <c r="AB504" s="642"/>
      <c r="AC504" s="642"/>
      <c r="AD504" s="642"/>
      <c r="AE504" s="642"/>
      <c r="AF504" s="642"/>
      <c r="AG504" s="37"/>
      <c r="AH504" s="642"/>
      <c r="AI504" s="642"/>
      <c r="AJ504" s="642"/>
      <c r="AK504" s="642"/>
      <c r="AL504" s="642"/>
      <c r="AM504" s="42"/>
      <c r="AN504" s="6"/>
    </row>
    <row r="505" spans="1:40" s="7" customFormat="1">
      <c r="A505" s="174"/>
      <c r="B505" s="642"/>
      <c r="C505" s="106"/>
      <c r="D505" s="329" t="s">
        <v>42</v>
      </c>
      <c r="E505" s="648">
        <v>2021</v>
      </c>
      <c r="F505" s="642"/>
      <c r="G505" s="642"/>
      <c r="H505" s="642"/>
      <c r="I505" s="642"/>
      <c r="J505" s="642"/>
      <c r="K505" s="642"/>
      <c r="L505" s="642"/>
      <c r="M505" s="642"/>
      <c r="N505" s="642"/>
      <c r="O505" s="642"/>
      <c r="P505" s="642"/>
      <c r="Q505" s="642"/>
      <c r="R505" s="642"/>
      <c r="S505" s="642"/>
      <c r="T505" s="642"/>
      <c r="U505" s="642"/>
      <c r="V505" s="642"/>
      <c r="W505" s="642"/>
      <c r="X505" s="642"/>
      <c r="Y505" s="642"/>
      <c r="Z505" s="642"/>
      <c r="AA505" s="642"/>
      <c r="AB505" s="642"/>
      <c r="AC505" s="642"/>
      <c r="AD505" s="642"/>
      <c r="AE505" s="642"/>
      <c r="AF505" s="642"/>
      <c r="AG505" s="37"/>
      <c r="AH505" s="642"/>
      <c r="AI505" s="642"/>
      <c r="AJ505" s="642"/>
      <c r="AK505" s="642"/>
      <c r="AL505" s="642"/>
      <c r="AM505" s="42"/>
      <c r="AN505" s="6"/>
    </row>
    <row r="506" spans="1:40" s="7" customFormat="1">
      <c r="A506" s="174"/>
      <c r="B506" s="642"/>
      <c r="C506" s="106"/>
      <c r="D506" s="329" t="s">
        <v>699</v>
      </c>
      <c r="E506" s="648" t="s">
        <v>700</v>
      </c>
      <c r="F506" s="642"/>
      <c r="G506" s="642"/>
      <c r="H506" s="642"/>
      <c r="I506" s="642"/>
      <c r="J506" s="642"/>
      <c r="K506" s="642"/>
      <c r="L506" s="642"/>
      <c r="M506" s="642"/>
      <c r="N506" s="642"/>
      <c r="O506" s="642"/>
      <c r="P506" s="642"/>
      <c r="Q506" s="642"/>
      <c r="R506" s="642"/>
      <c r="S506" s="642"/>
      <c r="T506" s="642"/>
      <c r="U506" s="642"/>
      <c r="V506" s="642"/>
      <c r="W506" s="642"/>
      <c r="X506" s="642"/>
      <c r="Y506" s="642"/>
      <c r="Z506" s="642"/>
      <c r="AA506" s="642"/>
      <c r="AB506" s="642"/>
      <c r="AC506" s="642"/>
      <c r="AD506" s="642"/>
      <c r="AE506" s="642"/>
      <c r="AF506" s="642"/>
      <c r="AG506" s="37"/>
      <c r="AH506" s="642"/>
      <c r="AI506" s="642"/>
      <c r="AJ506" s="642"/>
      <c r="AK506" s="642"/>
      <c r="AL506" s="642"/>
      <c r="AM506" s="42"/>
      <c r="AN506" s="6"/>
    </row>
    <row r="507" spans="1:40" s="7" customFormat="1">
      <c r="A507" s="174"/>
      <c r="B507" s="642"/>
      <c r="C507" s="106"/>
      <c r="D507" s="329" t="s">
        <v>696</v>
      </c>
      <c r="E507" s="648" t="s">
        <v>701</v>
      </c>
      <c r="F507" s="642"/>
      <c r="G507" s="642"/>
      <c r="H507" s="642"/>
      <c r="I507" s="642"/>
      <c r="J507" s="642"/>
      <c r="K507" s="642"/>
      <c r="L507" s="642"/>
      <c r="M507" s="642"/>
      <c r="N507" s="642"/>
      <c r="O507" s="642"/>
      <c r="P507" s="642"/>
      <c r="Q507" s="642"/>
      <c r="R507" s="642"/>
      <c r="S507" s="642"/>
      <c r="T507" s="642"/>
      <c r="U507" s="642"/>
      <c r="V507" s="642"/>
      <c r="W507" s="642"/>
      <c r="X507" s="642"/>
      <c r="Y507" s="642"/>
      <c r="Z507" s="642"/>
      <c r="AA507" s="642"/>
      <c r="AB507" s="642"/>
      <c r="AC507" s="642"/>
      <c r="AD507" s="642"/>
      <c r="AE507" s="642"/>
      <c r="AF507" s="642"/>
      <c r="AG507" s="37"/>
      <c r="AH507" s="642"/>
      <c r="AI507" s="642"/>
      <c r="AJ507" s="642"/>
      <c r="AK507" s="642"/>
      <c r="AL507" s="642"/>
      <c r="AM507" s="42"/>
      <c r="AN507" s="6"/>
    </row>
    <row r="508" spans="1:40" s="7" customFormat="1">
      <c r="A508" s="174"/>
      <c r="B508" s="642"/>
      <c r="C508" s="106"/>
      <c r="D508" s="329" t="s">
        <v>697</v>
      </c>
      <c r="E508" s="648" t="s">
        <v>702</v>
      </c>
      <c r="F508" s="642"/>
      <c r="G508" s="642"/>
      <c r="H508" s="642"/>
      <c r="I508" s="642"/>
      <c r="J508" s="642"/>
      <c r="K508" s="642"/>
      <c r="L508" s="642"/>
      <c r="M508" s="642"/>
      <c r="N508" s="642"/>
      <c r="O508" s="642"/>
      <c r="P508" s="642"/>
      <c r="Q508" s="642"/>
      <c r="R508" s="642"/>
      <c r="S508" s="642"/>
      <c r="T508" s="642"/>
      <c r="U508" s="642"/>
      <c r="V508" s="642"/>
      <c r="W508" s="642"/>
      <c r="X508" s="642"/>
      <c r="Y508" s="642"/>
      <c r="Z508" s="642"/>
      <c r="AA508" s="642"/>
      <c r="AB508" s="642"/>
      <c r="AC508" s="642"/>
      <c r="AD508" s="642"/>
      <c r="AE508" s="642"/>
      <c r="AF508" s="642"/>
      <c r="AG508" s="37"/>
      <c r="AH508" s="642"/>
      <c r="AI508" s="642"/>
      <c r="AJ508" s="642"/>
      <c r="AK508" s="642"/>
      <c r="AL508" s="642"/>
      <c r="AM508" s="42"/>
      <c r="AN508" s="6"/>
    </row>
    <row r="509" spans="1:40" s="7" customFormat="1">
      <c r="A509" s="174"/>
      <c r="B509" s="642"/>
      <c r="C509" s="106"/>
      <c r="D509" s="329"/>
      <c r="E509" s="648"/>
      <c r="F509" s="642"/>
      <c r="G509" s="642"/>
      <c r="H509" s="642"/>
      <c r="I509" s="642"/>
      <c r="J509" s="642"/>
      <c r="K509" s="642"/>
      <c r="L509" s="642"/>
      <c r="M509" s="642"/>
      <c r="N509" s="642"/>
      <c r="O509" s="642"/>
      <c r="P509" s="642"/>
      <c r="Q509" s="642"/>
      <c r="R509" s="642"/>
      <c r="S509" s="642"/>
      <c r="T509" s="642"/>
      <c r="U509" s="642"/>
      <c r="V509" s="642"/>
      <c r="W509" s="642"/>
      <c r="X509" s="642"/>
      <c r="Y509" s="642"/>
      <c r="Z509" s="642"/>
      <c r="AA509" s="642"/>
      <c r="AB509" s="642"/>
      <c r="AC509" s="642"/>
      <c r="AD509" s="642"/>
      <c r="AE509" s="642"/>
      <c r="AF509" s="642"/>
      <c r="AG509" s="37"/>
      <c r="AH509" s="642"/>
      <c r="AI509" s="642"/>
      <c r="AJ509" s="642"/>
      <c r="AK509" s="642"/>
      <c r="AL509" s="642"/>
      <c r="AM509" s="42"/>
      <c r="AN509" s="6"/>
    </row>
    <row r="510" spans="1:40" s="7" customFormat="1">
      <c r="A510" s="43" t="s">
        <v>703</v>
      </c>
      <c r="B510" s="642"/>
      <c r="C510" s="106"/>
      <c r="D510" s="642"/>
      <c r="E510" s="352"/>
      <c r="F510" s="642"/>
      <c r="G510" s="642"/>
      <c r="H510" s="642"/>
      <c r="I510" s="642"/>
      <c r="J510" s="642"/>
      <c r="K510" s="642"/>
      <c r="L510" s="642"/>
      <c r="M510" s="642"/>
      <c r="N510" s="642"/>
      <c r="O510" s="642"/>
      <c r="P510" s="642"/>
      <c r="Q510" s="642"/>
      <c r="R510" s="642"/>
      <c r="S510" s="642"/>
      <c r="T510" s="642"/>
      <c r="U510" s="642"/>
      <c r="V510" s="642"/>
      <c r="W510" s="642"/>
      <c r="X510" s="642"/>
      <c r="Y510" s="642"/>
      <c r="Z510" s="642"/>
      <c r="AA510" s="642"/>
      <c r="AB510" s="642"/>
      <c r="AC510" s="642"/>
      <c r="AD510" s="642"/>
      <c r="AE510" s="642"/>
      <c r="AF510" s="642"/>
      <c r="AG510" s="37"/>
      <c r="AH510" s="642"/>
      <c r="AI510" s="642"/>
      <c r="AJ510" s="642"/>
      <c r="AK510" s="642"/>
      <c r="AL510" s="642"/>
      <c r="AM510" s="42"/>
      <c r="AN510" s="6"/>
    </row>
    <row r="511" spans="1:40">
      <c r="A511" s="43" t="s">
        <v>91</v>
      </c>
      <c r="B511" s="41"/>
      <c r="C511" s="41"/>
      <c r="D511" s="41"/>
      <c r="E511" s="352" t="s">
        <v>0</v>
      </c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2"/>
    </row>
    <row r="512" spans="1:40">
      <c r="A512" s="63" t="s">
        <v>38</v>
      </c>
      <c r="B512" s="64" t="s">
        <v>187</v>
      </c>
      <c r="C512" s="64" t="s">
        <v>189</v>
      </c>
      <c r="D512" s="64" t="s">
        <v>188</v>
      </c>
      <c r="E512" s="313" t="s">
        <v>4</v>
      </c>
      <c r="F512" s="64" t="s">
        <v>5</v>
      </c>
      <c r="G512" s="64" t="s">
        <v>6</v>
      </c>
      <c r="H512" s="64" t="s">
        <v>15</v>
      </c>
      <c r="I512" s="64" t="s">
        <v>7</v>
      </c>
      <c r="J512" s="64" t="s">
        <v>8</v>
      </c>
      <c r="K512" s="64" t="s">
        <v>9</v>
      </c>
      <c r="L512" s="64" t="s">
        <v>10</v>
      </c>
      <c r="M512" s="64" t="s">
        <v>2</v>
      </c>
      <c r="N512" s="64" t="s">
        <v>12</v>
      </c>
      <c r="O512" s="64" t="s">
        <v>30</v>
      </c>
      <c r="P512" s="64" t="s">
        <v>13</v>
      </c>
      <c r="Q512" s="64" t="s">
        <v>14</v>
      </c>
      <c r="R512" s="64" t="s">
        <v>45</v>
      </c>
      <c r="S512" s="64" t="s">
        <v>16</v>
      </c>
      <c r="T512" s="64" t="s">
        <v>17</v>
      </c>
      <c r="U512" s="64" t="s">
        <v>20</v>
      </c>
      <c r="V512" s="194" t="s">
        <v>154</v>
      </c>
      <c r="W512" s="64" t="s">
        <v>18</v>
      </c>
      <c r="X512" s="64" t="s">
        <v>19</v>
      </c>
      <c r="Y512" s="64" t="s">
        <v>21</v>
      </c>
      <c r="Z512" s="64" t="s">
        <v>22</v>
      </c>
      <c r="AA512" s="64" t="s">
        <v>29</v>
      </c>
      <c r="AB512" s="64" t="s">
        <v>23</v>
      </c>
      <c r="AC512" s="64" t="s">
        <v>24</v>
      </c>
      <c r="AD512" s="64" t="s">
        <v>25</v>
      </c>
      <c r="AE512" s="64" t="s">
        <v>28</v>
      </c>
      <c r="AF512" s="64" t="s">
        <v>27</v>
      </c>
      <c r="AG512" s="64" t="s">
        <v>11</v>
      </c>
      <c r="AH512" s="64" t="s">
        <v>26</v>
      </c>
      <c r="AI512" s="64" t="s">
        <v>46</v>
      </c>
      <c r="AJ512" s="194" t="s">
        <v>31</v>
      </c>
      <c r="AK512" s="41"/>
      <c r="AL512" s="41"/>
      <c r="AM512" s="42"/>
    </row>
    <row r="513" spans="1:40" s="7" customFormat="1">
      <c r="A513" s="537" t="s">
        <v>191</v>
      </c>
      <c r="B513" s="539" t="s">
        <v>614</v>
      </c>
      <c r="C513" s="539" t="s">
        <v>614</v>
      </c>
      <c r="D513" s="239" t="s">
        <v>614</v>
      </c>
      <c r="E513" s="524"/>
      <c r="F513" s="524"/>
      <c r="G513" s="524"/>
      <c r="H513" s="524"/>
      <c r="I513" s="524"/>
      <c r="J513" s="524"/>
      <c r="K513" s="524"/>
      <c r="L513" s="524"/>
      <c r="M513" s="524"/>
      <c r="N513" s="524"/>
      <c r="O513" s="524"/>
      <c r="P513" s="524"/>
      <c r="Q513" s="524"/>
      <c r="R513" s="524"/>
      <c r="S513" s="524"/>
      <c r="T513" s="524"/>
      <c r="U513" s="524"/>
      <c r="V513" s="524"/>
      <c r="W513" s="524"/>
      <c r="X513" s="524"/>
      <c r="Y513" s="524"/>
      <c r="Z513" s="524"/>
      <c r="AA513" s="524"/>
      <c r="AB513" s="524"/>
      <c r="AC513" s="524"/>
      <c r="AD513" s="524"/>
      <c r="AE513" s="524"/>
      <c r="AF513" s="524"/>
      <c r="AG513" s="524"/>
      <c r="AH513" s="524"/>
      <c r="AI513" s="524"/>
      <c r="AJ513" s="524"/>
      <c r="AK513" s="524"/>
      <c r="AL513" s="524"/>
      <c r="AM513" s="42"/>
      <c r="AN513" s="6"/>
    </row>
    <row r="514" spans="1:40">
      <c r="A514" s="253" t="s">
        <v>73</v>
      </c>
      <c r="B514" s="83">
        <v>0.4</v>
      </c>
      <c r="C514" s="83">
        <v>0.37</v>
      </c>
      <c r="D514" s="542">
        <v>0.57999999999999996</v>
      </c>
      <c r="E514" s="547">
        <v>2.4568200467232728</v>
      </c>
      <c r="F514" s="547"/>
      <c r="G514" s="547"/>
      <c r="H514" s="547">
        <v>1.6853722218250766</v>
      </c>
      <c r="I514" s="547">
        <v>2.4775518044753553</v>
      </c>
      <c r="J514" s="547"/>
      <c r="K514" s="547">
        <v>10.279942142826977</v>
      </c>
      <c r="L514" s="547">
        <v>7.7499144601052965</v>
      </c>
      <c r="M514" s="547">
        <v>2.7594279850265693</v>
      </c>
      <c r="N514" s="547">
        <v>0.82134126619437708</v>
      </c>
      <c r="O514" s="547"/>
      <c r="P514" s="547"/>
      <c r="Q514" s="547">
        <v>1.9388786396085667</v>
      </c>
      <c r="R514" s="547"/>
      <c r="S514" s="547">
        <v>1.2987588449297219E-2</v>
      </c>
      <c r="T514" s="547">
        <v>2.7049491323517905</v>
      </c>
      <c r="U514" s="547">
        <v>1.6179363679533276</v>
      </c>
      <c r="V514" s="547">
        <v>10.483321987746766</v>
      </c>
      <c r="W514" s="547"/>
      <c r="X514" s="547">
        <v>3.5424374620354517</v>
      </c>
      <c r="Y514" s="547">
        <v>1.5787462277453448</v>
      </c>
      <c r="Z514" s="547">
        <v>1.5946292235120234</v>
      </c>
      <c r="AA514" s="547">
        <v>2.504174287583274</v>
      </c>
      <c r="AB514" s="547">
        <v>11.113672351679865</v>
      </c>
      <c r="AC514" s="547">
        <v>0.57532657685877631</v>
      </c>
      <c r="AD514" s="547">
        <v>7.03053976782574</v>
      </c>
      <c r="AE514" s="547"/>
      <c r="AF514" s="547"/>
      <c r="AG514" s="547">
        <v>5.1742585529905876</v>
      </c>
      <c r="AH514" s="547">
        <v>4.0042456820859549</v>
      </c>
      <c r="AI514" s="548">
        <v>15.198351365275631</v>
      </c>
      <c r="AJ514" s="547">
        <v>1.6297381409103626</v>
      </c>
      <c r="AK514" s="41"/>
      <c r="AL514" s="41"/>
      <c r="AM514" s="42"/>
    </row>
    <row r="515" spans="1:40">
      <c r="A515" s="253" t="s">
        <v>603</v>
      </c>
      <c r="B515" s="83">
        <v>0.4</v>
      </c>
      <c r="C515" s="83">
        <v>0.37</v>
      </c>
      <c r="D515" s="232">
        <v>0.57999999999999996</v>
      </c>
      <c r="E515" s="547">
        <v>3.552200173584182E-4</v>
      </c>
      <c r="F515" s="547"/>
      <c r="G515" s="547"/>
      <c r="H515" s="547"/>
      <c r="I515" s="547">
        <v>0</v>
      </c>
      <c r="J515" s="547"/>
      <c r="K515" s="547"/>
      <c r="L515" s="547">
        <v>0</v>
      </c>
      <c r="M515" s="547">
        <v>0</v>
      </c>
      <c r="N515" s="547">
        <v>1.2062700954545652E-3</v>
      </c>
      <c r="O515" s="547"/>
      <c r="P515" s="547"/>
      <c r="Q515" s="547">
        <v>1.0694901205850112E-4</v>
      </c>
      <c r="R515" s="547"/>
      <c r="S515" s="547"/>
      <c r="T515" s="547">
        <v>0.68880732267551015</v>
      </c>
      <c r="U515" s="547">
        <v>0.38413269113357301</v>
      </c>
      <c r="V515" s="547">
        <v>0</v>
      </c>
      <c r="W515" s="547"/>
      <c r="X515" s="547">
        <v>0.27886686178143466</v>
      </c>
      <c r="Y515" s="547">
        <v>5.2712728806188474E-3</v>
      </c>
      <c r="Z515" s="547">
        <v>0.97036336772980614</v>
      </c>
      <c r="AA515" s="547">
        <v>0</v>
      </c>
      <c r="AB515" s="547">
        <v>3.1249288471688934</v>
      </c>
      <c r="AC515" s="547">
        <v>2.749367251742519E-2</v>
      </c>
      <c r="AD515" s="547">
        <v>1.2547925231932712E-4</v>
      </c>
      <c r="AE515" s="547"/>
      <c r="AF515" s="547"/>
      <c r="AG515" s="547">
        <v>0.11593026701240783</v>
      </c>
      <c r="AH515" s="547">
        <v>6.0553737982245643E-4</v>
      </c>
      <c r="AI515" s="548">
        <v>0</v>
      </c>
      <c r="AJ515" s="547"/>
      <c r="AK515" s="41"/>
      <c r="AL515" s="41"/>
      <c r="AM515" s="42"/>
    </row>
    <row r="516" spans="1:40">
      <c r="A516" s="253" t="s">
        <v>3</v>
      </c>
      <c r="B516" s="83">
        <v>0.4</v>
      </c>
      <c r="C516" s="83">
        <v>0.37</v>
      </c>
      <c r="D516" s="232">
        <v>0.57999999999999996</v>
      </c>
      <c r="E516" s="547">
        <v>47.120882555973793</v>
      </c>
      <c r="F516" s="547"/>
      <c r="G516" s="547"/>
      <c r="H516" s="547">
        <v>48.058468901801795</v>
      </c>
      <c r="I516" s="547">
        <v>47.510873152302942</v>
      </c>
      <c r="J516" s="547"/>
      <c r="K516" s="547">
        <v>89.720057857173018</v>
      </c>
      <c r="L516" s="547">
        <v>42.151300758269777</v>
      </c>
      <c r="M516" s="547">
        <v>47.15571287906171</v>
      </c>
      <c r="N516" s="547">
        <v>48.745712312945706</v>
      </c>
      <c r="O516" s="547"/>
      <c r="P516" s="547"/>
      <c r="Q516" s="547">
        <v>47.926846875751984</v>
      </c>
      <c r="R516" s="547"/>
      <c r="S516" s="547">
        <v>49.91389992833907</v>
      </c>
      <c r="T516" s="547">
        <v>45.901942754651614</v>
      </c>
      <c r="U516" s="547">
        <v>47.708771453768399</v>
      </c>
      <c r="V516" s="547">
        <v>39.159292035398231</v>
      </c>
      <c r="W516" s="547"/>
      <c r="X516" s="547">
        <v>95.54641338560937</v>
      </c>
      <c r="Y516" s="547">
        <v>48.313851587312044</v>
      </c>
      <c r="Z516" s="547">
        <v>47.094748392814012</v>
      </c>
      <c r="AA516" s="547">
        <v>46.73818131492299</v>
      </c>
      <c r="AB516" s="547">
        <v>34.318574628852723</v>
      </c>
      <c r="AC516" s="547">
        <v>49.360199329125756</v>
      </c>
      <c r="AD516" s="547">
        <v>42.949603140494723</v>
      </c>
      <c r="AE516" s="547"/>
      <c r="AF516" s="547"/>
      <c r="AG516" s="547">
        <v>44.611492201006072</v>
      </c>
      <c r="AH516" s="547">
        <v>45.199386158107544</v>
      </c>
      <c r="AI516" s="548">
        <v>83.281813498196811</v>
      </c>
      <c r="AJ516" s="547">
        <v>48.204951444670904</v>
      </c>
      <c r="AK516" s="41"/>
      <c r="AL516" s="41"/>
      <c r="AM516" s="42"/>
    </row>
    <row r="517" spans="1:40">
      <c r="A517" s="253" t="s">
        <v>604</v>
      </c>
      <c r="B517" s="83">
        <v>0.4</v>
      </c>
      <c r="C517" s="83">
        <v>0.37</v>
      </c>
      <c r="D517" s="232">
        <v>0.57999999999999996</v>
      </c>
      <c r="E517" s="534"/>
      <c r="F517" s="534"/>
      <c r="G517" s="534"/>
      <c r="H517" s="534"/>
      <c r="I517" s="534"/>
      <c r="J517" s="534"/>
      <c r="K517" s="534"/>
      <c r="L517" s="534"/>
      <c r="M517" s="534"/>
      <c r="N517" s="534"/>
      <c r="O517" s="534"/>
      <c r="P517" s="534"/>
      <c r="Q517" s="534"/>
      <c r="R517" s="534"/>
      <c r="S517" s="534"/>
      <c r="T517" s="534"/>
      <c r="U517" s="534"/>
      <c r="V517" s="534"/>
      <c r="W517" s="534"/>
      <c r="X517" s="534"/>
      <c r="Y517" s="534"/>
      <c r="Z517" s="534"/>
      <c r="AA517" s="534"/>
      <c r="AB517" s="534"/>
      <c r="AC517" s="534">
        <v>2.4343355874803553E-3</v>
      </c>
      <c r="AD517" s="534"/>
      <c r="AE517" s="534"/>
      <c r="AF517" s="534"/>
      <c r="AG517" s="534"/>
      <c r="AH517" s="534"/>
      <c r="AI517" s="535"/>
      <c r="AJ517" s="534"/>
      <c r="AK517" s="41"/>
      <c r="AL517" s="41"/>
      <c r="AM517" s="42"/>
    </row>
    <row r="518" spans="1:40">
      <c r="A518" s="253" t="s">
        <v>606</v>
      </c>
      <c r="B518" s="83">
        <v>0.4</v>
      </c>
      <c r="C518" s="83">
        <v>0.37</v>
      </c>
      <c r="D518" s="232">
        <v>0.57999999999999996</v>
      </c>
      <c r="E518" s="534"/>
      <c r="F518" s="534"/>
      <c r="G518" s="534"/>
      <c r="H518" s="534"/>
      <c r="I518" s="534"/>
      <c r="J518" s="534"/>
      <c r="K518" s="534"/>
      <c r="L518" s="534"/>
      <c r="M518" s="534"/>
      <c r="N518" s="534"/>
      <c r="O518" s="534"/>
      <c r="P518" s="534"/>
      <c r="Q518" s="534"/>
      <c r="R518" s="534"/>
      <c r="S518" s="534"/>
      <c r="T518" s="534"/>
      <c r="U518" s="534"/>
      <c r="V518" s="534"/>
      <c r="W518" s="534"/>
      <c r="X518" s="534"/>
      <c r="Y518" s="534"/>
      <c r="Z518" s="534"/>
      <c r="AA518" s="534"/>
      <c r="AB518" s="534"/>
      <c r="AC518" s="534"/>
      <c r="AD518" s="534"/>
      <c r="AE518" s="534"/>
      <c r="AF518" s="534"/>
      <c r="AG518" s="534"/>
      <c r="AH518" s="534"/>
      <c r="AI518" s="534"/>
      <c r="AJ518" s="534"/>
      <c r="AK518" s="41"/>
      <c r="AL518" s="41"/>
      <c r="AM518" s="42"/>
    </row>
    <row r="519" spans="1:40">
      <c r="A519" s="253" t="s">
        <v>68</v>
      </c>
      <c r="B519" s="83">
        <v>0.4</v>
      </c>
      <c r="C519" s="83">
        <v>0.37</v>
      </c>
      <c r="D519" s="232">
        <v>0.57999999999999996</v>
      </c>
      <c r="E519" s="547">
        <v>0.47812614336443088</v>
      </c>
      <c r="F519" s="547"/>
      <c r="G519" s="547"/>
      <c r="H519" s="547">
        <v>0.46704316064310347</v>
      </c>
      <c r="I519" s="547">
        <v>1.9702201228432248E-2</v>
      </c>
      <c r="J519" s="547"/>
      <c r="K519" s="547"/>
      <c r="L519" s="547">
        <v>0.18598028719329809</v>
      </c>
      <c r="M519" s="547">
        <v>0.1275483707461372</v>
      </c>
      <c r="N519" s="547">
        <v>0.52266879055982673</v>
      </c>
      <c r="O519" s="547"/>
      <c r="P519" s="547"/>
      <c r="Q519" s="547">
        <v>0.21400497312906072</v>
      </c>
      <c r="R519" s="547"/>
      <c r="S519" s="547">
        <v>7.7008759746421157E-2</v>
      </c>
      <c r="T519" s="547">
        <v>2.0526250701412416</v>
      </c>
      <c r="U519" s="547">
        <v>0.95058001492436073</v>
      </c>
      <c r="V519" s="547">
        <v>0.49353301565690944</v>
      </c>
      <c r="W519" s="547"/>
      <c r="X519" s="547"/>
      <c r="Y519" s="547">
        <v>0.12255709447438821</v>
      </c>
      <c r="Z519" s="547">
        <v>1.4204340961768247</v>
      </c>
      <c r="AA519" s="547">
        <v>0.78487558781038336</v>
      </c>
      <c r="AB519" s="547">
        <v>5.9954481005369509</v>
      </c>
      <c r="AC519" s="547">
        <v>6.6908429602952707E-2</v>
      </c>
      <c r="AD519" s="547">
        <v>3.1808990462949424E-2</v>
      </c>
      <c r="AE519" s="547"/>
      <c r="AF519" s="547"/>
      <c r="AG519" s="547">
        <v>0.2344743748260564</v>
      </c>
      <c r="AH519" s="547">
        <v>1.2501751733134485</v>
      </c>
      <c r="AI519" s="548">
        <v>1.1076764554353424</v>
      </c>
      <c r="AJ519" s="547">
        <v>0.16657175398633256</v>
      </c>
      <c r="AK519" s="41"/>
      <c r="AL519" s="41"/>
      <c r="AM519" s="42"/>
    </row>
    <row r="520" spans="1:40">
      <c r="A520" s="253" t="s">
        <v>605</v>
      </c>
      <c r="B520" s="83">
        <v>0.4</v>
      </c>
      <c r="C520" s="83">
        <v>0.37</v>
      </c>
      <c r="D520" s="232">
        <v>0.57999999999999996</v>
      </c>
      <c r="E520" s="547">
        <v>2.4568200467232728</v>
      </c>
      <c r="F520" s="547"/>
      <c r="G520" s="547"/>
      <c r="H520" s="547">
        <v>1.6853722218250766</v>
      </c>
      <c r="I520" s="547">
        <v>2.4741039192603793</v>
      </c>
      <c r="J520" s="547"/>
      <c r="K520" s="547"/>
      <c r="L520" s="547">
        <v>7.7460513680864445</v>
      </c>
      <c r="M520" s="547">
        <v>2.7495606436414852</v>
      </c>
      <c r="N520" s="547">
        <v>0.81880809899392248</v>
      </c>
      <c r="O520" s="547"/>
      <c r="P520" s="547"/>
      <c r="Q520" s="547">
        <v>1.9388786396085667</v>
      </c>
      <c r="R520" s="547"/>
      <c r="S520" s="547">
        <v>1.2987588449297219E-2</v>
      </c>
      <c r="T520" s="547">
        <v>2.6903530239182687</v>
      </c>
      <c r="U520" s="547">
        <v>1.6179363679533276</v>
      </c>
      <c r="V520" s="547">
        <v>10.449285228046289</v>
      </c>
      <c r="W520" s="547"/>
      <c r="X520" s="547"/>
      <c r="Y520" s="547">
        <v>1.5787462277453448</v>
      </c>
      <c r="Z520" s="547">
        <v>1.5940960275299749</v>
      </c>
      <c r="AA520" s="547">
        <v>2.5003907949615827</v>
      </c>
      <c r="AB520" s="547">
        <v>11.113107833350426</v>
      </c>
      <c r="AC520" s="547">
        <v>0.57529077780601923</v>
      </c>
      <c r="AD520" s="547">
        <v>7.0303515489472597</v>
      </c>
      <c r="AE520" s="547"/>
      <c r="AF520" s="547"/>
      <c r="AG520" s="547">
        <v>5.1327477615774404</v>
      </c>
      <c r="AH520" s="547">
        <v>3.9996608990672993</v>
      </c>
      <c r="AI520" s="548">
        <v>0</v>
      </c>
      <c r="AJ520" s="547">
        <v>1.6232066498821085</v>
      </c>
      <c r="AK520" s="41"/>
      <c r="AL520" s="41"/>
      <c r="AM520" s="42"/>
    </row>
    <row r="521" spans="1:40">
      <c r="A521" s="253" t="s">
        <v>61</v>
      </c>
      <c r="B521" s="83">
        <v>0.4</v>
      </c>
      <c r="C521" s="83">
        <v>0.37</v>
      </c>
      <c r="D521" s="232">
        <v>0.57999999999999996</v>
      </c>
      <c r="E521" s="534"/>
      <c r="F521" s="534"/>
      <c r="G521" s="534"/>
      <c r="H521" s="534"/>
      <c r="I521" s="534"/>
      <c r="J521" s="534"/>
      <c r="K521" s="534"/>
      <c r="L521" s="534"/>
      <c r="M521" s="534"/>
      <c r="N521" s="534"/>
      <c r="O521" s="534"/>
      <c r="P521" s="534"/>
      <c r="Q521" s="534"/>
      <c r="R521" s="534"/>
      <c r="S521" s="534"/>
      <c r="T521" s="534"/>
      <c r="U521" s="534"/>
      <c r="V521" s="534"/>
      <c r="W521" s="534"/>
      <c r="X521" s="534"/>
      <c r="Y521" s="534"/>
      <c r="Z521" s="534"/>
      <c r="AA521" s="534"/>
      <c r="AB521" s="534"/>
      <c r="AC521" s="534"/>
      <c r="AD521" s="534"/>
      <c r="AE521" s="534"/>
      <c r="AF521" s="534"/>
      <c r="AG521" s="534"/>
      <c r="AH521" s="534"/>
      <c r="AI521" s="534"/>
      <c r="AJ521" s="534"/>
      <c r="AK521" s="534"/>
      <c r="AL521" s="41"/>
      <c r="AM521" s="42"/>
    </row>
    <row r="522" spans="1:40">
      <c r="A522" s="253" t="s">
        <v>607</v>
      </c>
      <c r="B522" s="83">
        <v>0.4</v>
      </c>
      <c r="C522" s="83">
        <v>0.37</v>
      </c>
      <c r="D522" s="232">
        <v>0.57999999999999996</v>
      </c>
      <c r="E522" s="534">
        <v>47.120882555973793</v>
      </c>
      <c r="F522" s="534"/>
      <c r="G522" s="534"/>
      <c r="H522" s="534">
        <v>48.058468901801795</v>
      </c>
      <c r="I522" s="534">
        <v>47.510873152302942</v>
      </c>
      <c r="J522" s="534"/>
      <c r="K522" s="534"/>
      <c r="L522" s="534">
        <v>42.151300758269777</v>
      </c>
      <c r="M522" s="534">
        <v>47.153323943779007</v>
      </c>
      <c r="N522" s="534">
        <v>48.744240663429252</v>
      </c>
      <c r="O522" s="534"/>
      <c r="P522" s="116"/>
      <c r="Q522" s="534">
        <v>47.926846875751984</v>
      </c>
      <c r="R522" s="116"/>
      <c r="S522" s="534">
        <v>49.91389992833907</v>
      </c>
      <c r="T522" s="534">
        <v>45.890220999944198</v>
      </c>
      <c r="U522" s="534">
        <v>47.708771453768399</v>
      </c>
      <c r="V522" s="534">
        <v>39.159292035398231</v>
      </c>
      <c r="W522" s="534"/>
      <c r="X522" s="534"/>
      <c r="Y522" s="534">
        <v>48.313851587312044</v>
      </c>
      <c r="Z522" s="534">
        <v>47.094481794822983</v>
      </c>
      <c r="AA522" s="534">
        <v>46.735791740635605</v>
      </c>
      <c r="AB522" s="534">
        <v>34.318536994297425</v>
      </c>
      <c r="AC522" s="534">
        <v>49.356440428586261</v>
      </c>
      <c r="AD522" s="534">
        <v>42.949163963111609</v>
      </c>
      <c r="AE522" s="534"/>
      <c r="AF522" s="534"/>
      <c r="AG522" s="534">
        <v>44.56777464235909</v>
      </c>
      <c r="AH522" s="534">
        <v>45.199386158107544</v>
      </c>
      <c r="AI522" s="535">
        <v>0</v>
      </c>
      <c r="AJ522" s="534">
        <v>48.204901490628622</v>
      </c>
      <c r="AK522" s="41"/>
      <c r="AL522" s="41"/>
      <c r="AM522" s="42"/>
    </row>
    <row r="523" spans="1:40">
      <c r="A523" s="253" t="s">
        <v>608</v>
      </c>
      <c r="B523" s="116"/>
      <c r="C523" s="116"/>
      <c r="D523" s="70"/>
      <c r="E523" s="116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  <c r="AA523" s="116"/>
      <c r="AB523" s="116"/>
      <c r="AC523" s="116"/>
      <c r="AD523" s="116"/>
      <c r="AE523" s="116"/>
      <c r="AF523" s="116"/>
      <c r="AG523" s="1"/>
      <c r="AH523" s="116"/>
      <c r="AI523" s="116"/>
      <c r="AJ523" s="116"/>
      <c r="AL523" s="41"/>
      <c r="AM523" s="42"/>
    </row>
    <row r="524" spans="1:40">
      <c r="A524" s="253" t="s">
        <v>64</v>
      </c>
      <c r="B524" s="83">
        <v>0.4</v>
      </c>
      <c r="C524" s="83">
        <v>0.37</v>
      </c>
      <c r="D524" s="232">
        <v>0.57999999999999996</v>
      </c>
      <c r="E524" s="547">
        <v>0</v>
      </c>
      <c r="F524" s="547"/>
      <c r="G524" s="547"/>
      <c r="H524" s="547"/>
      <c r="I524" s="547">
        <v>0</v>
      </c>
      <c r="J524" s="547"/>
      <c r="K524" s="547"/>
      <c r="L524" s="547">
        <v>0</v>
      </c>
      <c r="M524" s="547">
        <v>2.3889352827045239E-3</v>
      </c>
      <c r="N524" s="547">
        <v>1.4716495164545697E-3</v>
      </c>
      <c r="O524" s="547"/>
      <c r="P524" s="547"/>
      <c r="Q524" s="547">
        <v>0</v>
      </c>
      <c r="R524" s="547"/>
      <c r="S524" s="547"/>
      <c r="T524" s="547"/>
      <c r="U524" s="547">
        <v>0</v>
      </c>
      <c r="V524" s="547">
        <v>0</v>
      </c>
      <c r="W524" s="547"/>
      <c r="X524" s="547"/>
      <c r="Y524" s="547">
        <v>0</v>
      </c>
      <c r="Z524" s="547">
        <v>2.6659799102417883E-4</v>
      </c>
      <c r="AA524" s="547">
        <v>2.3895742873841427E-3</v>
      </c>
      <c r="AB524" s="547">
        <v>3.7634555295981661E-5</v>
      </c>
      <c r="AC524" s="547">
        <v>1.7899526378532024E-4</v>
      </c>
      <c r="AD524" s="547">
        <v>4.3917738311764494E-4</v>
      </c>
      <c r="AE524" s="547"/>
      <c r="AF524" s="547"/>
      <c r="AG524" s="547">
        <v>4.3717558646981729E-2</v>
      </c>
      <c r="AH524" s="547">
        <v>0</v>
      </c>
      <c r="AI524" s="548">
        <v>0</v>
      </c>
      <c r="AJ524" s="547">
        <v>4.9954042281101387E-5</v>
      </c>
      <c r="AK524" s="41"/>
      <c r="AL524" s="41"/>
      <c r="AM524" s="42"/>
    </row>
    <row r="525" spans="1:40">
      <c r="A525" s="253" t="s">
        <v>67</v>
      </c>
      <c r="B525" s="83">
        <v>0.4</v>
      </c>
      <c r="C525" s="83">
        <v>0.37</v>
      </c>
      <c r="D525" s="232">
        <v>0.57999999999999996</v>
      </c>
      <c r="E525" s="547"/>
      <c r="F525" s="547"/>
      <c r="G525" s="547"/>
      <c r="H525" s="547"/>
      <c r="I525" s="547">
        <v>0</v>
      </c>
      <c r="J525" s="547"/>
      <c r="K525" s="547"/>
      <c r="L525" s="547"/>
      <c r="M525" s="547">
        <v>1.0386675142193583E-3</v>
      </c>
      <c r="N525" s="547">
        <v>4.808996780545533E-3</v>
      </c>
      <c r="O525" s="547"/>
      <c r="P525" s="547"/>
      <c r="Q525" s="547">
        <v>0</v>
      </c>
      <c r="R525" s="547"/>
      <c r="S525" s="547"/>
      <c r="T525" s="547"/>
      <c r="U525" s="547">
        <v>0</v>
      </c>
      <c r="V525" s="547">
        <v>0</v>
      </c>
      <c r="W525" s="547"/>
      <c r="X525" s="547"/>
      <c r="Y525" s="547">
        <v>0</v>
      </c>
      <c r="Z525" s="547">
        <v>4.7987638384352192E-4</v>
      </c>
      <c r="AA525" s="547">
        <v>0</v>
      </c>
      <c r="AB525" s="547">
        <v>1.5053822118392664E-4</v>
      </c>
      <c r="AC525" s="547">
        <v>0</v>
      </c>
      <c r="AD525" s="547"/>
      <c r="AE525" s="547"/>
      <c r="AF525" s="547"/>
      <c r="AG525" s="547">
        <v>0</v>
      </c>
      <c r="AH525" s="547">
        <v>5.1903203984781981E-4</v>
      </c>
      <c r="AI525" s="548">
        <v>0</v>
      </c>
      <c r="AJ525" s="547"/>
      <c r="AK525" s="41"/>
      <c r="AL525" s="41"/>
      <c r="AM525" s="42"/>
    </row>
    <row r="526" spans="1:40">
      <c r="A526" s="253" t="s">
        <v>609</v>
      </c>
      <c r="B526" s="83">
        <v>0.4</v>
      </c>
      <c r="C526" s="83">
        <v>0.37</v>
      </c>
      <c r="D526" s="232">
        <v>0.57999999999999996</v>
      </c>
      <c r="E526" s="547"/>
      <c r="F526" s="547"/>
      <c r="G526" s="547"/>
      <c r="H526" s="547"/>
      <c r="I526" s="547">
        <v>0</v>
      </c>
      <c r="J526" s="547"/>
      <c r="K526" s="547"/>
      <c r="L526" s="547"/>
      <c r="M526" s="547"/>
      <c r="N526" s="547"/>
      <c r="O526" s="547"/>
      <c r="P526" s="547"/>
      <c r="Q526" s="547">
        <v>1.0694901205850112E-4</v>
      </c>
      <c r="R526" s="547"/>
      <c r="S526" s="547"/>
      <c r="T526" s="547"/>
      <c r="U526" s="547">
        <v>0</v>
      </c>
      <c r="V526" s="547">
        <v>0</v>
      </c>
      <c r="W526" s="547"/>
      <c r="X526" s="547"/>
      <c r="Y526" s="547">
        <v>0</v>
      </c>
      <c r="Z526" s="547">
        <v>0</v>
      </c>
      <c r="AA526" s="547">
        <v>0</v>
      </c>
      <c r="AB526" s="547">
        <v>3.9516283060780748E-4</v>
      </c>
      <c r="AC526" s="547">
        <v>0</v>
      </c>
      <c r="AD526" s="547"/>
      <c r="AE526" s="547"/>
      <c r="AF526" s="547"/>
      <c r="AG526" s="547">
        <v>2.1424924600334101E-5</v>
      </c>
      <c r="AH526" s="547">
        <v>8.6505339974636645E-5</v>
      </c>
      <c r="AI526" s="548">
        <v>0</v>
      </c>
      <c r="AJ526" s="547"/>
      <c r="AK526" s="41"/>
      <c r="AL526" s="41"/>
      <c r="AM526" s="42"/>
    </row>
    <row r="527" spans="1:40">
      <c r="A527" s="186" t="s">
        <v>610</v>
      </c>
      <c r="B527" s="83">
        <v>0.4</v>
      </c>
      <c r="C527" s="83">
        <v>0.37</v>
      </c>
      <c r="D527" s="232">
        <v>0.57999999999999996</v>
      </c>
      <c r="E527" s="119">
        <v>0.11260474550261856</v>
      </c>
      <c r="F527" s="119"/>
      <c r="G527" s="119"/>
      <c r="H527" s="119"/>
      <c r="I527" s="119"/>
      <c r="J527" s="119"/>
      <c r="K527" s="119"/>
      <c r="L527" s="119"/>
      <c r="M527" s="119"/>
      <c r="N527" s="119"/>
      <c r="O527" s="119"/>
      <c r="P527" s="119"/>
      <c r="Q527" s="119"/>
      <c r="R527" s="119"/>
      <c r="S527" s="119"/>
      <c r="T527" s="119"/>
      <c r="U527" s="119"/>
      <c r="V527" s="119"/>
      <c r="W527" s="119"/>
      <c r="X527" s="119"/>
      <c r="Y527" s="119"/>
      <c r="Z527" s="119"/>
      <c r="AA527" s="119"/>
      <c r="AB527" s="119"/>
      <c r="AC527" s="119"/>
      <c r="AD527" s="119"/>
      <c r="AE527" s="119"/>
      <c r="AF527" s="119"/>
      <c r="AG527" s="119"/>
      <c r="AH527" s="119"/>
      <c r="AI527" s="60"/>
      <c r="AJ527" s="543">
        <v>7.378212044918675E-2</v>
      </c>
      <c r="AK527" s="41"/>
      <c r="AL527" s="41"/>
      <c r="AM527" s="42"/>
    </row>
    <row r="528" spans="1:40" s="7" customFormat="1">
      <c r="A528" s="538" t="s">
        <v>190</v>
      </c>
      <c r="B528" s="3" t="s">
        <v>192</v>
      </c>
      <c r="C528" s="3" t="s">
        <v>192</v>
      </c>
      <c r="D528" s="540" t="s">
        <v>192</v>
      </c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2"/>
      <c r="AJ528" s="543"/>
      <c r="AK528" s="524"/>
      <c r="AL528" s="524"/>
      <c r="AM528" s="42"/>
      <c r="AN528" s="6"/>
    </row>
    <row r="529" spans="1:40" s="7" customFormat="1">
      <c r="A529" s="253" t="s">
        <v>606</v>
      </c>
      <c r="B529" s="83">
        <v>0.5</v>
      </c>
      <c r="C529" s="83">
        <v>0.48</v>
      </c>
      <c r="D529" s="232">
        <v>0.45</v>
      </c>
      <c r="E529" s="534"/>
      <c r="F529" s="534"/>
      <c r="G529" s="534"/>
      <c r="H529" s="534"/>
      <c r="I529" s="534"/>
      <c r="J529" s="534"/>
      <c r="K529" s="534"/>
      <c r="L529" s="534"/>
      <c r="M529" s="534"/>
      <c r="N529" s="534"/>
      <c r="O529" s="534"/>
      <c r="P529" s="116"/>
      <c r="Q529" s="534"/>
      <c r="R529" s="116"/>
      <c r="S529" s="534"/>
      <c r="T529" s="534"/>
      <c r="U529" s="534"/>
      <c r="V529" s="534"/>
      <c r="W529" s="534"/>
      <c r="X529" s="534"/>
      <c r="Y529" s="534"/>
      <c r="Z529" s="534"/>
      <c r="AA529" s="534"/>
      <c r="AB529" s="534"/>
      <c r="AC529" s="534"/>
      <c r="AD529" s="534"/>
      <c r="AE529" s="534"/>
      <c r="AF529" s="534"/>
      <c r="AG529" s="534"/>
      <c r="AH529" s="534"/>
      <c r="AI529" s="535"/>
      <c r="AJ529" s="534"/>
      <c r="AK529" s="524"/>
      <c r="AL529" s="524"/>
      <c r="AM529" s="42"/>
      <c r="AN529" s="6"/>
    </row>
    <row r="530" spans="1:40" s="7" customFormat="1">
      <c r="A530" s="253" t="s">
        <v>608</v>
      </c>
      <c r="B530" s="83">
        <v>0.5</v>
      </c>
      <c r="C530" s="83">
        <v>0.48</v>
      </c>
      <c r="D530" s="232">
        <v>0.45</v>
      </c>
      <c r="E530" s="547">
        <v>0</v>
      </c>
      <c r="F530" s="547"/>
      <c r="G530" s="547"/>
      <c r="H530" s="547"/>
      <c r="I530" s="547"/>
      <c r="J530" s="547"/>
      <c r="K530" s="547"/>
      <c r="L530" s="547"/>
      <c r="M530" s="547"/>
      <c r="N530" s="547"/>
      <c r="O530" s="547"/>
      <c r="P530" s="210"/>
      <c r="Q530" s="547"/>
      <c r="R530" s="210"/>
      <c r="S530" s="547"/>
      <c r="T530" s="547"/>
      <c r="U530" s="547"/>
      <c r="V530" s="547"/>
      <c r="W530" s="547"/>
      <c r="X530" s="547"/>
      <c r="Y530" s="547"/>
      <c r="Z530" s="547"/>
      <c r="AA530" s="547"/>
      <c r="AB530" s="547"/>
      <c r="AC530" s="547"/>
      <c r="AD530" s="547"/>
      <c r="AE530" s="547"/>
      <c r="AF530" s="547"/>
      <c r="AG530" s="547"/>
      <c r="AH530" s="547"/>
      <c r="AI530" s="548"/>
      <c r="AJ530" s="547">
        <v>4.9954042281101387E-5</v>
      </c>
      <c r="AK530" s="41"/>
      <c r="AL530" s="524"/>
      <c r="AM530" s="42"/>
      <c r="AN530" s="6"/>
    </row>
    <row r="531" spans="1:40" s="7" customFormat="1">
      <c r="A531" s="386" t="s">
        <v>59</v>
      </c>
      <c r="B531" s="90">
        <v>0.5</v>
      </c>
      <c r="C531" s="90">
        <v>0.48</v>
      </c>
      <c r="D531" s="233">
        <v>0.45</v>
      </c>
      <c r="E531" s="541">
        <v>0.25350868572145779</v>
      </c>
      <c r="F531" s="119"/>
      <c r="G531" s="541"/>
      <c r="H531" s="541">
        <v>4.5274592103157991E-2</v>
      </c>
      <c r="I531" s="541">
        <v>3.4478852149756431E-3</v>
      </c>
      <c r="J531" s="541"/>
      <c r="K531" s="541"/>
      <c r="L531" s="541">
        <v>1.1589276056555667E-2</v>
      </c>
      <c r="M531" s="541">
        <v>4.1131233563086587E-2</v>
      </c>
      <c r="N531" s="541">
        <v>0.33720878428400552</v>
      </c>
      <c r="O531" s="541"/>
      <c r="P531" s="525"/>
      <c r="Q531" s="541">
        <v>5.4330098125718568E-2</v>
      </c>
      <c r="R531" s="525"/>
      <c r="S531" s="541">
        <v>6.921620667684282E-2</v>
      </c>
      <c r="T531" s="541">
        <v>7.1101696317378005E-2</v>
      </c>
      <c r="U531" s="541">
        <v>1.187165049860932E-2</v>
      </c>
      <c r="V531" s="541">
        <v>0.22123893805309736</v>
      </c>
      <c r="W531" s="541"/>
      <c r="X531" s="541">
        <v>0.63228229057374785</v>
      </c>
      <c r="Y531" s="541">
        <v>8.6976002530210983E-2</v>
      </c>
      <c r="Z531" s="541">
        <v>0.22996742705745665</v>
      </c>
      <c r="AA531" s="541">
        <v>0.73041320717708635</v>
      </c>
      <c r="AB531" s="541">
        <v>1.4583390177192894E-2</v>
      </c>
      <c r="AC531" s="541">
        <v>3.5691655598792858E-2</v>
      </c>
      <c r="AD531" s="541">
        <v>7.7797136437982818E-3</v>
      </c>
      <c r="AE531" s="541"/>
      <c r="AF531" s="541"/>
      <c r="AG531" s="541">
        <v>7.807242524361746E-2</v>
      </c>
      <c r="AH531" s="541">
        <v>0.34135007153991614</v>
      </c>
      <c r="AI531" s="549">
        <v>0.41215868109222054</v>
      </c>
      <c r="AJ531" s="541">
        <v>9.0217000359669106E-2</v>
      </c>
      <c r="AK531" s="524"/>
      <c r="AL531" s="524"/>
      <c r="AM531" s="42"/>
      <c r="AN531" s="6"/>
    </row>
    <row r="532" spans="1:40">
      <c r="A532" s="27" t="s">
        <v>56</v>
      </c>
      <c r="B532" s="41"/>
      <c r="C532" s="41"/>
      <c r="D532" s="41"/>
      <c r="E532" s="357"/>
      <c r="F532" s="544"/>
      <c r="G532" s="544"/>
      <c r="H532" s="544"/>
      <c r="I532" s="544"/>
      <c r="J532" s="544"/>
      <c r="K532" s="544"/>
      <c r="L532" s="544"/>
      <c r="M532" s="544"/>
      <c r="N532" s="544"/>
      <c r="O532" s="544"/>
      <c r="P532" s="544"/>
      <c r="Q532" s="544"/>
      <c r="R532" s="544"/>
      <c r="S532" s="544"/>
      <c r="T532" s="544"/>
      <c r="U532" s="544"/>
      <c r="V532" s="544"/>
      <c r="W532" s="544"/>
      <c r="X532" s="544"/>
      <c r="Y532" s="544"/>
      <c r="Z532" s="544"/>
      <c r="AA532" s="544"/>
      <c r="AB532" s="544"/>
      <c r="AC532" s="544"/>
      <c r="AD532" s="544"/>
      <c r="AE532" s="544"/>
      <c r="AF532" s="544"/>
      <c r="AG532" s="544"/>
      <c r="AH532" s="544"/>
      <c r="AI532" s="544"/>
      <c r="AJ532" s="544"/>
      <c r="AK532" s="524"/>
      <c r="AL532" s="50"/>
      <c r="AM532" s="42"/>
    </row>
    <row r="533" spans="1:40">
      <c r="A533" s="2"/>
      <c r="B533" s="5"/>
      <c r="C533" s="5"/>
      <c r="D533" s="373" t="s">
        <v>42</v>
      </c>
      <c r="E533" s="375">
        <v>2012</v>
      </c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37"/>
      <c r="AH533" s="41"/>
      <c r="AI533" s="41"/>
      <c r="AJ533" s="41"/>
      <c r="AK533" s="524"/>
      <c r="AL533" s="41"/>
      <c r="AM533" s="42"/>
    </row>
    <row r="534" spans="1:40">
      <c r="A534" s="2"/>
      <c r="B534" s="5"/>
      <c r="C534" s="5"/>
      <c r="D534" s="373" t="s">
        <v>1</v>
      </c>
      <c r="E534" s="376" t="s">
        <v>49</v>
      </c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37"/>
      <c r="AH534" s="41"/>
      <c r="AI534" s="41"/>
      <c r="AJ534" s="41"/>
      <c r="AK534" s="524"/>
      <c r="AL534" s="41"/>
      <c r="AM534" s="42"/>
    </row>
    <row r="535" spans="1:40">
      <c r="A535" s="2"/>
      <c r="B535" s="5"/>
      <c r="C535" s="5"/>
      <c r="D535" s="373" t="s">
        <v>42</v>
      </c>
      <c r="E535" s="375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37"/>
      <c r="AH535" s="41"/>
      <c r="AI535" s="41"/>
      <c r="AJ535" s="41"/>
      <c r="AK535" s="41"/>
      <c r="AL535" s="41"/>
      <c r="AM535" s="42"/>
    </row>
    <row r="536" spans="1:40">
      <c r="A536" s="2"/>
      <c r="B536" s="5"/>
      <c r="C536" s="5"/>
      <c r="D536" s="374"/>
      <c r="E536" s="376" t="s">
        <v>58</v>
      </c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37"/>
      <c r="AH536" s="41"/>
      <c r="AI536" s="41"/>
      <c r="AJ536" s="41"/>
      <c r="AK536" s="41"/>
      <c r="AL536" s="41"/>
      <c r="AM536" s="42"/>
    </row>
    <row r="537" spans="1:40">
      <c r="A537" s="2"/>
      <c r="B537" s="5"/>
      <c r="C537" s="5"/>
      <c r="D537" s="371" t="s">
        <v>42</v>
      </c>
      <c r="E537" s="370">
        <v>2021</v>
      </c>
      <c r="F537" s="521"/>
      <c r="G537" s="521"/>
      <c r="H537" s="521"/>
      <c r="I537" s="521"/>
      <c r="J537" s="52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37"/>
      <c r="AH537" s="41"/>
      <c r="AI537" s="41"/>
      <c r="AJ537" s="41"/>
      <c r="AK537" s="41"/>
      <c r="AL537" s="41"/>
      <c r="AM537" s="42"/>
    </row>
    <row r="538" spans="1:40">
      <c r="A538" s="2"/>
      <c r="B538" s="5"/>
      <c r="C538" s="5"/>
      <c r="D538" s="37"/>
      <c r="E538" s="372" t="s">
        <v>613</v>
      </c>
      <c r="F538" s="2"/>
      <c r="G538" s="521"/>
      <c r="H538" s="521"/>
      <c r="I538" s="521"/>
      <c r="J538" s="52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37"/>
      <c r="AH538" s="41"/>
      <c r="AI538" s="41"/>
      <c r="AJ538" s="41"/>
      <c r="AK538" s="41"/>
      <c r="AL538" s="41"/>
      <c r="AM538" s="42"/>
    </row>
    <row r="539" spans="1:40">
      <c r="A539" s="2"/>
      <c r="B539" s="5"/>
      <c r="C539" s="5"/>
      <c r="D539" s="373" t="s">
        <v>42</v>
      </c>
      <c r="E539" s="375">
        <v>2021</v>
      </c>
      <c r="F539" s="2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37"/>
      <c r="AH539" s="41"/>
      <c r="AI539" s="41"/>
      <c r="AJ539" s="41"/>
      <c r="AK539" s="41"/>
      <c r="AL539" s="41"/>
      <c r="AM539" s="42"/>
    </row>
    <row r="540" spans="1:40">
      <c r="A540" s="2"/>
      <c r="B540" s="5"/>
      <c r="C540" s="5"/>
      <c r="D540" s="374"/>
      <c r="E540" s="376" t="s">
        <v>71</v>
      </c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37"/>
      <c r="AH540" s="41"/>
      <c r="AI540" s="41"/>
      <c r="AJ540" s="41"/>
      <c r="AK540" s="41"/>
      <c r="AL540" s="41"/>
      <c r="AM540" s="42"/>
    </row>
    <row r="541" spans="1:40" s="7" customFormat="1">
      <c r="A541" s="27"/>
      <c r="B541" s="49"/>
      <c r="C541" s="41"/>
      <c r="D541" s="41"/>
      <c r="E541" s="352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37"/>
      <c r="AH541" s="41"/>
      <c r="AI541" s="41"/>
      <c r="AJ541" s="41"/>
      <c r="AK541" s="41"/>
      <c r="AL541" s="41"/>
      <c r="AM541" s="42"/>
      <c r="AN541" s="6"/>
    </row>
    <row r="542" spans="1:40" s="7" customFormat="1">
      <c r="A542" s="27"/>
      <c r="B542" s="49"/>
      <c r="C542" s="642"/>
      <c r="D542" s="642"/>
      <c r="E542" s="352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37"/>
      <c r="AH542" s="41"/>
      <c r="AI542" s="41"/>
      <c r="AJ542" s="41"/>
      <c r="AK542" s="41"/>
      <c r="AL542" s="41"/>
      <c r="AM542" s="42"/>
      <c r="AN542" s="6"/>
    </row>
    <row r="543" spans="1:40" s="7" customFormat="1">
      <c r="A543" s="27"/>
      <c r="B543" s="49"/>
      <c r="C543" s="642"/>
      <c r="D543" s="642"/>
      <c r="E543" s="352"/>
      <c r="F543" s="642"/>
      <c r="G543" s="642"/>
      <c r="H543" s="642"/>
      <c r="I543" s="642"/>
      <c r="J543" s="642"/>
      <c r="K543" s="642"/>
      <c r="L543" s="642"/>
      <c r="M543" s="642"/>
      <c r="N543" s="642"/>
      <c r="O543" s="642"/>
      <c r="P543" s="642"/>
      <c r="Q543" s="642"/>
      <c r="R543" s="642"/>
      <c r="S543" s="642"/>
      <c r="T543" s="642"/>
      <c r="U543" s="642"/>
      <c r="V543" s="642"/>
      <c r="W543" s="642"/>
      <c r="X543" s="642"/>
      <c r="Y543" s="642"/>
      <c r="Z543" s="642"/>
      <c r="AA543" s="642"/>
      <c r="AB543" s="642"/>
      <c r="AC543" s="642"/>
      <c r="AD543" s="642"/>
      <c r="AE543" s="642"/>
      <c r="AF543" s="642"/>
      <c r="AG543" s="37"/>
      <c r="AH543" s="642"/>
      <c r="AI543" s="642"/>
      <c r="AJ543" s="642"/>
      <c r="AK543" s="41"/>
      <c r="AL543" s="41"/>
      <c r="AM543" s="42"/>
      <c r="AN543" s="6"/>
    </row>
    <row r="544" spans="1:40" s="7" customFormat="1">
      <c r="A544" s="27"/>
      <c r="B544" s="49"/>
      <c r="C544" s="642"/>
      <c r="D544" s="642"/>
      <c r="E544" s="352"/>
      <c r="F544" s="642"/>
      <c r="G544" s="642"/>
      <c r="H544" s="642"/>
      <c r="I544" s="642"/>
      <c r="J544" s="642"/>
      <c r="K544" s="642"/>
      <c r="L544" s="642"/>
      <c r="M544" s="642"/>
      <c r="N544" s="642"/>
      <c r="O544" s="642"/>
      <c r="P544" s="642"/>
      <c r="Q544" s="642"/>
      <c r="R544" s="642"/>
      <c r="S544" s="642"/>
      <c r="T544" s="642"/>
      <c r="U544" s="642"/>
      <c r="V544" s="642"/>
      <c r="W544" s="642"/>
      <c r="X544" s="642"/>
      <c r="Y544" s="642"/>
      <c r="Z544" s="642"/>
      <c r="AA544" s="642"/>
      <c r="AB544" s="642"/>
      <c r="AC544" s="642"/>
      <c r="AD544" s="642"/>
      <c r="AE544" s="642"/>
      <c r="AF544" s="642"/>
      <c r="AG544" s="37"/>
      <c r="AH544" s="642"/>
      <c r="AI544" s="642"/>
      <c r="AJ544" s="642"/>
      <c r="AK544" s="41"/>
      <c r="AL544" s="41"/>
      <c r="AM544" s="42"/>
      <c r="AN544" s="6"/>
    </row>
    <row r="545" spans="1:40" s="7" customFormat="1">
      <c r="A545" s="27"/>
      <c r="B545" s="49"/>
      <c r="C545" s="642"/>
      <c r="D545" s="642"/>
      <c r="E545" s="352"/>
      <c r="F545" s="642"/>
      <c r="G545" s="642"/>
      <c r="H545" s="642"/>
      <c r="I545" s="642"/>
      <c r="J545" s="642"/>
      <c r="K545" s="642"/>
      <c r="L545" s="642"/>
      <c r="M545" s="642"/>
      <c r="N545" s="642"/>
      <c r="O545" s="642"/>
      <c r="P545" s="642"/>
      <c r="Q545" s="642"/>
      <c r="R545" s="642"/>
      <c r="S545" s="642"/>
      <c r="T545" s="642"/>
      <c r="U545" s="642"/>
      <c r="V545" s="642"/>
      <c r="W545" s="642"/>
      <c r="X545" s="642"/>
      <c r="Y545" s="642"/>
      <c r="Z545" s="642"/>
      <c r="AA545" s="642"/>
      <c r="AB545" s="642"/>
      <c r="AC545" s="642"/>
      <c r="AD545" s="642"/>
      <c r="AE545" s="642"/>
      <c r="AF545" s="642"/>
      <c r="AG545" s="37"/>
      <c r="AH545" s="642"/>
      <c r="AI545" s="642"/>
      <c r="AJ545" s="642"/>
      <c r="AK545" s="41"/>
      <c r="AL545" s="41"/>
      <c r="AM545" s="42"/>
      <c r="AN545" s="6"/>
    </row>
    <row r="546" spans="1:40" s="7" customFormat="1">
      <c r="A546" s="27"/>
      <c r="B546" s="49"/>
      <c r="C546" s="642"/>
      <c r="D546" s="642"/>
      <c r="E546" s="352"/>
      <c r="F546" s="642"/>
      <c r="G546" s="642"/>
      <c r="H546" s="642"/>
      <c r="I546" s="642"/>
      <c r="J546" s="642"/>
      <c r="K546" s="642"/>
      <c r="L546" s="642"/>
      <c r="M546" s="642"/>
      <c r="N546" s="642"/>
      <c r="O546" s="642"/>
      <c r="P546" s="642"/>
      <c r="Q546" s="642"/>
      <c r="R546" s="642"/>
      <c r="S546" s="642"/>
      <c r="T546" s="642"/>
      <c r="U546" s="642"/>
      <c r="V546" s="642"/>
      <c r="W546" s="642"/>
      <c r="X546" s="642"/>
      <c r="Y546" s="642"/>
      <c r="Z546" s="642"/>
      <c r="AA546" s="642"/>
      <c r="AB546" s="642"/>
      <c r="AC546" s="642"/>
      <c r="AD546" s="642"/>
      <c r="AE546" s="642"/>
      <c r="AF546" s="642"/>
      <c r="AG546" s="37"/>
      <c r="AH546" s="642"/>
      <c r="AI546" s="642"/>
      <c r="AJ546" s="642"/>
      <c r="AK546" s="41"/>
      <c r="AL546" s="41"/>
      <c r="AM546" s="42"/>
      <c r="AN546" s="6"/>
    </row>
    <row r="547" spans="1:40" s="7" customFormat="1">
      <c r="A547" s="27"/>
      <c r="B547" s="49"/>
      <c r="C547" s="642"/>
      <c r="D547" s="642"/>
      <c r="E547" s="352"/>
      <c r="F547" s="642"/>
      <c r="G547" s="642"/>
      <c r="H547" s="642"/>
      <c r="I547" s="642"/>
      <c r="J547" s="642"/>
      <c r="K547" s="642"/>
      <c r="L547" s="642"/>
      <c r="M547" s="642"/>
      <c r="N547" s="642"/>
      <c r="O547" s="642"/>
      <c r="P547" s="642"/>
      <c r="Q547" s="642"/>
      <c r="R547" s="642"/>
      <c r="S547" s="642"/>
      <c r="T547" s="642"/>
      <c r="U547" s="642"/>
      <c r="V547" s="642"/>
      <c r="W547" s="642"/>
      <c r="X547" s="642"/>
      <c r="Y547" s="642"/>
      <c r="Z547" s="642"/>
      <c r="AA547" s="642"/>
      <c r="AB547" s="642"/>
      <c r="AC547" s="642"/>
      <c r="AD547" s="642"/>
      <c r="AE547" s="642"/>
      <c r="AF547" s="642"/>
      <c r="AG547" s="37"/>
      <c r="AH547" s="642"/>
      <c r="AI547" s="642"/>
      <c r="AJ547" s="642"/>
      <c r="AK547" s="41"/>
      <c r="AL547" s="41"/>
      <c r="AM547" s="42"/>
      <c r="AN547" s="6"/>
    </row>
    <row r="548" spans="1:40" s="7" customFormat="1">
      <c r="A548" s="27"/>
      <c r="B548" s="49"/>
      <c r="C548" s="642"/>
      <c r="D548" s="642"/>
      <c r="E548" s="352"/>
      <c r="F548" s="642"/>
      <c r="G548" s="642"/>
      <c r="H548" s="642"/>
      <c r="I548" s="642"/>
      <c r="J548" s="642"/>
      <c r="K548" s="642"/>
      <c r="L548" s="642"/>
      <c r="M548" s="642"/>
      <c r="N548" s="642"/>
      <c r="O548" s="642"/>
      <c r="P548" s="642"/>
      <c r="Q548" s="642"/>
      <c r="R548" s="642"/>
      <c r="S548" s="642"/>
      <c r="T548" s="642"/>
      <c r="U548" s="642"/>
      <c r="V548" s="642"/>
      <c r="W548" s="642"/>
      <c r="X548" s="642"/>
      <c r="Y548" s="642"/>
      <c r="Z548" s="642"/>
      <c r="AA548" s="642"/>
      <c r="AB548" s="642"/>
      <c r="AC548" s="642"/>
      <c r="AD548" s="642"/>
      <c r="AE548" s="642"/>
      <c r="AF548" s="642"/>
      <c r="AG548" s="37"/>
      <c r="AH548" s="642"/>
      <c r="AI548" s="642"/>
      <c r="AJ548" s="642"/>
      <c r="AK548" s="41"/>
      <c r="AL548" s="41"/>
      <c r="AM548" s="42"/>
      <c r="AN548" s="6"/>
    </row>
    <row r="549" spans="1:40" s="7" customFormat="1">
      <c r="A549" s="27"/>
      <c r="B549" s="49"/>
      <c r="C549" s="642"/>
      <c r="D549" s="642"/>
      <c r="E549" s="352"/>
      <c r="F549" s="642"/>
      <c r="G549" s="642"/>
      <c r="H549" s="642"/>
      <c r="I549" s="642"/>
      <c r="J549" s="642"/>
      <c r="K549" s="642"/>
      <c r="L549" s="642"/>
      <c r="M549" s="642"/>
      <c r="N549" s="642"/>
      <c r="O549" s="642"/>
      <c r="P549" s="642"/>
      <c r="Q549" s="642"/>
      <c r="R549" s="642"/>
      <c r="S549" s="642"/>
      <c r="T549" s="642"/>
      <c r="U549" s="642"/>
      <c r="V549" s="642"/>
      <c r="W549" s="642"/>
      <c r="X549" s="642"/>
      <c r="Y549" s="642"/>
      <c r="Z549" s="642"/>
      <c r="AA549" s="642"/>
      <c r="AB549" s="642"/>
      <c r="AC549" s="642"/>
      <c r="AD549" s="642"/>
      <c r="AE549" s="642"/>
      <c r="AF549" s="642"/>
      <c r="AG549" s="37"/>
      <c r="AH549" s="642"/>
      <c r="AI549" s="642"/>
      <c r="AJ549" s="642"/>
      <c r="AK549" s="41"/>
      <c r="AL549" s="41"/>
      <c r="AM549" s="42"/>
      <c r="AN549" s="6"/>
    </row>
    <row r="550" spans="1:40" s="7" customFormat="1">
      <c r="A550" s="27"/>
      <c r="B550" s="49"/>
      <c r="C550" s="642"/>
      <c r="D550" s="642"/>
      <c r="E550" s="352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2"/>
      <c r="AH550" s="5"/>
      <c r="AI550" s="5"/>
      <c r="AJ550" s="5"/>
      <c r="AK550" s="5"/>
      <c r="AL550" s="5"/>
      <c r="AM550" s="12"/>
      <c r="AN550" s="6"/>
    </row>
    <row r="551" spans="1:40" ht="15.75" thickBot="1">
      <c r="A551" s="55"/>
      <c r="B551" s="52"/>
      <c r="C551" s="52"/>
      <c r="D551" s="56"/>
      <c r="E551" s="319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1"/>
      <c r="AH551" s="52"/>
      <c r="AI551" s="52"/>
      <c r="AJ551" s="52"/>
      <c r="AK551" s="52"/>
      <c r="AL551" s="52"/>
      <c r="AM551" s="53"/>
    </row>
    <row r="552" spans="1:40" ht="15.75" thickBot="1">
      <c r="A552" s="7"/>
      <c r="AG552" s="7"/>
    </row>
    <row r="553" spans="1:40" ht="19.5" thickBot="1">
      <c r="A553" s="766" t="s">
        <v>501</v>
      </c>
      <c r="B553" s="767"/>
      <c r="C553" s="767"/>
      <c r="D553" s="767"/>
      <c r="E553" s="767"/>
      <c r="F553" s="767"/>
      <c r="G553" s="767"/>
      <c r="H553" s="767"/>
      <c r="I553" s="767"/>
      <c r="J553" s="767"/>
      <c r="K553" s="767"/>
      <c r="L553" s="767"/>
      <c r="M553" s="767"/>
      <c r="N553" s="767"/>
      <c r="O553" s="767"/>
      <c r="P553" s="767"/>
      <c r="Q553" s="767"/>
      <c r="R553" s="767"/>
      <c r="S553" s="767"/>
      <c r="T553" s="767"/>
      <c r="U553" s="767"/>
      <c r="V553" s="767"/>
      <c r="W553" s="767"/>
      <c r="X553" s="767"/>
      <c r="Y553" s="767"/>
      <c r="Z553" s="767"/>
      <c r="AA553" s="767"/>
      <c r="AB553" s="767"/>
      <c r="AC553" s="767"/>
      <c r="AD553" s="767"/>
      <c r="AE553" s="767"/>
      <c r="AF553" s="767"/>
      <c r="AG553" s="767"/>
      <c r="AH553" s="767"/>
      <c r="AI553" s="767"/>
      <c r="AJ553" s="767"/>
      <c r="AK553" s="767"/>
      <c r="AL553" s="767"/>
      <c r="AM553" s="768"/>
    </row>
    <row r="554" spans="1:40">
      <c r="A554" s="1"/>
      <c r="B554" s="25"/>
      <c r="C554" s="65"/>
      <c r="D554" s="25"/>
      <c r="E554" s="350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58"/>
      <c r="AH554" s="25"/>
      <c r="AI554" s="25"/>
      <c r="AJ554" s="25"/>
      <c r="AK554" s="25"/>
      <c r="AL554" s="25"/>
      <c r="AM554" s="26"/>
    </row>
    <row r="555" spans="1:40" s="7" customFormat="1">
      <c r="A555" s="128" t="s">
        <v>773</v>
      </c>
      <c r="B555" s="741"/>
      <c r="C555" s="135"/>
      <c r="D555" s="77"/>
      <c r="E555" s="313" t="s">
        <v>4</v>
      </c>
      <c r="F555" s="741" t="s">
        <v>5</v>
      </c>
      <c r="G555" s="741" t="s">
        <v>6</v>
      </c>
      <c r="H555" s="741" t="s">
        <v>15</v>
      </c>
      <c r="I555" s="741" t="s">
        <v>7</v>
      </c>
      <c r="J555" s="741" t="s">
        <v>8</v>
      </c>
      <c r="K555" s="741" t="s">
        <v>9</v>
      </c>
      <c r="L555" s="741" t="s">
        <v>10</v>
      </c>
      <c r="M555" s="741" t="s">
        <v>2</v>
      </c>
      <c r="N555" s="741" t="s">
        <v>12</v>
      </c>
      <c r="O555" s="741" t="s">
        <v>30</v>
      </c>
      <c r="P555" s="741" t="s">
        <v>13</v>
      </c>
      <c r="Q555" s="741" t="s">
        <v>14</v>
      </c>
      <c r="R555" s="741" t="s">
        <v>45</v>
      </c>
      <c r="S555" s="741" t="s">
        <v>16</v>
      </c>
      <c r="T555" s="741" t="s">
        <v>17</v>
      </c>
      <c r="U555" s="741" t="s">
        <v>20</v>
      </c>
      <c r="V555" s="741" t="s">
        <v>154</v>
      </c>
      <c r="W555" s="741" t="s">
        <v>18</v>
      </c>
      <c r="X555" s="741" t="s">
        <v>19</v>
      </c>
      <c r="Y555" s="741" t="s">
        <v>21</v>
      </c>
      <c r="Z555" s="741" t="s">
        <v>22</v>
      </c>
      <c r="AA555" s="741" t="s">
        <v>29</v>
      </c>
      <c r="AB555" s="741" t="s">
        <v>23</v>
      </c>
      <c r="AC555" s="741" t="s">
        <v>24</v>
      </c>
      <c r="AD555" s="741" t="s">
        <v>25</v>
      </c>
      <c r="AE555" s="741" t="s">
        <v>28</v>
      </c>
      <c r="AF555" s="741" t="s">
        <v>27</v>
      </c>
      <c r="AG555" s="72" t="s">
        <v>11</v>
      </c>
      <c r="AH555" s="741" t="s">
        <v>26</v>
      </c>
      <c r="AI555" s="741" t="s">
        <v>46</v>
      </c>
      <c r="AJ555" s="741" t="s">
        <v>31</v>
      </c>
      <c r="AK555" s="740"/>
      <c r="AL555" s="740"/>
      <c r="AM555" s="42"/>
      <c r="AN555" s="6"/>
    </row>
    <row r="556" spans="1:40" s="7" customFormat="1">
      <c r="A556" s="43" t="s">
        <v>672</v>
      </c>
      <c r="B556" s="740"/>
      <c r="C556" s="106"/>
      <c r="D556" s="740">
        <v>2021</v>
      </c>
      <c r="E556" s="676">
        <v>67.01820894986399</v>
      </c>
      <c r="F556" s="641">
        <v>329.36621248830602</v>
      </c>
      <c r="G556" s="641">
        <v>534.82408141136398</v>
      </c>
      <c r="H556" s="641">
        <v>75.466505102040003</v>
      </c>
      <c r="I556" s="641">
        <v>0</v>
      </c>
      <c r="J556" s="641">
        <v>0</v>
      </c>
      <c r="K556" s="641">
        <v>0</v>
      </c>
      <c r="L556" s="641">
        <v>0</v>
      </c>
      <c r="M556" s="641">
        <v>6.1880063921639996</v>
      </c>
      <c r="N556" s="641">
        <v>424.11928841143197</v>
      </c>
      <c r="O556" s="641">
        <v>2479.3196602536004</v>
      </c>
      <c r="P556" s="641">
        <v>0</v>
      </c>
      <c r="Q556" s="641">
        <v>175.606810808364</v>
      </c>
      <c r="R556" s="655"/>
      <c r="S556" s="641">
        <v>0</v>
      </c>
      <c r="T556" s="655"/>
      <c r="U556" s="641">
        <v>0</v>
      </c>
      <c r="V556" s="641">
        <v>0</v>
      </c>
      <c r="W556" s="641">
        <v>0</v>
      </c>
      <c r="X556" s="641">
        <v>49.796365477859993</v>
      </c>
      <c r="Y556" s="655"/>
      <c r="Z556" s="641">
        <v>3188.578207283595</v>
      </c>
      <c r="AA556" s="655"/>
      <c r="AB556" s="641">
        <v>0</v>
      </c>
      <c r="AC556" s="641">
        <v>0</v>
      </c>
      <c r="AD556" s="641">
        <v>1215.3298076554138</v>
      </c>
      <c r="AE556" s="641">
        <v>154.40372836016402</v>
      </c>
      <c r="AF556" s="641">
        <v>0</v>
      </c>
      <c r="AG556" s="686"/>
      <c r="AH556" s="641">
        <v>3.2123699184869996</v>
      </c>
      <c r="AI556" s="655"/>
      <c r="AJ556" s="641">
        <v>20.409510770162999</v>
      </c>
      <c r="AK556" s="740"/>
      <c r="AL556" s="740"/>
      <c r="AM556" s="42"/>
      <c r="AN556" s="6"/>
    </row>
    <row r="557" spans="1:40" s="7" customFormat="1">
      <c r="A557" s="43"/>
      <c r="B557" s="740"/>
      <c r="C557" s="106"/>
      <c r="D557" s="28" t="s">
        <v>421</v>
      </c>
      <c r="E557" s="352"/>
      <c r="F557" s="740"/>
      <c r="G557" s="740"/>
      <c r="H557" s="740"/>
      <c r="I557" s="740"/>
      <c r="J557" s="740"/>
      <c r="K557" s="740"/>
      <c r="L557" s="740"/>
      <c r="M557" s="740"/>
      <c r="N557" s="740"/>
      <c r="O557" s="740"/>
      <c r="P557" s="740"/>
      <c r="Q557" s="740"/>
      <c r="R557" s="740"/>
      <c r="S557" s="740"/>
      <c r="T557" s="740"/>
      <c r="U557" s="740"/>
      <c r="V557" s="740"/>
      <c r="W557" s="740"/>
      <c r="X557" s="740"/>
      <c r="Y557" s="740"/>
      <c r="Z557" s="740"/>
      <c r="AA557" s="740"/>
      <c r="AB557" s="740"/>
      <c r="AC557" s="740"/>
      <c r="AD557" s="740"/>
      <c r="AE557" s="740"/>
      <c r="AF557" s="740"/>
      <c r="AG557" s="37"/>
      <c r="AH557" s="740"/>
      <c r="AI557" s="740"/>
      <c r="AJ557" s="740"/>
      <c r="AK557" s="740"/>
      <c r="AL557" s="740"/>
      <c r="AM557" s="42"/>
      <c r="AN557" s="6"/>
    </row>
    <row r="558" spans="1:40" s="7" customFormat="1">
      <c r="A558" s="43"/>
      <c r="B558" s="740"/>
      <c r="C558" s="106"/>
      <c r="D558" s="28" t="s">
        <v>42</v>
      </c>
      <c r="E558" s="677">
        <v>2019</v>
      </c>
      <c r="F558" s="740"/>
      <c r="G558" s="740"/>
      <c r="H558" s="740"/>
      <c r="I558" s="740"/>
      <c r="J558" s="740"/>
      <c r="K558" s="740"/>
      <c r="L558" s="740"/>
      <c r="M558" s="740"/>
      <c r="N558" s="740"/>
      <c r="O558" s="740"/>
      <c r="P558" s="740"/>
      <c r="Q558" s="740"/>
      <c r="R558" s="740"/>
      <c r="S558" s="740"/>
      <c r="T558" s="740"/>
      <c r="U558" s="740"/>
      <c r="V558" s="740"/>
      <c r="W558" s="740"/>
      <c r="X558" s="740"/>
      <c r="Y558" s="740"/>
      <c r="Z558" s="740"/>
      <c r="AA558" s="740"/>
      <c r="AB558" s="740"/>
      <c r="AC558" s="740"/>
      <c r="AD558" s="740"/>
      <c r="AE558" s="740"/>
      <c r="AF558" s="740"/>
      <c r="AG558" s="37"/>
      <c r="AH558" s="740"/>
      <c r="AI558" s="740"/>
      <c r="AJ558" s="740"/>
      <c r="AK558" s="740"/>
      <c r="AL558" s="740"/>
      <c r="AM558" s="42"/>
      <c r="AN558" s="6"/>
    </row>
    <row r="559" spans="1:40" s="7" customFormat="1">
      <c r="A559" s="43"/>
      <c r="B559" s="740"/>
      <c r="C559" s="106"/>
      <c r="D559" s="28" t="s">
        <v>1</v>
      </c>
      <c r="E559" s="677" t="s">
        <v>76</v>
      </c>
      <c r="F559" s="740"/>
      <c r="G559" s="740"/>
      <c r="H559" s="740"/>
      <c r="I559" s="740"/>
      <c r="J559" s="740"/>
      <c r="K559" s="740"/>
      <c r="L559" s="740"/>
      <c r="M559" s="740"/>
      <c r="N559" s="740"/>
      <c r="O559" s="740"/>
      <c r="P559" s="740"/>
      <c r="Q559" s="740"/>
      <c r="R559" s="740"/>
      <c r="S559" s="740"/>
      <c r="T559" s="740"/>
      <c r="U559" s="740"/>
      <c r="V559" s="740"/>
      <c r="W559" s="740"/>
      <c r="X559" s="740"/>
      <c r="Y559" s="740"/>
      <c r="Z559" s="740"/>
      <c r="AA559" s="740"/>
      <c r="AB559" s="740"/>
      <c r="AC559" s="740"/>
      <c r="AD559" s="740"/>
      <c r="AE559" s="740"/>
      <c r="AF559" s="740"/>
      <c r="AG559" s="37"/>
      <c r="AH559" s="740"/>
      <c r="AI559" s="740"/>
      <c r="AJ559" s="740"/>
      <c r="AK559" s="740"/>
      <c r="AL559" s="740"/>
      <c r="AM559" s="42"/>
      <c r="AN559" s="6"/>
    </row>
    <row r="560" spans="1:40" s="7" customFormat="1">
      <c r="A560" s="43"/>
      <c r="B560" s="740"/>
      <c r="C560" s="106"/>
      <c r="D560" s="28" t="s">
        <v>673</v>
      </c>
      <c r="E560" s="677"/>
      <c r="F560" s="740"/>
      <c r="G560" s="740"/>
      <c r="H560" s="740"/>
      <c r="I560" s="740"/>
      <c r="J560" s="740"/>
      <c r="K560" s="740"/>
      <c r="L560" s="740"/>
      <c r="M560" s="740"/>
      <c r="N560" s="740"/>
      <c r="O560" s="740"/>
      <c r="P560" s="740"/>
      <c r="Q560" s="740"/>
      <c r="R560" s="740"/>
      <c r="S560" s="740"/>
      <c r="T560" s="740"/>
      <c r="U560" s="740"/>
      <c r="V560" s="740"/>
      <c r="W560" s="740"/>
      <c r="X560" s="740"/>
      <c r="Y560" s="740"/>
      <c r="Z560" s="740"/>
      <c r="AA560" s="740"/>
      <c r="AB560" s="740"/>
      <c r="AC560" s="740"/>
      <c r="AD560" s="740"/>
      <c r="AE560" s="740"/>
      <c r="AF560" s="740"/>
      <c r="AG560" s="37"/>
      <c r="AH560" s="740"/>
      <c r="AI560" s="740"/>
      <c r="AJ560" s="740"/>
      <c r="AK560" s="740"/>
      <c r="AL560" s="740"/>
      <c r="AM560" s="42"/>
      <c r="AN560" s="6"/>
    </row>
    <row r="561" spans="1:40" s="7" customFormat="1">
      <c r="A561" s="43"/>
      <c r="B561" s="740"/>
      <c r="C561" s="106"/>
      <c r="D561" s="28" t="s">
        <v>42</v>
      </c>
      <c r="E561" s="677">
        <v>2015</v>
      </c>
      <c r="F561" s="740"/>
      <c r="G561" s="740"/>
      <c r="H561" s="740"/>
      <c r="I561" s="740"/>
      <c r="J561" s="740"/>
      <c r="K561" s="740"/>
      <c r="L561" s="740"/>
      <c r="M561" s="740"/>
      <c r="N561" s="740"/>
      <c r="O561" s="740"/>
      <c r="P561" s="740"/>
      <c r="Q561" s="740"/>
      <c r="R561" s="740"/>
      <c r="S561" s="740"/>
      <c r="T561" s="740"/>
      <c r="U561" s="740"/>
      <c r="V561" s="740"/>
      <c r="W561" s="740"/>
      <c r="X561" s="740"/>
      <c r="Y561" s="740"/>
      <c r="Z561" s="740"/>
      <c r="AA561" s="740"/>
      <c r="AB561" s="740"/>
      <c r="AC561" s="740"/>
      <c r="AD561" s="740"/>
      <c r="AE561" s="740"/>
      <c r="AF561" s="740"/>
      <c r="AG561" s="37"/>
      <c r="AH561" s="740"/>
      <c r="AI561" s="740"/>
      <c r="AJ561" s="740"/>
      <c r="AK561" s="740"/>
      <c r="AL561" s="740"/>
      <c r="AM561" s="42"/>
      <c r="AN561" s="6"/>
    </row>
    <row r="562" spans="1:40" s="7" customFormat="1">
      <c r="A562" s="43"/>
      <c r="B562" s="740"/>
      <c r="C562" s="106"/>
      <c r="D562" s="28" t="s">
        <v>1</v>
      </c>
      <c r="E562" s="677" t="s">
        <v>130</v>
      </c>
      <c r="F562" s="740"/>
      <c r="G562" s="740"/>
      <c r="H562" s="740"/>
      <c r="I562" s="740"/>
      <c r="J562" s="740"/>
      <c r="K562" s="740"/>
      <c r="L562" s="740"/>
      <c r="M562" s="740"/>
      <c r="N562" s="740"/>
      <c r="O562" s="740"/>
      <c r="P562" s="740"/>
      <c r="Q562" s="740"/>
      <c r="R562" s="740"/>
      <c r="S562" s="740"/>
      <c r="T562" s="740"/>
      <c r="U562" s="740"/>
      <c r="V562" s="740"/>
      <c r="W562" s="740"/>
      <c r="X562" s="740"/>
      <c r="Y562" s="740"/>
      <c r="Z562" s="740"/>
      <c r="AA562" s="740"/>
      <c r="AB562" s="740"/>
      <c r="AC562" s="740"/>
      <c r="AD562" s="740"/>
      <c r="AE562" s="740"/>
      <c r="AF562" s="740"/>
      <c r="AG562" s="37"/>
      <c r="AH562" s="740"/>
      <c r="AI562" s="740"/>
      <c r="AJ562" s="740"/>
      <c r="AK562" s="740"/>
      <c r="AL562" s="740"/>
      <c r="AM562" s="42"/>
      <c r="AN562" s="6"/>
    </row>
    <row r="563" spans="1:40" s="7" customFormat="1">
      <c r="A563" s="43"/>
      <c r="B563" s="740"/>
      <c r="C563" s="106"/>
      <c r="D563" s="28"/>
      <c r="E563" s="677"/>
      <c r="F563" s="740"/>
      <c r="G563" s="740"/>
      <c r="H563" s="740"/>
      <c r="I563" s="740"/>
      <c r="J563" s="740"/>
      <c r="K563" s="740"/>
      <c r="L563" s="740"/>
      <c r="M563" s="740"/>
      <c r="N563" s="740"/>
      <c r="O563" s="740"/>
      <c r="P563" s="740"/>
      <c r="Q563" s="740"/>
      <c r="R563" s="740"/>
      <c r="S563" s="740"/>
      <c r="T563" s="740"/>
      <c r="U563" s="740"/>
      <c r="V563" s="740"/>
      <c r="W563" s="740"/>
      <c r="X563" s="740"/>
      <c r="Y563" s="740"/>
      <c r="Z563" s="740"/>
      <c r="AA563" s="740"/>
      <c r="AB563" s="740"/>
      <c r="AC563" s="740"/>
      <c r="AD563" s="740"/>
      <c r="AE563" s="740"/>
      <c r="AF563" s="740"/>
      <c r="AG563" s="37"/>
      <c r="AH563" s="740"/>
      <c r="AI563" s="740"/>
      <c r="AJ563" s="740"/>
      <c r="AK563" s="740"/>
      <c r="AL563" s="740"/>
      <c r="AM563" s="42"/>
      <c r="AN563" s="6"/>
    </row>
    <row r="564" spans="1:40" s="7" customFormat="1">
      <c r="A564" s="43" t="s">
        <v>502</v>
      </c>
      <c r="B564" s="41"/>
      <c r="C564" s="41"/>
      <c r="D564" s="1"/>
      <c r="E564" s="352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37"/>
      <c r="AH564" s="41"/>
      <c r="AI564" s="41"/>
      <c r="AJ564" s="41"/>
      <c r="AK564" s="740"/>
      <c r="AL564" s="740"/>
      <c r="AM564" s="42"/>
      <c r="AN564" s="6"/>
    </row>
    <row r="565" spans="1:40" s="7" customFormat="1">
      <c r="A565" s="63" t="s">
        <v>153</v>
      </c>
      <c r="B565" s="64"/>
      <c r="C565" s="64"/>
      <c r="D565" s="64" t="s">
        <v>82</v>
      </c>
      <c r="E565" s="313" t="s">
        <v>4</v>
      </c>
      <c r="F565" s="64" t="s">
        <v>5</v>
      </c>
      <c r="G565" s="64" t="s">
        <v>6</v>
      </c>
      <c r="H565" s="64" t="s">
        <v>15</v>
      </c>
      <c r="I565" s="64" t="s">
        <v>7</v>
      </c>
      <c r="J565" s="64" t="s">
        <v>8</v>
      </c>
      <c r="K565" s="64" t="s">
        <v>9</v>
      </c>
      <c r="L565" s="64" t="s">
        <v>10</v>
      </c>
      <c r="M565" s="64" t="s">
        <v>2</v>
      </c>
      <c r="N565" s="64" t="s">
        <v>12</v>
      </c>
      <c r="O565" s="64" t="s">
        <v>30</v>
      </c>
      <c r="P565" s="64" t="s">
        <v>13</v>
      </c>
      <c r="Q565" s="64" t="s">
        <v>14</v>
      </c>
      <c r="R565" s="64" t="s">
        <v>45</v>
      </c>
      <c r="S565" s="64" t="s">
        <v>16</v>
      </c>
      <c r="T565" s="64" t="s">
        <v>17</v>
      </c>
      <c r="U565" s="64" t="s">
        <v>20</v>
      </c>
      <c r="V565" s="194" t="s">
        <v>154</v>
      </c>
      <c r="W565" s="64" t="s">
        <v>18</v>
      </c>
      <c r="X565" s="64" t="s">
        <v>19</v>
      </c>
      <c r="Y565" s="64" t="s">
        <v>21</v>
      </c>
      <c r="Z565" s="64" t="s">
        <v>22</v>
      </c>
      <c r="AA565" s="64" t="s">
        <v>29</v>
      </c>
      <c r="AB565" s="64" t="s">
        <v>23</v>
      </c>
      <c r="AC565" s="64" t="s">
        <v>24</v>
      </c>
      <c r="AD565" s="64" t="s">
        <v>25</v>
      </c>
      <c r="AE565" s="64" t="s">
        <v>28</v>
      </c>
      <c r="AF565" s="64" t="s">
        <v>27</v>
      </c>
      <c r="AG565" s="64" t="s">
        <v>11</v>
      </c>
      <c r="AH565" s="64" t="s">
        <v>26</v>
      </c>
      <c r="AI565" s="64" t="s">
        <v>46</v>
      </c>
      <c r="AJ565" s="194" t="s">
        <v>31</v>
      </c>
      <c r="AK565" s="740"/>
      <c r="AL565" s="740"/>
      <c r="AM565" s="42"/>
      <c r="AN565" s="6"/>
    </row>
    <row r="566" spans="1:40" s="7" customFormat="1">
      <c r="A566" s="101" t="s">
        <v>84</v>
      </c>
      <c r="B566" s="49"/>
      <c r="C566" s="41"/>
      <c r="D566" s="104">
        <v>1.7</v>
      </c>
      <c r="E566" s="357">
        <v>-0.3</v>
      </c>
      <c r="F566" s="41">
        <v>2.2000000000000002</v>
      </c>
      <c r="G566" s="50">
        <v>34.4</v>
      </c>
      <c r="H566" s="41">
        <v>30.9</v>
      </c>
      <c r="I566" s="50">
        <v>0</v>
      </c>
      <c r="J566" s="50">
        <v>-7</v>
      </c>
      <c r="K566" s="50">
        <v>3.6</v>
      </c>
      <c r="L566" s="50">
        <v>-6.9</v>
      </c>
      <c r="M566" s="50">
        <v>3</v>
      </c>
      <c r="N566" s="41">
        <v>4.4000000000000004</v>
      </c>
      <c r="O566" s="41">
        <v>-0.7</v>
      </c>
      <c r="P566" s="41">
        <v>-3.6</v>
      </c>
      <c r="Q566" s="50">
        <v>10.4</v>
      </c>
      <c r="R566" s="104">
        <v>1.7</v>
      </c>
      <c r="S566" s="50">
        <v>-2.5</v>
      </c>
      <c r="T566" s="50">
        <v>2.4</v>
      </c>
      <c r="U566" s="41">
        <v>179.2</v>
      </c>
      <c r="V566" s="1"/>
      <c r="W566" s="41">
        <v>0.4</v>
      </c>
      <c r="X566" s="41">
        <v>-0.5</v>
      </c>
      <c r="Y566" s="50">
        <v>0</v>
      </c>
      <c r="Z566" s="41">
        <v>1.2</v>
      </c>
      <c r="AA566" s="104">
        <v>1.7</v>
      </c>
      <c r="AB566" s="50">
        <v>-16.7</v>
      </c>
      <c r="AC566" s="41">
        <v>4.5999999999999996</v>
      </c>
      <c r="AD566" s="50">
        <v>18.399999999999999</v>
      </c>
      <c r="AE566" s="50">
        <v>-1.5</v>
      </c>
      <c r="AF566" s="50">
        <v>0</v>
      </c>
      <c r="AG566" s="41">
        <v>-1.1000000000000001</v>
      </c>
      <c r="AH566" s="50">
        <v>5.6</v>
      </c>
      <c r="AI566" s="104">
        <v>1.7</v>
      </c>
      <c r="AJ566" s="41">
        <v>-0.9</v>
      </c>
      <c r="AK566" s="740"/>
      <c r="AL566" s="740"/>
      <c r="AM566" s="42"/>
      <c r="AN566" s="6"/>
    </row>
    <row r="567" spans="1:40" s="7" customFormat="1">
      <c r="A567" s="101" t="s">
        <v>85</v>
      </c>
      <c r="B567" s="49"/>
      <c r="C567" s="41"/>
      <c r="D567" s="104">
        <v>1</v>
      </c>
      <c r="E567" s="357">
        <v>0.8</v>
      </c>
      <c r="F567" s="41">
        <v>2.9</v>
      </c>
      <c r="G567" s="50">
        <v>2</v>
      </c>
      <c r="H567" s="41">
        <v>1.4</v>
      </c>
      <c r="I567" s="50">
        <v>0</v>
      </c>
      <c r="J567" s="41">
        <v>1.1000000000000001</v>
      </c>
      <c r="K567" s="50">
        <v>1</v>
      </c>
      <c r="L567" s="50">
        <v>1</v>
      </c>
      <c r="M567" s="41">
        <v>0.8</v>
      </c>
      <c r="N567" s="50">
        <v>0.8</v>
      </c>
      <c r="O567" s="41">
        <v>1.1000000000000001</v>
      </c>
      <c r="P567" s="41">
        <v>0.5</v>
      </c>
      <c r="Q567" s="50">
        <v>0.9</v>
      </c>
      <c r="R567" s="104">
        <v>1</v>
      </c>
      <c r="S567" s="41">
        <v>1.4</v>
      </c>
      <c r="T567" s="41">
        <v>0.5</v>
      </c>
      <c r="U567" s="41">
        <v>1.5</v>
      </c>
      <c r="V567" s="1"/>
      <c r="W567" s="41">
        <v>1.7</v>
      </c>
      <c r="X567" s="50">
        <v>0.9</v>
      </c>
      <c r="Y567" s="50">
        <v>0</v>
      </c>
      <c r="Z567" s="41">
        <v>1.3</v>
      </c>
      <c r="AA567" s="104">
        <v>1</v>
      </c>
      <c r="AB567" s="41">
        <v>2.7</v>
      </c>
      <c r="AC567" s="41">
        <v>0.6</v>
      </c>
      <c r="AD567" s="41">
        <v>2.1</v>
      </c>
      <c r="AE567" s="50">
        <v>1.1000000000000001</v>
      </c>
      <c r="AF567" s="50">
        <v>0</v>
      </c>
      <c r="AG567" s="41">
        <v>0.6</v>
      </c>
      <c r="AH567" s="50">
        <v>0.4</v>
      </c>
      <c r="AI567" s="104">
        <v>1</v>
      </c>
      <c r="AJ567" s="41">
        <v>0.5</v>
      </c>
      <c r="AK567" s="740"/>
      <c r="AL567" s="740"/>
      <c r="AM567" s="42"/>
      <c r="AN567" s="6"/>
    </row>
    <row r="568" spans="1:40" s="7" customFormat="1">
      <c r="A568" s="27" t="s">
        <v>83</v>
      </c>
      <c r="B568" s="49"/>
      <c r="C568" s="41"/>
      <c r="D568" s="104">
        <v>1</v>
      </c>
      <c r="E568" s="357">
        <v>1</v>
      </c>
      <c r="F568" s="41">
        <v>1.6</v>
      </c>
      <c r="G568" s="41">
        <v>1.8</v>
      </c>
      <c r="H568" s="41">
        <v>0.9</v>
      </c>
      <c r="I568" s="50">
        <v>0</v>
      </c>
      <c r="J568" s="41">
        <v>1.7</v>
      </c>
      <c r="K568" s="41">
        <v>0.9</v>
      </c>
      <c r="L568" s="41">
        <v>1.2</v>
      </c>
      <c r="M568" s="41">
        <v>0.9</v>
      </c>
      <c r="N568" s="41">
        <v>1.1000000000000001</v>
      </c>
      <c r="O568" s="41">
        <v>0.7</v>
      </c>
      <c r="P568" s="41">
        <v>0.7</v>
      </c>
      <c r="Q568" s="41">
        <v>1.7</v>
      </c>
      <c r="R568" s="104">
        <v>1</v>
      </c>
      <c r="S568" s="41">
        <v>1.6</v>
      </c>
      <c r="T568" s="41">
        <v>0.9</v>
      </c>
      <c r="U568" s="41">
        <v>1.5</v>
      </c>
      <c r="V568" s="1"/>
      <c r="W568" s="41">
        <v>0.6</v>
      </c>
      <c r="X568" s="50">
        <v>1.6</v>
      </c>
      <c r="Y568" s="50">
        <v>0</v>
      </c>
      <c r="Z568" s="50">
        <v>1</v>
      </c>
      <c r="AA568" s="104">
        <v>1</v>
      </c>
      <c r="AB568" s="41">
        <v>2.8</v>
      </c>
      <c r="AC568" s="50">
        <v>1</v>
      </c>
      <c r="AD568" s="50">
        <v>1.7</v>
      </c>
      <c r="AE568" s="41">
        <v>1.4</v>
      </c>
      <c r="AF568" s="50">
        <v>0</v>
      </c>
      <c r="AG568" s="41">
        <v>1.2</v>
      </c>
      <c r="AH568" s="50">
        <v>1.7</v>
      </c>
      <c r="AI568" s="104">
        <v>1</v>
      </c>
      <c r="AJ568" s="41">
        <v>0.7</v>
      </c>
      <c r="AK568" s="740"/>
      <c r="AL568" s="740"/>
      <c r="AM568" s="42"/>
      <c r="AN568" s="6"/>
    </row>
    <row r="569" spans="1:40" s="7" customFormat="1">
      <c r="A569" s="27" t="s">
        <v>87</v>
      </c>
      <c r="B569" s="49"/>
      <c r="C569" s="41"/>
      <c r="D569" s="102">
        <v>0.7</v>
      </c>
      <c r="E569" s="357">
        <v>0.9</v>
      </c>
      <c r="F569" s="41">
        <v>1.4</v>
      </c>
      <c r="G569" s="41">
        <v>1.1000000000000001</v>
      </c>
      <c r="H569" s="50">
        <v>1.5</v>
      </c>
      <c r="I569" s="50">
        <v>0</v>
      </c>
      <c r="J569" s="50">
        <v>1.3</v>
      </c>
      <c r="K569" s="50">
        <v>0.9</v>
      </c>
      <c r="L569" s="41">
        <v>0.9</v>
      </c>
      <c r="M569" s="41">
        <v>1.1000000000000001</v>
      </c>
      <c r="N569" s="41">
        <v>0.4</v>
      </c>
      <c r="O569" s="41">
        <v>0.5</v>
      </c>
      <c r="P569" s="41">
        <v>1.2</v>
      </c>
      <c r="Q569" s="50">
        <v>1</v>
      </c>
      <c r="R569" s="102">
        <v>0.7</v>
      </c>
      <c r="S569" s="41">
        <v>1.2</v>
      </c>
      <c r="T569" s="41">
        <v>0.7</v>
      </c>
      <c r="U569" s="50">
        <v>1</v>
      </c>
      <c r="V569" s="1"/>
      <c r="W569" s="41">
        <v>0.9</v>
      </c>
      <c r="X569" s="41">
        <v>1.3</v>
      </c>
      <c r="Y569" s="50">
        <v>0</v>
      </c>
      <c r="Z569" s="41">
        <v>0.5</v>
      </c>
      <c r="AA569" s="102">
        <v>0.7</v>
      </c>
      <c r="AB569" s="41">
        <v>1.4</v>
      </c>
      <c r="AC569" s="41">
        <v>0.5</v>
      </c>
      <c r="AD569" s="41">
        <v>1.2</v>
      </c>
      <c r="AE569" s="50">
        <v>0.5</v>
      </c>
      <c r="AF569" s="50">
        <v>0</v>
      </c>
      <c r="AG569" s="50">
        <v>0.7</v>
      </c>
      <c r="AH569" s="50">
        <v>1.4</v>
      </c>
      <c r="AI569" s="102">
        <v>0.7</v>
      </c>
      <c r="AJ569" s="41">
        <v>0.4</v>
      </c>
      <c r="AK569" s="740"/>
      <c r="AL569" s="740"/>
      <c r="AM569" s="42"/>
      <c r="AN569" s="6"/>
    </row>
    <row r="570" spans="1:40" s="7" customFormat="1">
      <c r="A570" s="27" t="s">
        <v>88</v>
      </c>
      <c r="B570" s="49"/>
      <c r="C570" s="41"/>
      <c r="D570" s="102">
        <v>0.7</v>
      </c>
      <c r="E570" s="357">
        <v>0.9</v>
      </c>
      <c r="F570" s="41">
        <v>1.4</v>
      </c>
      <c r="G570" s="41">
        <v>1.1000000000000001</v>
      </c>
      <c r="H570" s="50">
        <v>1.5</v>
      </c>
      <c r="I570" s="50">
        <v>0</v>
      </c>
      <c r="J570" s="50">
        <v>1.3</v>
      </c>
      <c r="K570" s="50">
        <v>0.9</v>
      </c>
      <c r="L570" s="41">
        <v>0.9</v>
      </c>
      <c r="M570" s="41">
        <v>1.1000000000000001</v>
      </c>
      <c r="N570" s="41">
        <v>0.4</v>
      </c>
      <c r="O570" s="41">
        <v>0.5</v>
      </c>
      <c r="P570" s="41">
        <v>1.2</v>
      </c>
      <c r="Q570" s="50">
        <v>1</v>
      </c>
      <c r="R570" s="102">
        <v>0.7</v>
      </c>
      <c r="S570" s="41">
        <v>1.2</v>
      </c>
      <c r="T570" s="41">
        <v>0.7</v>
      </c>
      <c r="U570" s="50">
        <v>1</v>
      </c>
      <c r="V570" s="1"/>
      <c r="W570" s="41">
        <v>0.9</v>
      </c>
      <c r="X570" s="41">
        <v>1.3</v>
      </c>
      <c r="Y570" s="50">
        <v>0</v>
      </c>
      <c r="Z570" s="41">
        <v>0.5</v>
      </c>
      <c r="AA570" s="102">
        <v>0.7</v>
      </c>
      <c r="AB570" s="41">
        <v>1.4</v>
      </c>
      <c r="AC570" s="41">
        <v>0.5</v>
      </c>
      <c r="AD570" s="41">
        <v>1.2</v>
      </c>
      <c r="AE570" s="50">
        <v>0.5</v>
      </c>
      <c r="AF570" s="50">
        <v>0</v>
      </c>
      <c r="AG570" s="50">
        <v>0.7</v>
      </c>
      <c r="AH570" s="50">
        <v>1.4</v>
      </c>
      <c r="AI570" s="102">
        <v>0.7</v>
      </c>
      <c r="AJ570" s="41">
        <v>0.4</v>
      </c>
      <c r="AK570" s="740"/>
      <c r="AL570" s="740"/>
      <c r="AM570" s="42"/>
      <c r="AN570" s="6"/>
    </row>
    <row r="571" spans="1:40" s="7" customFormat="1">
      <c r="A571" s="2"/>
      <c r="B571" s="2"/>
      <c r="C571" s="388"/>
      <c r="D571" s="380" t="s">
        <v>42</v>
      </c>
      <c r="E571" s="48">
        <v>2015</v>
      </c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 t="s">
        <v>82</v>
      </c>
      <c r="S571" s="41"/>
      <c r="T571" s="41"/>
      <c r="U571" s="41"/>
      <c r="V571" s="41"/>
      <c r="W571" s="41"/>
      <c r="X571" s="41"/>
      <c r="Y571" s="41"/>
      <c r="Z571" s="41"/>
      <c r="AA571" s="41" t="s">
        <v>82</v>
      </c>
      <c r="AB571" s="41"/>
      <c r="AC571" s="41"/>
      <c r="AD571" s="41"/>
      <c r="AE571" s="37"/>
      <c r="AF571" s="41"/>
      <c r="AG571" s="41"/>
      <c r="AH571" s="41"/>
      <c r="AI571" s="41" t="s">
        <v>82</v>
      </c>
      <c r="AJ571" s="1"/>
      <c r="AK571" s="740"/>
      <c r="AL571" s="740"/>
      <c r="AM571" s="42"/>
      <c r="AN571" s="6"/>
    </row>
    <row r="572" spans="1:40" s="7" customFormat="1">
      <c r="A572" s="2"/>
      <c r="B572" s="2"/>
      <c r="C572" s="5"/>
      <c r="D572" s="380" t="s">
        <v>1</v>
      </c>
      <c r="E572" s="49" t="s">
        <v>86</v>
      </c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37"/>
      <c r="AH572" s="41"/>
      <c r="AI572" s="41"/>
      <c r="AJ572" s="41"/>
      <c r="AK572" s="740"/>
      <c r="AL572" s="740"/>
      <c r="AM572" s="42"/>
      <c r="AN572" s="6"/>
    </row>
    <row r="573" spans="1:40" s="7" customFormat="1">
      <c r="A573" s="43"/>
      <c r="B573" s="740"/>
      <c r="C573" s="106"/>
      <c r="D573" s="740"/>
      <c r="E573" s="352"/>
      <c r="F573" s="740"/>
      <c r="G573" s="740"/>
      <c r="H573" s="740"/>
      <c r="I573" s="740"/>
      <c r="J573" s="740"/>
      <c r="K573" s="740"/>
      <c r="L573" s="740"/>
      <c r="M573" s="740"/>
      <c r="N573" s="740"/>
      <c r="O573" s="740"/>
      <c r="P573" s="740"/>
      <c r="Q573" s="740"/>
      <c r="R573" s="740"/>
      <c r="S573" s="740"/>
      <c r="T573" s="740"/>
      <c r="U573" s="740"/>
      <c r="V573" s="740"/>
      <c r="W573" s="740"/>
      <c r="X573" s="740"/>
      <c r="Y573" s="740"/>
      <c r="Z573" s="740"/>
      <c r="AA573" s="740"/>
      <c r="AB573" s="740"/>
      <c r="AC573" s="740"/>
      <c r="AD573" s="740"/>
      <c r="AE573" s="740"/>
      <c r="AF573" s="740"/>
      <c r="AG573" s="37"/>
      <c r="AH573" s="740"/>
      <c r="AI573" s="740"/>
      <c r="AJ573" s="740"/>
      <c r="AK573" s="740"/>
      <c r="AL573" s="740"/>
      <c r="AM573" s="42"/>
      <c r="AN573" s="6"/>
    </row>
    <row r="574" spans="1:40" s="7" customFormat="1">
      <c r="A574" s="174" t="s">
        <v>774</v>
      </c>
      <c r="B574" s="740"/>
      <c r="C574" s="106"/>
      <c r="D574" s="740"/>
      <c r="E574" s="352"/>
      <c r="F574" s="740"/>
      <c r="G574" s="740"/>
      <c r="H574" s="740"/>
      <c r="I574" s="740"/>
      <c r="J574" s="740"/>
      <c r="K574" s="740"/>
      <c r="L574" s="740"/>
      <c r="M574" s="740"/>
      <c r="N574" s="740"/>
      <c r="O574" s="740"/>
      <c r="P574" s="740"/>
      <c r="Q574" s="740"/>
      <c r="R574" s="740"/>
      <c r="S574" s="740"/>
      <c r="T574" s="740"/>
      <c r="U574" s="740"/>
      <c r="V574" s="740"/>
      <c r="W574" s="740"/>
      <c r="X574" s="740"/>
      <c r="Y574" s="740"/>
      <c r="Z574" s="740"/>
      <c r="AA574" s="740"/>
      <c r="AB574" s="740"/>
      <c r="AC574" s="740"/>
      <c r="AD574" s="740"/>
      <c r="AE574" s="740"/>
      <c r="AF574" s="740"/>
      <c r="AG574" s="37"/>
      <c r="AH574" s="740"/>
      <c r="AI574" s="740"/>
      <c r="AJ574" s="740"/>
      <c r="AK574" s="740"/>
      <c r="AL574" s="740"/>
      <c r="AM574" s="42"/>
      <c r="AN574" s="6"/>
    </row>
    <row r="575" spans="1:40">
      <c r="A575" s="43" t="s">
        <v>94</v>
      </c>
      <c r="B575" s="41"/>
      <c r="C575" s="41"/>
      <c r="D575" s="41"/>
      <c r="E575" s="352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2"/>
    </row>
    <row r="576" spans="1:40">
      <c r="A576" s="63" t="s">
        <v>150</v>
      </c>
      <c r="B576" s="64" t="s">
        <v>54</v>
      </c>
      <c r="C576" s="64" t="s">
        <v>57</v>
      </c>
      <c r="D576" s="64" t="s">
        <v>55</v>
      </c>
      <c r="E576" s="313" t="s">
        <v>4</v>
      </c>
      <c r="F576" s="64" t="s">
        <v>5</v>
      </c>
      <c r="G576" s="64" t="s">
        <v>6</v>
      </c>
      <c r="H576" s="64" t="s">
        <v>15</v>
      </c>
      <c r="I576" s="64" t="s">
        <v>7</v>
      </c>
      <c r="J576" s="64" t="s">
        <v>8</v>
      </c>
      <c r="K576" s="64" t="s">
        <v>9</v>
      </c>
      <c r="L576" s="64" t="s">
        <v>10</v>
      </c>
      <c r="M576" s="64" t="s">
        <v>2</v>
      </c>
      <c r="N576" s="64" t="s">
        <v>12</v>
      </c>
      <c r="O576" s="64" t="s">
        <v>30</v>
      </c>
      <c r="P576" s="64" t="s">
        <v>13</v>
      </c>
      <c r="Q576" s="64" t="s">
        <v>14</v>
      </c>
      <c r="R576" s="64" t="s">
        <v>45</v>
      </c>
      <c r="S576" s="64" t="s">
        <v>16</v>
      </c>
      <c r="T576" s="64" t="s">
        <v>17</v>
      </c>
      <c r="U576" s="64" t="s">
        <v>20</v>
      </c>
      <c r="V576" s="194" t="s">
        <v>154</v>
      </c>
      <c r="W576" s="64" t="s">
        <v>18</v>
      </c>
      <c r="X576" s="64" t="s">
        <v>19</v>
      </c>
      <c r="Y576" s="64" t="s">
        <v>21</v>
      </c>
      <c r="Z576" s="64" t="s">
        <v>22</v>
      </c>
      <c r="AA576" s="64" t="s">
        <v>29</v>
      </c>
      <c r="AB576" s="64" t="s">
        <v>23</v>
      </c>
      <c r="AC576" s="64" t="s">
        <v>24</v>
      </c>
      <c r="AD576" s="64" t="s">
        <v>25</v>
      </c>
      <c r="AE576" s="64" t="s">
        <v>28</v>
      </c>
      <c r="AF576" s="64" t="s">
        <v>27</v>
      </c>
      <c r="AG576" s="64" t="s">
        <v>11</v>
      </c>
      <c r="AH576" s="64" t="s">
        <v>26</v>
      </c>
      <c r="AI576" s="64" t="s">
        <v>46</v>
      </c>
      <c r="AJ576" s="194" t="s">
        <v>31</v>
      </c>
      <c r="AK576" s="41"/>
      <c r="AL576" s="41"/>
      <c r="AM576" s="42"/>
    </row>
    <row r="577" spans="1:41">
      <c r="A577" s="27" t="s">
        <v>73</v>
      </c>
      <c r="B577" s="428">
        <v>2.88</v>
      </c>
      <c r="C577" s="428">
        <v>8.5000000000000006E-2</v>
      </c>
      <c r="D577" s="431">
        <f>B577*C577*1000</f>
        <v>244.8</v>
      </c>
      <c r="E577" s="347">
        <v>0.7</v>
      </c>
      <c r="F577" s="67">
        <v>0.7</v>
      </c>
      <c r="G577" s="67" t="s">
        <v>72</v>
      </c>
      <c r="H577" s="67">
        <v>0.2</v>
      </c>
      <c r="I577" s="67">
        <v>0.2</v>
      </c>
      <c r="J577" s="67">
        <v>7.8</v>
      </c>
      <c r="K577" s="67">
        <v>2.8</v>
      </c>
      <c r="L577" s="67">
        <v>4.2</v>
      </c>
      <c r="M577" s="67">
        <v>0.2</v>
      </c>
      <c r="N577" s="67">
        <v>0</v>
      </c>
      <c r="O577" s="67">
        <v>0.1</v>
      </c>
      <c r="P577" s="67"/>
      <c r="Q577" s="67">
        <v>0.4</v>
      </c>
      <c r="R577" s="67" t="s">
        <v>72</v>
      </c>
      <c r="S577" s="67">
        <v>0.1</v>
      </c>
      <c r="T577" s="67">
        <v>0.5</v>
      </c>
      <c r="U577" s="67">
        <v>0.5</v>
      </c>
      <c r="V577" s="1"/>
      <c r="W577" s="67">
        <v>0.4</v>
      </c>
      <c r="X577" s="67">
        <v>0.1</v>
      </c>
      <c r="Y577" s="67">
        <v>0.6</v>
      </c>
      <c r="Z577" s="67">
        <v>1.3</v>
      </c>
      <c r="AA577" s="67">
        <v>1.3</v>
      </c>
      <c r="AB577" s="67">
        <v>4</v>
      </c>
      <c r="AC577" s="67">
        <v>0.1</v>
      </c>
      <c r="AD577" s="67">
        <v>0.2</v>
      </c>
      <c r="AE577" s="74">
        <v>0.4</v>
      </c>
      <c r="AF577" s="67">
        <v>0.1</v>
      </c>
      <c r="AG577" s="67">
        <v>0.8</v>
      </c>
      <c r="AH577" s="67">
        <v>0.3</v>
      </c>
      <c r="AI577" s="67">
        <v>1</v>
      </c>
      <c r="AJ577" s="67">
        <v>2.5</v>
      </c>
      <c r="AK577" s="41"/>
      <c r="AL577" s="41"/>
      <c r="AM577" s="42"/>
    </row>
    <row r="578" spans="1:41">
      <c r="A578" s="27" t="s">
        <v>40</v>
      </c>
      <c r="B578" s="428">
        <v>1.9</v>
      </c>
      <c r="C578" s="428">
        <v>0.112</v>
      </c>
      <c r="D578" s="428">
        <f>B578*C578*1000</f>
        <v>212.79999999999998</v>
      </c>
      <c r="E578" s="347"/>
      <c r="F578" s="67"/>
      <c r="G578" s="67" t="s">
        <v>72</v>
      </c>
      <c r="H578" s="67">
        <v>0</v>
      </c>
      <c r="I578" s="67">
        <v>0</v>
      </c>
      <c r="J578" s="67"/>
      <c r="K578" s="67">
        <v>0</v>
      </c>
      <c r="L578" s="67">
        <v>0</v>
      </c>
      <c r="M578" s="67">
        <v>0</v>
      </c>
      <c r="N578" s="67">
        <v>0</v>
      </c>
      <c r="O578" s="67">
        <v>0</v>
      </c>
      <c r="P578" s="67"/>
      <c r="Q578" s="67">
        <v>0</v>
      </c>
      <c r="R578" s="67" t="s">
        <v>72</v>
      </c>
      <c r="S578" s="67"/>
      <c r="T578" s="67">
        <v>0.3</v>
      </c>
      <c r="U578" s="67">
        <v>0</v>
      </c>
      <c r="V578" s="1"/>
      <c r="W578" s="67">
        <v>1</v>
      </c>
      <c r="X578" s="67"/>
      <c r="Y578" s="67">
        <v>0</v>
      </c>
      <c r="Z578" s="67">
        <v>0</v>
      </c>
      <c r="AA578" s="67">
        <v>0</v>
      </c>
      <c r="AB578" s="67">
        <v>0.8</v>
      </c>
      <c r="AC578" s="67">
        <v>0</v>
      </c>
      <c r="AD578" s="67">
        <v>0.1</v>
      </c>
      <c r="AE578" s="74"/>
      <c r="AF578" s="67">
        <v>0</v>
      </c>
      <c r="AG578" s="67">
        <v>0.2</v>
      </c>
      <c r="AH578" s="67">
        <v>0</v>
      </c>
      <c r="AI578" s="67">
        <v>0</v>
      </c>
      <c r="AJ578" s="67"/>
      <c r="AK578" s="41"/>
      <c r="AL578" s="41"/>
      <c r="AM578" s="42"/>
    </row>
    <row r="579" spans="1:41">
      <c r="A579" s="27" t="s">
        <v>3</v>
      </c>
      <c r="B579" s="428">
        <v>3.24</v>
      </c>
      <c r="C579" s="428">
        <v>6.3E-2</v>
      </c>
      <c r="D579" s="428">
        <f>B579*C579*1000</f>
        <v>204.12000000000003</v>
      </c>
      <c r="E579" s="347">
        <v>99.2</v>
      </c>
      <c r="F579" s="67">
        <v>99.2</v>
      </c>
      <c r="G579" s="67" t="s">
        <v>72</v>
      </c>
      <c r="H579" s="67">
        <v>99.6</v>
      </c>
      <c r="I579" s="67">
        <v>99.8</v>
      </c>
      <c r="J579" s="67">
        <v>84.7</v>
      </c>
      <c r="K579" s="67">
        <v>97.1</v>
      </c>
      <c r="L579" s="67">
        <v>92.4</v>
      </c>
      <c r="M579" s="67">
        <v>99.3</v>
      </c>
      <c r="N579" s="67">
        <v>100</v>
      </c>
      <c r="O579" s="67">
        <v>98.5</v>
      </c>
      <c r="P579" s="67">
        <v>96.1</v>
      </c>
      <c r="Q579" s="67">
        <v>98.3</v>
      </c>
      <c r="R579" s="67" t="s">
        <v>72</v>
      </c>
      <c r="S579" s="67">
        <v>99.9</v>
      </c>
      <c r="T579" s="67">
        <v>94.5</v>
      </c>
      <c r="U579" s="67">
        <v>99.4</v>
      </c>
      <c r="V579" s="1"/>
      <c r="W579" s="67">
        <v>95.9</v>
      </c>
      <c r="X579" s="67">
        <v>99.9</v>
      </c>
      <c r="Y579" s="67">
        <v>99.4</v>
      </c>
      <c r="Z579" s="67">
        <v>92.1</v>
      </c>
      <c r="AA579" s="67">
        <v>93.6</v>
      </c>
      <c r="AB579" s="67">
        <v>94.5</v>
      </c>
      <c r="AC579" s="67">
        <v>97.3</v>
      </c>
      <c r="AD579" s="67">
        <v>99.6</v>
      </c>
      <c r="AE579" s="74">
        <v>94.5</v>
      </c>
      <c r="AF579" s="67">
        <v>95.9</v>
      </c>
      <c r="AG579" s="67">
        <v>94.7</v>
      </c>
      <c r="AH579" s="67">
        <v>79.599999999999994</v>
      </c>
      <c r="AI579" s="67">
        <v>99</v>
      </c>
      <c r="AJ579" s="67">
        <v>97.5</v>
      </c>
      <c r="AK579" s="41"/>
      <c r="AL579" s="41"/>
      <c r="AM579" s="42"/>
    </row>
    <row r="580" spans="1:41">
      <c r="A580" s="27" t="s">
        <v>75</v>
      </c>
      <c r="B580" s="428"/>
      <c r="C580" s="428">
        <v>6.3E-2</v>
      </c>
      <c r="D580" s="428">
        <f>B580*C580*1000</f>
        <v>0</v>
      </c>
      <c r="E580" s="347">
        <v>0.1</v>
      </c>
      <c r="F580" s="67">
        <v>0.1</v>
      </c>
      <c r="G580" s="67" t="s">
        <v>72</v>
      </c>
      <c r="H580" s="67">
        <v>0.2</v>
      </c>
      <c r="I580" s="67">
        <v>0</v>
      </c>
      <c r="J580" s="67">
        <v>7.5</v>
      </c>
      <c r="K580" s="67"/>
      <c r="L580" s="67">
        <v>3.4</v>
      </c>
      <c r="M580" s="67">
        <v>0.5</v>
      </c>
      <c r="N580" s="67"/>
      <c r="O580" s="67">
        <v>1.3</v>
      </c>
      <c r="P580" s="67">
        <v>3.9</v>
      </c>
      <c r="Q580" s="67">
        <v>1.3</v>
      </c>
      <c r="R580" s="67" t="s">
        <v>72</v>
      </c>
      <c r="S580" s="67"/>
      <c r="T580" s="67">
        <v>4.7</v>
      </c>
      <c r="U580" s="67">
        <v>0.2</v>
      </c>
      <c r="V580" s="1"/>
      <c r="W580" s="67">
        <v>2.6</v>
      </c>
      <c r="X580" s="67"/>
      <c r="Y580" s="67">
        <v>0</v>
      </c>
      <c r="Z580" s="67">
        <v>6.6</v>
      </c>
      <c r="AA580" s="67">
        <v>5.2</v>
      </c>
      <c r="AB580" s="67">
        <v>0.8</v>
      </c>
      <c r="AC580" s="67">
        <v>2.6</v>
      </c>
      <c r="AD580" s="67">
        <v>0.1</v>
      </c>
      <c r="AE580" s="74">
        <v>2.5</v>
      </c>
      <c r="AF580" s="67">
        <v>4</v>
      </c>
      <c r="AG580" s="67">
        <v>4.3</v>
      </c>
      <c r="AH580" s="67">
        <v>20.100000000000001</v>
      </c>
      <c r="AI580" s="67">
        <v>0</v>
      </c>
      <c r="AJ580" s="67"/>
      <c r="AK580" s="41"/>
      <c r="AL580" s="41"/>
      <c r="AM580" s="42"/>
    </row>
    <row r="581" spans="1:41">
      <c r="A581" s="63" t="s">
        <v>59</v>
      </c>
      <c r="B581" s="200"/>
      <c r="C581" s="200"/>
      <c r="D581" s="200">
        <v>0</v>
      </c>
      <c r="E581" s="355">
        <v>0</v>
      </c>
      <c r="F581" s="75">
        <v>0</v>
      </c>
      <c r="G581" s="78" t="s">
        <v>72</v>
      </c>
      <c r="H581" s="75">
        <v>0</v>
      </c>
      <c r="I581" s="75">
        <v>0</v>
      </c>
      <c r="J581" s="75">
        <v>0</v>
      </c>
      <c r="K581" s="75">
        <v>0</v>
      </c>
      <c r="L581" s="75">
        <v>0</v>
      </c>
      <c r="M581" s="75">
        <v>0</v>
      </c>
      <c r="N581" s="75">
        <v>0</v>
      </c>
      <c r="O581" s="75">
        <v>0</v>
      </c>
      <c r="P581" s="75"/>
      <c r="Q581" s="75">
        <v>0</v>
      </c>
      <c r="R581" s="78" t="s">
        <v>72</v>
      </c>
      <c r="S581" s="75">
        <v>0</v>
      </c>
      <c r="T581" s="75">
        <v>0</v>
      </c>
      <c r="U581" s="75">
        <v>0</v>
      </c>
      <c r="V581" s="3"/>
      <c r="W581" s="75">
        <v>0</v>
      </c>
      <c r="X581" s="75">
        <v>0</v>
      </c>
      <c r="Y581" s="75">
        <v>0</v>
      </c>
      <c r="Z581" s="75">
        <v>0</v>
      </c>
      <c r="AA581" s="75">
        <v>0</v>
      </c>
      <c r="AB581" s="75">
        <v>0</v>
      </c>
      <c r="AC581" s="75">
        <v>0</v>
      </c>
      <c r="AD581" s="75">
        <v>0</v>
      </c>
      <c r="AE581" s="75">
        <v>0.5</v>
      </c>
      <c r="AF581" s="75">
        <v>0</v>
      </c>
      <c r="AG581" s="75">
        <v>0</v>
      </c>
      <c r="AH581" s="75">
        <v>0</v>
      </c>
      <c r="AI581" s="75">
        <v>0</v>
      </c>
      <c r="AJ581" s="75">
        <v>0</v>
      </c>
      <c r="AK581" s="41"/>
      <c r="AL581" s="41"/>
      <c r="AM581" s="42"/>
    </row>
    <row r="582" spans="1:41">
      <c r="A582" s="27" t="s">
        <v>56</v>
      </c>
      <c r="B582" s="2"/>
      <c r="C582" s="2"/>
      <c r="D582" s="2"/>
      <c r="E582" s="356">
        <f>(E577/100*$D$107)+(E578/100*$D$108)+(E579/100*$D$109)+(E580/100*$D$110)+(E581/100*$D$112)</f>
        <v>433.58544171489172</v>
      </c>
      <c r="F582" s="74">
        <f>(F577/100*$D$107)+(F578/100*$D$108)+(F579/100*$D$109)+(F580/100*$D$110)+(F581/100*$D$112)</f>
        <v>433.58544171489172</v>
      </c>
      <c r="G582" s="67" t="s">
        <v>72</v>
      </c>
      <c r="H582" s="74">
        <f t="shared" ref="H582:Q582" si="10">(H577/100*$D$107)+(H578/100*$D$108)+(H579/100*$D$109)+(H580/100*$D$110)+(H581/100*$D$112)</f>
        <v>433.80289267203392</v>
      </c>
      <c r="I582" s="74">
        <f t="shared" si="10"/>
        <v>433.37152080575504</v>
      </c>
      <c r="J582" s="74">
        <f t="shared" si="10"/>
        <v>449.52113742637061</v>
      </c>
      <c r="K582" s="74">
        <f t="shared" si="10"/>
        <v>432.92897045412525</v>
      </c>
      <c r="L582" s="74">
        <f t="shared" si="10"/>
        <v>440.69072234047371</v>
      </c>
      <c r="M582" s="74">
        <f t="shared" si="10"/>
        <v>434.44995047145221</v>
      </c>
      <c r="N582" s="74">
        <f t="shared" si="10"/>
        <v>433.37222681535616</v>
      </c>
      <c r="O582" s="74">
        <f t="shared" si="10"/>
        <v>435.74241871455297</v>
      </c>
      <c r="P582" s="74">
        <f t="shared" si="10"/>
        <v>441.78397820779423</v>
      </c>
      <c r="Q582" s="74">
        <f t="shared" si="10"/>
        <v>436.17473192696667</v>
      </c>
      <c r="R582" s="67" t="s">
        <v>72</v>
      </c>
      <c r="S582" s="74">
        <f>(S577/100*$D$107)+(S578/100*$D$108)+(S579/100*$D$109)+(S580/100*$D$110)+(S581/100*$D$112)</f>
        <v>433.37187381055566</v>
      </c>
      <c r="T582" s="74">
        <f>(T577/100*$D$107)+(T578/100*$D$108)+(T579/100*$D$109)+(T580/100*$D$110)+(T581/100*$D$112)</f>
        <v>443.61960317068304</v>
      </c>
      <c r="U582" s="74">
        <f>(U577/100*$D$107)+(U578/100*$D$108)+(U579/100*$D$109)+(U580/100*$D$110)+(U581/100*$D$112)</f>
        <v>434.23520588444762</v>
      </c>
      <c r="V582" s="41"/>
      <c r="W582" s="74">
        <f>(W577/100*$D$107)+(W578/100*$D$108)+(W579/100*$D$109)+(W580/100*$D$110)+(W581/100*$D$112)</f>
        <v>438.91828523688434</v>
      </c>
      <c r="X582" s="74">
        <f>(X577/100*$D$107)+(X578/100*$D$108)+(X579/100*$D$109)+(X580/100*$D$110)+(X581/100*$D$112)</f>
        <v>433.37187381055566</v>
      </c>
      <c r="Y582" s="74">
        <f>(Y577/100*$D$107)+(Y578/100*$D$108)+(Y579/100*$D$109)+(Y580/100*$D$110)+(Y581/100*$D$112)</f>
        <v>433.37010878655286</v>
      </c>
      <c r="Z582" s="74">
        <f>(Z577/100*$D$107)+(Z578/100*$D$108)+(Z579/100*$D$109)+(Z580/100*$D$110)+(Z581/100*$D$112)</f>
        <v>447.60290934015177</v>
      </c>
      <c r="AA582" s="74">
        <f t="shared" ref="AA582:AI582" si="11">(AA577/100*$D$107)+(AA578/100*$D$108)+(AA579/100*$D$109)+(AA580/100*$D$110)+(AA581/100*$D$112)</f>
        <v>445.01667850301499</v>
      </c>
      <c r="AB582" s="74">
        <f t="shared" si="11"/>
        <v>435.81537304000102</v>
      </c>
      <c r="AC582" s="74">
        <f t="shared" si="11"/>
        <v>438.97970807218098</v>
      </c>
      <c r="AD582" s="74">
        <f t="shared" si="11"/>
        <v>433.62450757948653</v>
      </c>
      <c r="AE582" s="74">
        <f t="shared" si="11"/>
        <v>427.49939570164594</v>
      </c>
      <c r="AF582" s="74">
        <f t="shared" si="11"/>
        <v>441.99931113613314</v>
      </c>
      <c r="AG582" s="74">
        <f t="shared" si="11"/>
        <v>442.71849958313163</v>
      </c>
      <c r="AH582" s="74">
        <f t="shared" si="11"/>
        <v>476.72404036198134</v>
      </c>
      <c r="AI582" s="74">
        <f t="shared" si="11"/>
        <v>433.36869676735057</v>
      </c>
      <c r="AJ582" s="74">
        <f>(AJ577/100*$D$107)+(AJ578/100*$D$108)+(AJ579/100*$D$109)+(AJ580/100*$D$110)+(AJ581/100*$D$112)</f>
        <v>433.36340169534225</v>
      </c>
      <c r="AK582" s="41"/>
      <c r="AL582" s="41"/>
      <c r="AM582" s="42"/>
    </row>
    <row r="583" spans="1:41">
      <c r="A583" s="2"/>
      <c r="B583" s="5"/>
      <c r="C583" s="5"/>
      <c r="D583" s="373" t="s">
        <v>42</v>
      </c>
      <c r="E583" s="378"/>
      <c r="F583" s="7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2"/>
    </row>
    <row r="584" spans="1:41">
      <c r="A584" s="2"/>
      <c r="B584" s="5"/>
      <c r="C584" s="5"/>
      <c r="D584" s="373" t="s">
        <v>37</v>
      </c>
      <c r="E584" s="378"/>
      <c r="F584" s="7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37"/>
      <c r="AH584" s="41"/>
      <c r="AI584" s="41"/>
      <c r="AJ584" s="41"/>
      <c r="AK584" s="41"/>
      <c r="AL584" s="41"/>
      <c r="AM584" s="42"/>
    </row>
    <row r="585" spans="1:41">
      <c r="A585" s="2"/>
      <c r="B585" s="5"/>
      <c r="C585" s="5"/>
      <c r="D585" s="377"/>
      <c r="E585" s="378"/>
      <c r="F585" s="71"/>
      <c r="G585" s="465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37"/>
      <c r="AH585" s="41"/>
      <c r="AI585" s="41"/>
      <c r="AJ585" s="41"/>
      <c r="AK585" s="41"/>
      <c r="AL585" s="41"/>
      <c r="AM585" s="42"/>
    </row>
    <row r="586" spans="1:41">
      <c r="A586" s="2"/>
      <c r="B586" s="5"/>
      <c r="C586" s="5"/>
      <c r="D586" s="373" t="s">
        <v>42</v>
      </c>
      <c r="E586" s="378"/>
      <c r="F586" s="7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37"/>
      <c r="AH586" s="41"/>
      <c r="AI586" s="41"/>
      <c r="AJ586" s="41"/>
      <c r="AK586" s="41"/>
      <c r="AL586" s="41"/>
      <c r="AM586" s="42"/>
    </row>
    <row r="587" spans="1:41">
      <c r="A587" s="2"/>
      <c r="B587" s="5"/>
      <c r="C587" s="5"/>
      <c r="D587" s="374"/>
      <c r="E587" s="378"/>
      <c r="F587" s="202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37"/>
      <c r="AH587" s="41"/>
      <c r="AI587" s="41"/>
      <c r="AJ587" s="41"/>
      <c r="AK587" s="41"/>
      <c r="AL587" s="41"/>
      <c r="AM587" s="42"/>
    </row>
    <row r="588" spans="1:41">
      <c r="A588" s="2"/>
      <c r="B588" s="5"/>
      <c r="C588" s="5"/>
      <c r="D588" s="373" t="s">
        <v>42</v>
      </c>
      <c r="E588" s="378"/>
      <c r="F588" s="202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37"/>
      <c r="AH588" s="41"/>
      <c r="AI588" s="41"/>
      <c r="AJ588" s="41"/>
      <c r="AK588" s="41"/>
      <c r="AL588" s="41"/>
      <c r="AM588" s="42"/>
    </row>
    <row r="589" spans="1:41">
      <c r="A589" s="2"/>
      <c r="B589" s="5"/>
      <c r="C589" s="5"/>
      <c r="D589" s="374"/>
      <c r="E589" s="378"/>
      <c r="F589" s="7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37"/>
      <c r="AH589" s="41"/>
      <c r="AI589" s="41"/>
      <c r="AJ589" s="41"/>
      <c r="AK589" s="41"/>
      <c r="AL589" s="41"/>
      <c r="AM589" s="42"/>
    </row>
    <row r="590" spans="1:41" ht="15.75" thickBot="1">
      <c r="A590" s="79"/>
      <c r="B590" s="80"/>
      <c r="C590" s="52"/>
      <c r="D590" s="81"/>
      <c r="E590" s="319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1"/>
      <c r="AH590" s="52"/>
      <c r="AI590" s="52"/>
      <c r="AJ590" s="52"/>
      <c r="AK590" s="52"/>
      <c r="AL590" s="52"/>
      <c r="AM590" s="53"/>
    </row>
    <row r="591" spans="1:41" s="7" customFormat="1">
      <c r="A591" s="97"/>
      <c r="B591" s="94"/>
      <c r="C591" s="96"/>
      <c r="D591" s="99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  <c r="AA591" s="96"/>
      <c r="AB591" s="96"/>
      <c r="AC591" s="96"/>
      <c r="AD591" s="96"/>
      <c r="AE591" s="96"/>
      <c r="AF591" s="96"/>
      <c r="AG591" s="95"/>
      <c r="AH591" s="96"/>
      <c r="AI591" s="96"/>
      <c r="AJ591" s="96"/>
      <c r="AK591" s="96"/>
      <c r="AL591" s="96"/>
      <c r="AM591" s="96"/>
      <c r="AN591" s="85"/>
      <c r="AO591" s="86"/>
    </row>
    <row r="592" spans="1:41" s="7" customFormat="1">
      <c r="A592" s="97"/>
      <c r="B592" s="94"/>
      <c r="C592" s="96"/>
      <c r="D592" s="99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  <c r="AA592" s="96"/>
      <c r="AB592" s="96"/>
      <c r="AC592" s="96"/>
      <c r="AD592" s="96"/>
      <c r="AE592" s="96"/>
      <c r="AF592" s="96"/>
      <c r="AG592" s="95"/>
      <c r="AH592" s="96"/>
      <c r="AI592" s="96"/>
      <c r="AJ592" s="96"/>
      <c r="AK592" s="96"/>
      <c r="AL592" s="96"/>
      <c r="AM592" s="96"/>
      <c r="AN592" s="85"/>
      <c r="AO592" s="86"/>
    </row>
    <row r="594" spans="4:41">
      <c r="D594" s="532" t="s">
        <v>615</v>
      </c>
      <c r="E594" s="533" t="s">
        <v>4</v>
      </c>
      <c r="F594" s="533" t="s">
        <v>5</v>
      </c>
      <c r="G594" s="533" t="s">
        <v>6</v>
      </c>
      <c r="H594" s="533" t="s">
        <v>15</v>
      </c>
      <c r="I594" s="533" t="s">
        <v>7</v>
      </c>
      <c r="J594" s="533" t="s">
        <v>8</v>
      </c>
      <c r="K594" s="533" t="s">
        <v>9</v>
      </c>
      <c r="L594" s="533" t="s">
        <v>10</v>
      </c>
      <c r="M594" s="533" t="s">
        <v>2</v>
      </c>
      <c r="N594" s="533" t="s">
        <v>12</v>
      </c>
      <c r="O594" s="533" t="s">
        <v>611</v>
      </c>
      <c r="Q594" s="533" t="s">
        <v>14</v>
      </c>
      <c r="S594" s="533" t="s">
        <v>16</v>
      </c>
      <c r="T594" s="533" t="s">
        <v>17</v>
      </c>
      <c r="U594" s="533" t="s">
        <v>20</v>
      </c>
      <c r="V594" s="533" t="s">
        <v>154</v>
      </c>
      <c r="W594" s="533" t="s">
        <v>18</v>
      </c>
      <c r="X594" s="533" t="s">
        <v>19</v>
      </c>
      <c r="Y594" s="533" t="s">
        <v>21</v>
      </c>
      <c r="Z594" s="533" t="s">
        <v>22</v>
      </c>
      <c r="AA594" s="533" t="s">
        <v>29</v>
      </c>
      <c r="AB594" s="533" t="s">
        <v>23</v>
      </c>
      <c r="AC594" s="533" t="s">
        <v>24</v>
      </c>
      <c r="AD594" s="533" t="s">
        <v>25</v>
      </c>
      <c r="AE594" s="533" t="s">
        <v>28</v>
      </c>
      <c r="AF594" s="533" t="s">
        <v>27</v>
      </c>
      <c r="AG594" s="533" t="s">
        <v>11</v>
      </c>
      <c r="AH594" s="533" t="s">
        <v>26</v>
      </c>
      <c r="AI594" s="533" t="s">
        <v>46</v>
      </c>
      <c r="AJ594" s="533" t="s">
        <v>612</v>
      </c>
      <c r="AO594" s="6"/>
    </row>
    <row r="595" spans="4:41">
      <c r="D595" s="532" t="s">
        <v>73</v>
      </c>
      <c r="E595" s="545">
        <v>2.4568200467232728</v>
      </c>
      <c r="F595" s="545"/>
      <c r="G595" s="545"/>
      <c r="H595" s="545">
        <v>1.6853722218250766</v>
      </c>
      <c r="I595" s="545">
        <v>2.4775518044753553</v>
      </c>
      <c r="J595" s="545"/>
      <c r="K595" s="545">
        <v>10.279942142826977</v>
      </c>
      <c r="L595" s="545">
        <v>7.7499144601052965</v>
      </c>
      <c r="M595" s="545">
        <v>2.7594279850265693</v>
      </c>
      <c r="N595" s="545">
        <v>0.82134126619437708</v>
      </c>
      <c r="O595" s="545"/>
      <c r="P595" s="545"/>
      <c r="Q595" s="545">
        <v>1.9388786396085667</v>
      </c>
      <c r="R595" s="545"/>
      <c r="S595" s="545">
        <v>1.2987588449297219E-2</v>
      </c>
      <c r="T595" s="545">
        <v>2.7049491323517905</v>
      </c>
      <c r="U595" s="545">
        <v>1.6179363679533276</v>
      </c>
      <c r="V595" s="545">
        <v>10.483321987746766</v>
      </c>
      <c r="W595" s="545"/>
      <c r="X595" s="545">
        <v>3.5424374620354517</v>
      </c>
      <c r="Y595" s="545">
        <v>1.5787462277453448</v>
      </c>
      <c r="Z595" s="545">
        <v>1.5946292235120234</v>
      </c>
      <c r="AA595" s="545">
        <v>2.504174287583274</v>
      </c>
      <c r="AB595" s="545">
        <v>11.113672351679865</v>
      </c>
      <c r="AC595" s="545">
        <v>0.57532657685877631</v>
      </c>
      <c r="AD595" s="545">
        <v>7.03053976782574</v>
      </c>
      <c r="AE595" s="545"/>
      <c r="AF595" s="545"/>
      <c r="AG595" s="545">
        <v>5.1742585529905876</v>
      </c>
      <c r="AH595" s="545">
        <v>4.0042456820859549</v>
      </c>
      <c r="AI595" s="546">
        <v>15.198351365275631</v>
      </c>
      <c r="AJ595" s="545">
        <v>1.6297381409103626</v>
      </c>
      <c r="AO595" s="6"/>
    </row>
    <row r="596" spans="4:41">
      <c r="D596" s="532" t="s">
        <v>603</v>
      </c>
      <c r="E596" s="545">
        <v>3.552200173584182E-4</v>
      </c>
      <c r="F596" s="545"/>
      <c r="G596" s="545"/>
      <c r="H596" s="545"/>
      <c r="I596" s="545">
        <v>0</v>
      </c>
      <c r="J596" s="545"/>
      <c r="K596" s="545"/>
      <c r="L596" s="545">
        <v>0</v>
      </c>
      <c r="M596" s="545">
        <v>0</v>
      </c>
      <c r="N596" s="545">
        <v>1.2062700954545652E-3</v>
      </c>
      <c r="O596" s="545"/>
      <c r="P596" s="545"/>
      <c r="Q596" s="545">
        <v>1.0694901205850112E-4</v>
      </c>
      <c r="R596" s="545"/>
      <c r="S596" s="545"/>
      <c r="T596" s="545">
        <v>0.68880732267551015</v>
      </c>
      <c r="U596" s="545">
        <v>0.38413269113357301</v>
      </c>
      <c r="V596" s="545">
        <v>0</v>
      </c>
      <c r="W596" s="545"/>
      <c r="X596" s="545">
        <v>0.27886686178143466</v>
      </c>
      <c r="Y596" s="545">
        <v>5.2712728806188474E-3</v>
      </c>
      <c r="Z596" s="545">
        <v>0.97036336772980614</v>
      </c>
      <c r="AA596" s="545">
        <v>0</v>
      </c>
      <c r="AB596" s="545">
        <v>3.1249288471688934</v>
      </c>
      <c r="AC596" s="545">
        <v>2.749367251742519E-2</v>
      </c>
      <c r="AD596" s="545">
        <v>1.2547925231932712E-4</v>
      </c>
      <c r="AE596" s="545"/>
      <c r="AF596" s="545"/>
      <c r="AG596" s="545">
        <v>0.11593026701240783</v>
      </c>
      <c r="AH596" s="545">
        <v>6.0553737982245643E-4</v>
      </c>
      <c r="AI596" s="546">
        <v>0</v>
      </c>
      <c r="AJ596" s="545"/>
      <c r="AO596" s="6"/>
    </row>
    <row r="597" spans="4:41">
      <c r="D597" s="532" t="s">
        <v>3</v>
      </c>
      <c r="E597" s="545">
        <v>47.120882555973793</v>
      </c>
      <c r="F597" s="545"/>
      <c r="G597" s="545"/>
      <c r="H597" s="545">
        <v>48.058468901801795</v>
      </c>
      <c r="I597" s="545">
        <v>47.510873152302942</v>
      </c>
      <c r="J597" s="545"/>
      <c r="K597" s="545">
        <v>89.720057857173018</v>
      </c>
      <c r="L597" s="545">
        <v>42.151300758269777</v>
      </c>
      <c r="M597" s="545">
        <v>47.15571287906171</v>
      </c>
      <c r="N597" s="545">
        <v>48.745712312945706</v>
      </c>
      <c r="O597" s="545"/>
      <c r="P597" s="545"/>
      <c r="Q597" s="545">
        <v>47.926846875751984</v>
      </c>
      <c r="R597" s="545"/>
      <c r="S597" s="545">
        <v>49.91389992833907</v>
      </c>
      <c r="T597" s="545">
        <v>45.901942754651614</v>
      </c>
      <c r="U597" s="545">
        <v>47.708771453768399</v>
      </c>
      <c r="V597" s="545">
        <v>39.159292035398231</v>
      </c>
      <c r="W597" s="545"/>
      <c r="X597" s="545">
        <v>95.54641338560937</v>
      </c>
      <c r="Y597" s="545">
        <v>48.313851587312044</v>
      </c>
      <c r="Z597" s="545">
        <v>47.094748392814012</v>
      </c>
      <c r="AA597" s="545">
        <v>46.73818131492299</v>
      </c>
      <c r="AB597" s="545">
        <v>34.318574628852723</v>
      </c>
      <c r="AC597" s="545">
        <v>49.360199329125756</v>
      </c>
      <c r="AD597" s="545">
        <v>42.949603140494723</v>
      </c>
      <c r="AE597" s="545"/>
      <c r="AF597" s="545"/>
      <c r="AG597" s="545">
        <v>44.611492201006072</v>
      </c>
      <c r="AH597" s="545">
        <v>45.199386158107544</v>
      </c>
      <c r="AI597" s="546">
        <v>83.281813498196811</v>
      </c>
      <c r="AJ597" s="545">
        <v>48.204951444670904</v>
      </c>
      <c r="AO597" s="6"/>
    </row>
    <row r="598" spans="4:41">
      <c r="D598" s="532" t="s">
        <v>604</v>
      </c>
      <c r="E598" s="545"/>
      <c r="F598" s="545"/>
      <c r="G598" s="545"/>
      <c r="H598" s="545"/>
      <c r="I598" s="545"/>
      <c r="J598" s="545"/>
      <c r="K598" s="545"/>
      <c r="L598" s="545"/>
      <c r="M598" s="545"/>
      <c r="N598" s="545"/>
      <c r="O598" s="545"/>
      <c r="P598" s="545"/>
      <c r="Q598" s="545"/>
      <c r="R598" s="545"/>
      <c r="S598" s="545"/>
      <c r="T598" s="545"/>
      <c r="U598" s="545"/>
      <c r="V598" s="545"/>
      <c r="W598" s="545"/>
      <c r="X598" s="545"/>
      <c r="Y598" s="545"/>
      <c r="Z598" s="545"/>
      <c r="AA598" s="545"/>
      <c r="AB598" s="545"/>
      <c r="AC598" s="545">
        <v>2.4343355874803553E-3</v>
      </c>
      <c r="AD598" s="545"/>
      <c r="AE598" s="545"/>
      <c r="AF598" s="545"/>
      <c r="AG598" s="545"/>
      <c r="AH598" s="545"/>
      <c r="AI598" s="546"/>
      <c r="AJ598" s="545"/>
      <c r="AO598" s="6"/>
    </row>
    <row r="599" spans="4:41">
      <c r="D599" s="532" t="s">
        <v>59</v>
      </c>
      <c r="E599" s="545">
        <v>0.25350868572145779</v>
      </c>
      <c r="F599" s="545"/>
      <c r="G599" s="545"/>
      <c r="H599" s="545">
        <v>4.5274592103157991E-2</v>
      </c>
      <c r="I599" s="545">
        <v>3.4478852149756431E-3</v>
      </c>
      <c r="J599" s="545"/>
      <c r="K599" s="545"/>
      <c r="L599" s="545">
        <v>1.1589276056555667E-2</v>
      </c>
      <c r="M599" s="545">
        <v>4.1131233563086587E-2</v>
      </c>
      <c r="N599" s="545">
        <v>0.33720878428400552</v>
      </c>
      <c r="O599" s="545"/>
      <c r="P599" s="545"/>
      <c r="Q599" s="545">
        <v>5.4330098125718568E-2</v>
      </c>
      <c r="R599" s="545"/>
      <c r="S599" s="545">
        <v>6.921620667684282E-2</v>
      </c>
      <c r="T599" s="545">
        <v>7.1101696317378005E-2</v>
      </c>
      <c r="U599" s="545">
        <v>1.187165049860932E-2</v>
      </c>
      <c r="V599" s="545">
        <v>0.22123893805309736</v>
      </c>
      <c r="W599" s="545"/>
      <c r="X599" s="545">
        <v>0.63228229057374785</v>
      </c>
      <c r="Y599" s="545">
        <v>8.6976002530210983E-2</v>
      </c>
      <c r="Z599" s="545">
        <v>0.22996742705745665</v>
      </c>
      <c r="AA599" s="545">
        <v>0.73041320717708635</v>
      </c>
      <c r="AB599" s="545">
        <v>1.4583390177192894E-2</v>
      </c>
      <c r="AC599" s="545">
        <v>3.5691655598792858E-2</v>
      </c>
      <c r="AD599" s="545">
        <v>7.7797136437982818E-3</v>
      </c>
      <c r="AE599" s="545"/>
      <c r="AF599" s="545"/>
      <c r="AG599" s="545">
        <v>7.807242524361746E-2</v>
      </c>
      <c r="AH599" s="545">
        <v>0.34135007153991614</v>
      </c>
      <c r="AI599" s="546">
        <v>0.41215868109222054</v>
      </c>
      <c r="AJ599" s="545">
        <v>9.0217000359669106E-2</v>
      </c>
      <c r="AO599" s="6"/>
    </row>
    <row r="600" spans="4:41">
      <c r="D600" s="532" t="s">
        <v>68</v>
      </c>
      <c r="E600" s="545">
        <v>0.47812614336443088</v>
      </c>
      <c r="F600" s="545"/>
      <c r="G600" s="545"/>
      <c r="H600" s="545">
        <v>0.46704316064310347</v>
      </c>
      <c r="I600" s="545">
        <v>1.9702201228432248E-2</v>
      </c>
      <c r="J600" s="545"/>
      <c r="K600" s="545"/>
      <c r="L600" s="545">
        <v>0.18598028719329809</v>
      </c>
      <c r="M600" s="545">
        <v>0.1275483707461372</v>
      </c>
      <c r="N600" s="545">
        <v>0.52266879055982673</v>
      </c>
      <c r="O600" s="545"/>
      <c r="P600" s="545"/>
      <c r="Q600" s="545">
        <v>0.21400497312906072</v>
      </c>
      <c r="R600" s="545"/>
      <c r="S600" s="545">
        <v>7.7008759746421157E-2</v>
      </c>
      <c r="T600" s="545">
        <v>2.0526250701412416</v>
      </c>
      <c r="U600" s="545">
        <v>0.95058001492436073</v>
      </c>
      <c r="V600" s="545">
        <v>0.49353301565690944</v>
      </c>
      <c r="W600" s="545"/>
      <c r="X600" s="545"/>
      <c r="Y600" s="545">
        <v>0.12255709447438821</v>
      </c>
      <c r="Z600" s="545">
        <v>1.4204340961768247</v>
      </c>
      <c r="AA600" s="545">
        <v>0.78487558781038336</v>
      </c>
      <c r="AB600" s="545">
        <v>5.9954481005369509</v>
      </c>
      <c r="AC600" s="545">
        <v>6.6908429602952707E-2</v>
      </c>
      <c r="AD600" s="545">
        <v>3.1808990462949424E-2</v>
      </c>
      <c r="AE600" s="545"/>
      <c r="AF600" s="545"/>
      <c r="AG600" s="545">
        <v>0.2344743748260564</v>
      </c>
      <c r="AH600" s="545">
        <v>1.2501751733134485</v>
      </c>
      <c r="AI600" s="546">
        <v>1.1076764554353424</v>
      </c>
      <c r="AJ600" s="545">
        <v>0.16657175398633256</v>
      </c>
      <c r="AO600" s="6"/>
    </row>
    <row r="601" spans="4:41">
      <c r="D601" s="532" t="s">
        <v>605</v>
      </c>
      <c r="E601" s="545">
        <v>2.4568200467232728</v>
      </c>
      <c r="F601" s="545"/>
      <c r="G601" s="545"/>
      <c r="H601" s="545">
        <v>1.6853722218250766</v>
      </c>
      <c r="I601" s="545">
        <v>2.4741039192603793</v>
      </c>
      <c r="J601" s="545"/>
      <c r="K601" s="545"/>
      <c r="L601" s="545">
        <v>7.7460513680864445</v>
      </c>
      <c r="M601" s="545">
        <v>2.7495606436414852</v>
      </c>
      <c r="N601" s="545">
        <v>0.81880809899392248</v>
      </c>
      <c r="O601" s="545"/>
      <c r="P601" s="545"/>
      <c r="Q601" s="545">
        <v>1.9388786396085667</v>
      </c>
      <c r="R601" s="545"/>
      <c r="S601" s="545">
        <v>1.2987588449297219E-2</v>
      </c>
      <c r="T601" s="545">
        <v>2.6903530239182687</v>
      </c>
      <c r="U601" s="545">
        <v>1.6179363679533276</v>
      </c>
      <c r="V601" s="545">
        <v>10.449285228046289</v>
      </c>
      <c r="W601" s="545"/>
      <c r="X601" s="545"/>
      <c r="Y601" s="545">
        <v>1.5787462277453448</v>
      </c>
      <c r="Z601" s="545">
        <v>1.5940960275299749</v>
      </c>
      <c r="AA601" s="545">
        <v>2.5003907949615827</v>
      </c>
      <c r="AB601" s="545">
        <v>11.113107833350426</v>
      </c>
      <c r="AC601" s="545">
        <v>0.57529077780601923</v>
      </c>
      <c r="AD601" s="545">
        <v>7.0303515489472597</v>
      </c>
      <c r="AE601" s="545"/>
      <c r="AF601" s="545"/>
      <c r="AG601" s="545">
        <v>5.1327477615774404</v>
      </c>
      <c r="AH601" s="545">
        <v>3.9996608990672993</v>
      </c>
      <c r="AI601" s="546">
        <v>0</v>
      </c>
      <c r="AJ601" s="545">
        <v>1.6232066498821085</v>
      </c>
      <c r="AO601" s="6"/>
    </row>
    <row r="602" spans="4:41">
      <c r="D602" s="532" t="s">
        <v>606</v>
      </c>
      <c r="E602" s="545"/>
      <c r="F602" s="545"/>
      <c r="G602" s="545"/>
      <c r="H602" s="545"/>
      <c r="I602" s="545"/>
      <c r="J602" s="545"/>
      <c r="K602" s="545"/>
      <c r="L602" s="545"/>
      <c r="M602" s="545"/>
      <c r="N602" s="545"/>
      <c r="O602" s="545"/>
      <c r="P602" s="545"/>
      <c r="Q602" s="545"/>
      <c r="R602" s="545"/>
      <c r="S602" s="545"/>
      <c r="T602" s="545"/>
      <c r="U602" s="545"/>
      <c r="V602" s="545"/>
      <c r="W602" s="545"/>
      <c r="X602" s="545"/>
      <c r="Y602" s="545"/>
      <c r="Z602" s="545"/>
      <c r="AA602" s="545"/>
      <c r="AB602" s="545"/>
      <c r="AC602" s="545"/>
      <c r="AD602" s="545"/>
      <c r="AE602" s="545"/>
      <c r="AF602" s="545"/>
      <c r="AG602" s="545"/>
      <c r="AH602" s="545"/>
      <c r="AI602" s="546"/>
      <c r="AJ602" s="545"/>
      <c r="AO602" s="6"/>
    </row>
    <row r="603" spans="4:41">
      <c r="D603" s="532" t="s">
        <v>61</v>
      </c>
      <c r="E603" s="545">
        <v>0</v>
      </c>
      <c r="F603" s="545"/>
      <c r="G603" s="545"/>
      <c r="H603" s="545"/>
      <c r="I603" s="545">
        <v>3.4478852149756431E-3</v>
      </c>
      <c r="J603" s="545"/>
      <c r="K603" s="545"/>
      <c r="L603" s="545">
        <v>3.8630920188518891E-3</v>
      </c>
      <c r="M603" s="545">
        <v>9.867341385083904E-3</v>
      </c>
      <c r="N603" s="545">
        <v>2.5331672004545872E-3</v>
      </c>
      <c r="O603" s="545"/>
      <c r="P603" s="545"/>
      <c r="Q603" s="545">
        <v>0</v>
      </c>
      <c r="R603" s="545"/>
      <c r="S603" s="545"/>
      <c r="T603" s="545"/>
      <c r="U603" s="545">
        <v>0</v>
      </c>
      <c r="V603" s="545">
        <v>3.403675970047651E-2</v>
      </c>
      <c r="W603" s="545"/>
      <c r="X603" s="545"/>
      <c r="Y603" s="545">
        <v>0</v>
      </c>
      <c r="Z603" s="545">
        <v>5.3319598204835765E-4</v>
      </c>
      <c r="AA603" s="545">
        <v>3.7834926216915601E-3</v>
      </c>
      <c r="AB603" s="545">
        <v>5.6451832943972492E-4</v>
      </c>
      <c r="AC603" s="545">
        <v>3.5799052757064051E-5</v>
      </c>
      <c r="AD603" s="545">
        <v>1.8821887847899068E-4</v>
      </c>
      <c r="AE603" s="545"/>
      <c r="AF603" s="545"/>
      <c r="AG603" s="545">
        <v>4.151079141314732E-2</v>
      </c>
      <c r="AH603" s="545">
        <v>4.5847830186557413E-3</v>
      </c>
      <c r="AI603" s="546">
        <v>0</v>
      </c>
      <c r="AJ603" s="545">
        <v>6.5314910282540063E-3</v>
      </c>
      <c r="AO603" s="6"/>
    </row>
    <row r="604" spans="4:41">
      <c r="D604" s="532" t="s">
        <v>607</v>
      </c>
      <c r="E604" s="545">
        <v>47.120882555973793</v>
      </c>
      <c r="F604" s="545"/>
      <c r="G604" s="545"/>
      <c r="H604" s="545">
        <v>48.058468901801795</v>
      </c>
      <c r="I604" s="545">
        <v>47.510873152302942</v>
      </c>
      <c r="J604" s="545"/>
      <c r="K604" s="545"/>
      <c r="L604" s="545">
        <v>42.151300758269777</v>
      </c>
      <c r="M604" s="545">
        <v>47.153323943779007</v>
      </c>
      <c r="N604" s="545">
        <v>48.744240663429252</v>
      </c>
      <c r="O604" s="545"/>
      <c r="P604" s="545"/>
      <c r="Q604" s="545">
        <v>47.926846875751984</v>
      </c>
      <c r="R604" s="545"/>
      <c r="S604" s="545">
        <v>49.91389992833907</v>
      </c>
      <c r="T604" s="545">
        <v>45.890220999944198</v>
      </c>
      <c r="U604" s="545">
        <v>47.708771453768399</v>
      </c>
      <c r="V604" s="545">
        <v>39.159292035398231</v>
      </c>
      <c r="W604" s="545"/>
      <c r="X604" s="545"/>
      <c r="Y604" s="545">
        <v>48.313851587312044</v>
      </c>
      <c r="Z604" s="545">
        <v>47.094481794822983</v>
      </c>
      <c r="AA604" s="545">
        <v>46.735791740635605</v>
      </c>
      <c r="AB604" s="545">
        <v>34.318536994297425</v>
      </c>
      <c r="AC604" s="545">
        <v>49.356440428586261</v>
      </c>
      <c r="AD604" s="545">
        <v>42.949163963111609</v>
      </c>
      <c r="AE604" s="545"/>
      <c r="AF604" s="545"/>
      <c r="AG604" s="545">
        <v>44.56777464235909</v>
      </c>
      <c r="AH604" s="545">
        <v>45.199386158107544</v>
      </c>
      <c r="AI604" s="546">
        <v>0</v>
      </c>
      <c r="AJ604" s="545">
        <v>48.204901490628622</v>
      </c>
      <c r="AO604" s="6"/>
    </row>
    <row r="605" spans="4:41">
      <c r="D605" s="532" t="s">
        <v>608</v>
      </c>
      <c r="E605" s="545">
        <v>0</v>
      </c>
      <c r="F605" s="545"/>
      <c r="G605" s="545"/>
      <c r="H605" s="545"/>
      <c r="I605" s="545"/>
      <c r="J605" s="545"/>
      <c r="K605" s="545"/>
      <c r="L605" s="545"/>
      <c r="M605" s="545"/>
      <c r="N605" s="545"/>
      <c r="O605" s="545"/>
      <c r="P605" s="545"/>
      <c r="Q605" s="545"/>
      <c r="R605" s="545"/>
      <c r="S605" s="545"/>
      <c r="T605" s="545"/>
      <c r="U605" s="545"/>
      <c r="V605" s="545"/>
      <c r="W605" s="545"/>
      <c r="X605" s="545"/>
      <c r="Y605" s="545"/>
      <c r="Z605" s="545"/>
      <c r="AA605" s="545"/>
      <c r="AB605" s="545"/>
      <c r="AC605" s="545"/>
      <c r="AD605" s="545"/>
      <c r="AE605" s="545"/>
      <c r="AF605" s="545"/>
      <c r="AG605" s="545"/>
      <c r="AH605" s="545"/>
      <c r="AI605" s="546"/>
      <c r="AJ605" s="545">
        <v>4.9954042281101387E-5</v>
      </c>
      <c r="AO605" s="6"/>
    </row>
    <row r="606" spans="4:41">
      <c r="D606" s="532" t="s">
        <v>64</v>
      </c>
      <c r="E606" s="545">
        <v>0</v>
      </c>
      <c r="F606" s="545"/>
      <c r="G606" s="545"/>
      <c r="H606" s="545"/>
      <c r="I606" s="545">
        <v>0</v>
      </c>
      <c r="J606" s="545"/>
      <c r="K606" s="545"/>
      <c r="L606" s="545">
        <v>0</v>
      </c>
      <c r="M606" s="545">
        <v>2.3889352827045239E-3</v>
      </c>
      <c r="N606" s="545">
        <v>1.4716495164545697E-3</v>
      </c>
      <c r="O606" s="545"/>
      <c r="P606" s="545"/>
      <c r="Q606" s="545">
        <v>0</v>
      </c>
      <c r="R606" s="545"/>
      <c r="S606" s="545"/>
      <c r="T606" s="545"/>
      <c r="U606" s="545">
        <v>0</v>
      </c>
      <c r="V606" s="545">
        <v>0</v>
      </c>
      <c r="W606" s="545"/>
      <c r="X606" s="545"/>
      <c r="Y606" s="545">
        <v>0</v>
      </c>
      <c r="Z606" s="545">
        <v>2.6659799102417883E-4</v>
      </c>
      <c r="AA606" s="545">
        <v>2.3895742873841427E-3</v>
      </c>
      <c r="AB606" s="545">
        <v>3.7634555295981661E-5</v>
      </c>
      <c r="AC606" s="545">
        <v>1.7899526378532024E-4</v>
      </c>
      <c r="AD606" s="545">
        <v>4.3917738311764494E-4</v>
      </c>
      <c r="AE606" s="545"/>
      <c r="AF606" s="545"/>
      <c r="AG606" s="545">
        <v>4.3717558646981729E-2</v>
      </c>
      <c r="AH606" s="545">
        <v>0</v>
      </c>
      <c r="AI606" s="546">
        <v>0</v>
      </c>
      <c r="AJ606" s="545">
        <v>4.9954042281101387E-5</v>
      </c>
      <c r="AO606" s="6"/>
    </row>
    <row r="607" spans="4:41">
      <c r="D607" s="532" t="s">
        <v>67</v>
      </c>
      <c r="E607" s="545"/>
      <c r="F607" s="545"/>
      <c r="G607" s="545"/>
      <c r="H607" s="545"/>
      <c r="I607" s="545">
        <v>0</v>
      </c>
      <c r="J607" s="545"/>
      <c r="K607" s="545"/>
      <c r="L607" s="545"/>
      <c r="M607" s="545">
        <v>1.0386675142193583E-3</v>
      </c>
      <c r="N607" s="545">
        <v>4.808996780545533E-3</v>
      </c>
      <c r="O607" s="545"/>
      <c r="P607" s="545"/>
      <c r="Q607" s="545">
        <v>0</v>
      </c>
      <c r="R607" s="545"/>
      <c r="S607" s="545"/>
      <c r="T607" s="545"/>
      <c r="U607" s="545">
        <v>0</v>
      </c>
      <c r="V607" s="545">
        <v>0</v>
      </c>
      <c r="W607" s="545"/>
      <c r="X607" s="545"/>
      <c r="Y607" s="545">
        <v>0</v>
      </c>
      <c r="Z607" s="545">
        <v>4.7987638384352192E-4</v>
      </c>
      <c r="AA607" s="545">
        <v>0</v>
      </c>
      <c r="AB607" s="545">
        <v>1.5053822118392664E-4</v>
      </c>
      <c r="AC607" s="545">
        <v>0</v>
      </c>
      <c r="AD607" s="545"/>
      <c r="AE607" s="545"/>
      <c r="AF607" s="545"/>
      <c r="AG607" s="545">
        <v>0</v>
      </c>
      <c r="AH607" s="545">
        <v>5.1903203984781981E-4</v>
      </c>
      <c r="AI607" s="546">
        <v>0</v>
      </c>
      <c r="AJ607" s="545"/>
      <c r="AO607" s="6"/>
    </row>
    <row r="608" spans="4:41">
      <c r="D608" s="532" t="s">
        <v>609</v>
      </c>
      <c r="E608" s="545"/>
      <c r="F608" s="545"/>
      <c r="G608" s="545"/>
      <c r="H608" s="545"/>
      <c r="I608" s="545">
        <v>0</v>
      </c>
      <c r="J608" s="545"/>
      <c r="K608" s="545"/>
      <c r="L608" s="545"/>
      <c r="M608" s="545"/>
      <c r="N608" s="545"/>
      <c r="O608" s="545"/>
      <c r="P608" s="545"/>
      <c r="Q608" s="545">
        <v>1.0694901205850112E-4</v>
      </c>
      <c r="R608" s="545"/>
      <c r="S608" s="545"/>
      <c r="T608" s="545"/>
      <c r="U608" s="545">
        <v>0</v>
      </c>
      <c r="V608" s="545">
        <v>0</v>
      </c>
      <c r="W608" s="545"/>
      <c r="X608" s="545"/>
      <c r="Y608" s="545">
        <v>0</v>
      </c>
      <c r="Z608" s="545">
        <v>0</v>
      </c>
      <c r="AA608" s="545">
        <v>0</v>
      </c>
      <c r="AB608" s="545">
        <v>3.9516283060780748E-4</v>
      </c>
      <c r="AC608" s="545">
        <v>0</v>
      </c>
      <c r="AD608" s="545"/>
      <c r="AE608" s="545"/>
      <c r="AF608" s="545"/>
      <c r="AG608" s="545">
        <v>2.1424924600334101E-5</v>
      </c>
      <c r="AH608" s="545">
        <v>8.6505339974636645E-5</v>
      </c>
      <c r="AI608" s="546">
        <v>0</v>
      </c>
      <c r="AJ608" s="545"/>
      <c r="AO608" s="6"/>
    </row>
    <row r="609" spans="4:41">
      <c r="D609" s="532" t="s">
        <v>610</v>
      </c>
      <c r="E609" s="545">
        <v>0.11260474550261856</v>
      </c>
      <c r="F609" s="545"/>
      <c r="G609" s="545"/>
      <c r="H609" s="545"/>
      <c r="I609" s="545"/>
      <c r="J609" s="545"/>
      <c r="K609" s="545"/>
      <c r="L609" s="545"/>
      <c r="M609" s="545"/>
      <c r="N609" s="545"/>
      <c r="O609" s="545"/>
      <c r="P609" s="545"/>
      <c r="Q609" s="545"/>
      <c r="R609" s="545"/>
      <c r="S609" s="545"/>
      <c r="T609" s="545"/>
      <c r="U609" s="545"/>
      <c r="V609" s="545"/>
      <c r="W609" s="545"/>
      <c r="X609" s="545"/>
      <c r="Y609" s="545"/>
      <c r="Z609" s="545"/>
      <c r="AA609" s="545"/>
      <c r="AB609" s="545"/>
      <c r="AC609" s="545"/>
      <c r="AD609" s="545"/>
      <c r="AE609" s="545"/>
      <c r="AF609" s="545"/>
      <c r="AG609" s="545"/>
      <c r="AH609" s="545"/>
      <c r="AI609" s="546"/>
      <c r="AJ609" s="545">
        <v>7.378212044918675E-2</v>
      </c>
      <c r="AO609" s="6"/>
    </row>
    <row r="610" spans="4:41">
      <c r="E610" s="545"/>
      <c r="F610" s="545"/>
      <c r="G610" s="545"/>
      <c r="H610" s="545"/>
      <c r="I610" s="545"/>
      <c r="J610" s="545"/>
      <c r="K610" s="545"/>
      <c r="L610" s="545"/>
      <c r="M610" s="545"/>
      <c r="N610" s="545"/>
      <c r="O610" s="545"/>
      <c r="P610" s="545"/>
      <c r="Q610" s="545"/>
      <c r="R610" s="545"/>
      <c r="S610" s="545"/>
      <c r="T610" s="545"/>
      <c r="U610" s="545"/>
      <c r="V610" s="545"/>
      <c r="W610" s="545"/>
      <c r="X610" s="545"/>
      <c r="Y610" s="545"/>
      <c r="Z610" s="545"/>
      <c r="AA610" s="545"/>
      <c r="AB610" s="545"/>
      <c r="AC610" s="545"/>
      <c r="AD610" s="545"/>
      <c r="AE610" s="545"/>
      <c r="AF610" s="545"/>
      <c r="AG610" s="545"/>
      <c r="AH610" s="545"/>
      <c r="AI610" s="545"/>
      <c r="AJ610" s="545"/>
      <c r="AO610" s="6"/>
    </row>
    <row r="611" spans="4:41">
      <c r="AG611" s="6"/>
      <c r="AO611" s="6"/>
    </row>
  </sheetData>
  <mergeCells count="10">
    <mergeCell ref="A2:AM2"/>
    <mergeCell ref="A553:AM553"/>
    <mergeCell ref="A30:AM30"/>
    <mergeCell ref="A77:AM77"/>
    <mergeCell ref="A136:AM136"/>
    <mergeCell ref="A478:AM478"/>
    <mergeCell ref="A440:AM440"/>
    <mergeCell ref="A425:AM425"/>
    <mergeCell ref="A232:AM232"/>
    <mergeCell ref="C463:D463"/>
  </mergeCells>
  <hyperlinks>
    <hyperlink ref="S337" r:id="rId1" display="https://igees.gov.ie/wp-content/uploads/2021/03/Transport-Trends-2020.pdf"/>
    <hyperlink ref="G46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Z353"/>
  <sheetViews>
    <sheetView showGridLines="0" zoomScale="90" zoomScaleNormal="90" zoomScaleSheetLayoutView="50" workbookViewId="0">
      <selection activeCell="J357" sqref="J357"/>
    </sheetView>
  </sheetViews>
  <sheetFormatPr defaultColWidth="8.7109375" defaultRowHeight="15"/>
  <cols>
    <col min="1" max="1" width="35.5703125" style="7" customWidth="1"/>
    <col min="2" max="4" width="10.5703125" style="6" customWidth="1"/>
    <col min="5" max="5" width="10.5703125" style="143" customWidth="1"/>
    <col min="6" max="32" width="10.5703125" style="6" customWidth="1"/>
    <col min="33" max="33" width="10.5703125" style="7" customWidth="1"/>
    <col min="34" max="36" width="10.5703125" style="6" customWidth="1"/>
    <col min="37" max="16384" width="8.7109375" style="7"/>
  </cols>
  <sheetData>
    <row r="1" spans="1:38" ht="15.75" thickBot="1">
      <c r="A1" s="115" t="s">
        <v>129</v>
      </c>
    </row>
    <row r="2" spans="1:38" ht="19.5" thickBot="1">
      <c r="A2" s="763" t="s">
        <v>445</v>
      </c>
      <c r="B2" s="764"/>
      <c r="C2" s="764"/>
      <c r="D2" s="764"/>
      <c r="E2" s="764"/>
      <c r="F2" s="764"/>
      <c r="G2" s="764"/>
      <c r="H2" s="764"/>
      <c r="I2" s="764"/>
      <c r="J2" s="764"/>
      <c r="K2" s="764"/>
      <c r="L2" s="764"/>
      <c r="M2" s="764"/>
      <c r="N2" s="764"/>
      <c r="O2" s="764"/>
      <c r="P2" s="764"/>
      <c r="Q2" s="764"/>
      <c r="R2" s="764"/>
      <c r="S2" s="764"/>
      <c r="T2" s="764"/>
      <c r="U2" s="764"/>
      <c r="V2" s="764"/>
      <c r="W2" s="764"/>
      <c r="X2" s="764"/>
      <c r="Y2" s="764"/>
      <c r="Z2" s="764"/>
      <c r="AA2" s="764"/>
      <c r="AB2" s="764"/>
      <c r="AC2" s="764"/>
      <c r="AD2" s="764"/>
      <c r="AE2" s="764"/>
      <c r="AF2" s="764"/>
      <c r="AG2" s="764"/>
      <c r="AH2" s="764"/>
      <c r="AI2" s="765"/>
    </row>
    <row r="3" spans="1:38">
      <c r="A3" s="224" t="s">
        <v>184</v>
      </c>
      <c r="B3" s="10"/>
      <c r="C3" s="10"/>
      <c r="D3" s="10"/>
      <c r="E3" s="30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9"/>
      <c r="AH3" s="10"/>
      <c r="AI3" s="11"/>
    </row>
    <row r="4" spans="1:38">
      <c r="A4" s="107" t="s">
        <v>448</v>
      </c>
      <c r="B4" s="4"/>
      <c r="C4" s="219">
        <v>2019</v>
      </c>
      <c r="D4" s="387">
        <f>C4+1</f>
        <v>2020</v>
      </c>
      <c r="E4" s="310">
        <v>2021</v>
      </c>
      <c r="F4" s="387">
        <f t="shared" ref="F4:AH4" si="0">E4+1</f>
        <v>2022</v>
      </c>
      <c r="G4" s="387">
        <f t="shared" si="0"/>
        <v>2023</v>
      </c>
      <c r="H4" s="387">
        <f t="shared" si="0"/>
        <v>2024</v>
      </c>
      <c r="I4" s="387">
        <f t="shared" si="0"/>
        <v>2025</v>
      </c>
      <c r="J4" s="387">
        <f t="shared" si="0"/>
        <v>2026</v>
      </c>
      <c r="K4" s="387">
        <f t="shared" si="0"/>
        <v>2027</v>
      </c>
      <c r="L4" s="387">
        <f t="shared" si="0"/>
        <v>2028</v>
      </c>
      <c r="M4" s="387">
        <f t="shared" si="0"/>
        <v>2029</v>
      </c>
      <c r="N4" s="387">
        <f t="shared" si="0"/>
        <v>2030</v>
      </c>
      <c r="O4" s="387">
        <f t="shared" si="0"/>
        <v>2031</v>
      </c>
      <c r="P4" s="387">
        <f t="shared" si="0"/>
        <v>2032</v>
      </c>
      <c r="Q4" s="387">
        <f t="shared" si="0"/>
        <v>2033</v>
      </c>
      <c r="R4" s="387">
        <f t="shared" si="0"/>
        <v>2034</v>
      </c>
      <c r="S4" s="387">
        <f t="shared" si="0"/>
        <v>2035</v>
      </c>
      <c r="T4" s="387">
        <f t="shared" si="0"/>
        <v>2036</v>
      </c>
      <c r="U4" s="387">
        <f t="shared" si="0"/>
        <v>2037</v>
      </c>
      <c r="V4" s="387">
        <f t="shared" si="0"/>
        <v>2038</v>
      </c>
      <c r="W4" s="387">
        <f t="shared" si="0"/>
        <v>2039</v>
      </c>
      <c r="X4" s="387">
        <f t="shared" si="0"/>
        <v>2040</v>
      </c>
      <c r="Y4" s="387">
        <f t="shared" si="0"/>
        <v>2041</v>
      </c>
      <c r="Z4" s="387">
        <f t="shared" si="0"/>
        <v>2042</v>
      </c>
      <c r="AA4" s="387">
        <f t="shared" si="0"/>
        <v>2043</v>
      </c>
      <c r="AB4" s="387">
        <f t="shared" si="0"/>
        <v>2044</v>
      </c>
      <c r="AC4" s="387">
        <f t="shared" si="0"/>
        <v>2045</v>
      </c>
      <c r="AD4" s="387">
        <f t="shared" si="0"/>
        <v>2046</v>
      </c>
      <c r="AE4" s="387">
        <f t="shared" si="0"/>
        <v>2047</v>
      </c>
      <c r="AF4" s="387">
        <f t="shared" si="0"/>
        <v>2048</v>
      </c>
      <c r="AG4" s="387">
        <f t="shared" si="0"/>
        <v>2049</v>
      </c>
      <c r="AH4" s="387">
        <f t="shared" si="0"/>
        <v>2050</v>
      </c>
      <c r="AI4" s="12"/>
    </row>
    <row r="5" spans="1:38">
      <c r="A5" s="214" t="s">
        <v>173</v>
      </c>
      <c r="B5" s="5"/>
      <c r="C5" s="5"/>
      <c r="D5" s="5"/>
      <c r="E5" s="192">
        <f>INDEX(DEFAULT!$E$8:$AJ$11,2,'USER INPUTS'!$B$4)</f>
        <v>0</v>
      </c>
      <c r="F5" s="192">
        <f>INDEX(DEFAULT!$E$8:$AJ$11,2,'USER INPUTS'!$B$4)</f>
        <v>0</v>
      </c>
      <c r="G5" s="192">
        <f>INDEX(DEFAULT!$E$8:$AJ$11,2,'USER INPUTS'!$B$4)</f>
        <v>0</v>
      </c>
      <c r="H5" s="192">
        <f>INDEX(DEFAULT!$E$8:$AJ$11,2,'USER INPUTS'!$B$4)</f>
        <v>0</v>
      </c>
      <c r="I5" s="192">
        <f>INDEX(DEFAULT!$E$8:$AJ$11,2,'USER INPUTS'!$B$4)</f>
        <v>0</v>
      </c>
      <c r="J5" s="192">
        <f>INDEX(DEFAULT!$E$8:$AJ$11,2,'USER INPUTS'!$B$4)</f>
        <v>0</v>
      </c>
      <c r="K5" s="192">
        <f>INDEX(DEFAULT!$E$8:$AJ$11,2,'USER INPUTS'!$B$4)</f>
        <v>0</v>
      </c>
      <c r="L5" s="192">
        <f>INDEX(DEFAULT!$E$8:$AJ$11,2,'USER INPUTS'!$B$4)</f>
        <v>0</v>
      </c>
      <c r="M5" s="192">
        <f>INDEX(DEFAULT!$E$8:$AJ$11,2,'USER INPUTS'!$B$4)</f>
        <v>0</v>
      </c>
      <c r="N5" s="192">
        <f>INDEX(DEFAULT!$E$8:$AJ$11,2,'USER INPUTS'!$B$4)</f>
        <v>0</v>
      </c>
      <c r="O5" s="192">
        <f>INDEX(DEFAULT!$E$8:$AJ$11,3,'USER INPUTS'!$B$4)</f>
        <v>0.4</v>
      </c>
      <c r="P5" s="192">
        <f>INDEX(DEFAULT!$E$8:$AJ$11,3,'USER INPUTS'!$B$4)</f>
        <v>0.4</v>
      </c>
      <c r="Q5" s="192">
        <f>INDEX(DEFAULT!$E$8:$AJ$11,3,'USER INPUTS'!$B$4)</f>
        <v>0.4</v>
      </c>
      <c r="R5" s="192">
        <f>INDEX(DEFAULT!$E$8:$AJ$11,3,'USER INPUTS'!$B$4)</f>
        <v>0.4</v>
      </c>
      <c r="S5" s="192">
        <f>INDEX(DEFAULT!$E$8:$AJ$11,3,'USER INPUTS'!$B$4)</f>
        <v>0.4</v>
      </c>
      <c r="T5" s="192">
        <f>INDEX(DEFAULT!$E$8:$AJ$11,3,'USER INPUTS'!$B$4)</f>
        <v>0.4</v>
      </c>
      <c r="U5" s="192">
        <f>INDEX(DEFAULT!$E$8:$AJ$11,3,'USER INPUTS'!$B$4)</f>
        <v>0.4</v>
      </c>
      <c r="V5" s="192">
        <f>INDEX(DEFAULT!$E$8:$AJ$11,3,'USER INPUTS'!$B$4)</f>
        <v>0.4</v>
      </c>
      <c r="W5" s="192">
        <f>INDEX(DEFAULT!$E$8:$AJ$11,3,'USER INPUTS'!$B$4)</f>
        <v>0.4</v>
      </c>
      <c r="X5" s="192">
        <f>INDEX(DEFAULT!$E$8:$AJ$11,3,'USER INPUTS'!$B$4)</f>
        <v>0.4</v>
      </c>
      <c r="Y5" s="192">
        <f>INDEX(DEFAULT!$E$8:$AJ$11,4,'USER INPUTS'!$B$4)</f>
        <v>0.4</v>
      </c>
      <c r="Z5" s="192">
        <f>INDEX(DEFAULT!$E$8:$AJ$11,4,'USER INPUTS'!$B$4)</f>
        <v>0.4</v>
      </c>
      <c r="AA5" s="192">
        <f>INDEX(DEFAULT!$E$8:$AJ$11,4,'USER INPUTS'!$B$4)</f>
        <v>0.4</v>
      </c>
      <c r="AB5" s="192">
        <f>INDEX(DEFAULT!$E$8:$AJ$11,4,'USER INPUTS'!$B$4)</f>
        <v>0.4</v>
      </c>
      <c r="AC5" s="192">
        <f>INDEX(DEFAULT!$E$8:$AJ$11,4,'USER INPUTS'!$B$4)</f>
        <v>0.4</v>
      </c>
      <c r="AD5" s="192">
        <f>INDEX(DEFAULT!$E$8:$AJ$11,4,'USER INPUTS'!$B$4)</f>
        <v>0.4</v>
      </c>
      <c r="AE5" s="192">
        <f>INDEX(DEFAULT!$E$8:$AJ$11,4,'USER INPUTS'!$B$4)</f>
        <v>0.4</v>
      </c>
      <c r="AF5" s="192">
        <f>INDEX(DEFAULT!$E$8:$AJ$11,4,'USER INPUTS'!$B$4)</f>
        <v>0.4</v>
      </c>
      <c r="AG5" s="192">
        <f>INDEX(DEFAULT!$E$8:$AJ$11,4,'USER INPUTS'!$B$4)</f>
        <v>0.4</v>
      </c>
      <c r="AH5" s="192">
        <f>INDEX(DEFAULT!$E$8:$AJ$11,4,'USER INPUTS'!$B$4)</f>
        <v>0.4</v>
      </c>
      <c r="AI5" s="12"/>
    </row>
    <row r="6" spans="1:38">
      <c r="A6" s="215" t="s">
        <v>174</v>
      </c>
      <c r="B6" s="4"/>
      <c r="C6" s="4"/>
      <c r="D6" s="387">
        <f>INDEX(DEFAULT!E4:AJ4,1,'USER INPUTS'!B4)</f>
        <v>5006907</v>
      </c>
      <c r="E6" s="153">
        <f>((100+E5)/100)*D6</f>
        <v>5006907</v>
      </c>
      <c r="F6" s="153">
        <f t="shared" ref="F6:AH6" si="1">((100+F5)/100)*E6</f>
        <v>5006907</v>
      </c>
      <c r="G6" s="153">
        <f t="shared" si="1"/>
        <v>5006907</v>
      </c>
      <c r="H6" s="153">
        <f t="shared" si="1"/>
        <v>5006907</v>
      </c>
      <c r="I6" s="153">
        <f t="shared" si="1"/>
        <v>5006907</v>
      </c>
      <c r="J6" s="153">
        <f t="shared" si="1"/>
        <v>5006907</v>
      </c>
      <c r="K6" s="153">
        <f t="shared" si="1"/>
        <v>5006907</v>
      </c>
      <c r="L6" s="153">
        <f t="shared" si="1"/>
        <v>5006907</v>
      </c>
      <c r="M6" s="153">
        <f t="shared" si="1"/>
        <v>5006907</v>
      </c>
      <c r="N6" s="153">
        <f t="shared" si="1"/>
        <v>5006907</v>
      </c>
      <c r="O6" s="153">
        <f t="shared" si="1"/>
        <v>5026934.6279999996</v>
      </c>
      <c r="P6" s="153">
        <f t="shared" si="1"/>
        <v>5047042.3665119996</v>
      </c>
      <c r="Q6" s="153">
        <f t="shared" si="1"/>
        <v>5067230.5359780481</v>
      </c>
      <c r="R6" s="153">
        <f t="shared" si="1"/>
        <v>5087499.4581219601</v>
      </c>
      <c r="S6" s="153">
        <f t="shared" si="1"/>
        <v>5107849.4559544483</v>
      </c>
      <c r="T6" s="153">
        <f t="shared" si="1"/>
        <v>5128280.8537782663</v>
      </c>
      <c r="U6" s="153">
        <f t="shared" si="1"/>
        <v>5148793.9771933798</v>
      </c>
      <c r="V6" s="153">
        <f t="shared" si="1"/>
        <v>5169389.153102153</v>
      </c>
      <c r="W6" s="153">
        <f t="shared" si="1"/>
        <v>5190066.7097145617</v>
      </c>
      <c r="X6" s="153">
        <f t="shared" si="1"/>
        <v>5210826.9765534196</v>
      </c>
      <c r="Y6" s="153">
        <f t="shared" si="1"/>
        <v>5231670.2844596338</v>
      </c>
      <c r="Z6" s="153">
        <f t="shared" si="1"/>
        <v>5252596.9655974722</v>
      </c>
      <c r="AA6" s="153">
        <f t="shared" si="1"/>
        <v>5273607.3534598621</v>
      </c>
      <c r="AB6" s="153">
        <f t="shared" si="1"/>
        <v>5294701.7828737013</v>
      </c>
      <c r="AC6" s="153">
        <f t="shared" si="1"/>
        <v>5315880.5900051957</v>
      </c>
      <c r="AD6" s="153">
        <f t="shared" si="1"/>
        <v>5337144.1123652169</v>
      </c>
      <c r="AE6" s="153">
        <f t="shared" si="1"/>
        <v>5358492.6888146782</v>
      </c>
      <c r="AF6" s="153">
        <f t="shared" si="1"/>
        <v>5379926.6595699368</v>
      </c>
      <c r="AG6" s="153">
        <f t="shared" si="1"/>
        <v>5401446.3662082162</v>
      </c>
      <c r="AH6" s="153">
        <f t="shared" si="1"/>
        <v>5423052.1516730487</v>
      </c>
      <c r="AI6" s="574">
        <f>SUM(H6:T6)</f>
        <v>65513186.298344724</v>
      </c>
    </row>
    <row r="7" spans="1:38">
      <c r="A7" s="406"/>
      <c r="B7" s="5"/>
      <c r="C7" s="5"/>
      <c r="D7" s="5"/>
      <c r="E7" s="407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2"/>
      <c r="AH7" s="5"/>
      <c r="AI7" s="12"/>
    </row>
    <row r="8" spans="1:38">
      <c r="A8" s="107" t="s">
        <v>449</v>
      </c>
      <c r="B8" s="4"/>
      <c r="C8" s="219">
        <v>2019</v>
      </c>
      <c r="D8" s="77">
        <f>C8+1</f>
        <v>2020</v>
      </c>
      <c r="E8" s="310">
        <v>2021</v>
      </c>
      <c r="F8" s="387">
        <f t="shared" ref="F8:AH8" si="2">E8+1</f>
        <v>2022</v>
      </c>
      <c r="G8" s="387">
        <f t="shared" si="2"/>
        <v>2023</v>
      </c>
      <c r="H8" s="387">
        <f t="shared" si="2"/>
        <v>2024</v>
      </c>
      <c r="I8" s="387">
        <f t="shared" si="2"/>
        <v>2025</v>
      </c>
      <c r="J8" s="387">
        <f t="shared" si="2"/>
        <v>2026</v>
      </c>
      <c r="K8" s="387">
        <f t="shared" si="2"/>
        <v>2027</v>
      </c>
      <c r="L8" s="387">
        <f t="shared" si="2"/>
        <v>2028</v>
      </c>
      <c r="M8" s="387">
        <f t="shared" si="2"/>
        <v>2029</v>
      </c>
      <c r="N8" s="387">
        <f t="shared" si="2"/>
        <v>2030</v>
      </c>
      <c r="O8" s="387">
        <f t="shared" si="2"/>
        <v>2031</v>
      </c>
      <c r="P8" s="387">
        <f t="shared" si="2"/>
        <v>2032</v>
      </c>
      <c r="Q8" s="387">
        <f t="shared" si="2"/>
        <v>2033</v>
      </c>
      <c r="R8" s="387">
        <f t="shared" si="2"/>
        <v>2034</v>
      </c>
      <c r="S8" s="387">
        <f t="shared" si="2"/>
        <v>2035</v>
      </c>
      <c r="T8" s="387">
        <f t="shared" si="2"/>
        <v>2036</v>
      </c>
      <c r="U8" s="387">
        <f t="shared" si="2"/>
        <v>2037</v>
      </c>
      <c r="V8" s="387">
        <f t="shared" si="2"/>
        <v>2038</v>
      </c>
      <c r="W8" s="387">
        <f t="shared" si="2"/>
        <v>2039</v>
      </c>
      <c r="X8" s="387">
        <f t="shared" si="2"/>
        <v>2040</v>
      </c>
      <c r="Y8" s="387">
        <f t="shared" si="2"/>
        <v>2041</v>
      </c>
      <c r="Z8" s="387">
        <f t="shared" si="2"/>
        <v>2042</v>
      </c>
      <c r="AA8" s="387">
        <f t="shared" si="2"/>
        <v>2043</v>
      </c>
      <c r="AB8" s="387">
        <f t="shared" si="2"/>
        <v>2044</v>
      </c>
      <c r="AC8" s="387">
        <f t="shared" si="2"/>
        <v>2045</v>
      </c>
      <c r="AD8" s="387">
        <f t="shared" si="2"/>
        <v>2046</v>
      </c>
      <c r="AE8" s="387">
        <f t="shared" si="2"/>
        <v>2047</v>
      </c>
      <c r="AF8" s="387">
        <f t="shared" si="2"/>
        <v>2048</v>
      </c>
      <c r="AG8" s="387">
        <f t="shared" si="2"/>
        <v>2049</v>
      </c>
      <c r="AH8" s="387">
        <f t="shared" si="2"/>
        <v>2050</v>
      </c>
      <c r="AI8" s="12"/>
    </row>
    <row r="9" spans="1:38">
      <c r="A9" s="214" t="s">
        <v>173</v>
      </c>
      <c r="B9" s="5"/>
      <c r="C9" s="5"/>
      <c r="D9" s="5"/>
      <c r="E9" s="743"/>
      <c r="F9" s="192">
        <f>INDEX(DEFAULT!$E$8:$AJ$11,2,'USER INPUTS'!$B$4)</f>
        <v>0</v>
      </c>
      <c r="G9" s="192">
        <f>INDEX(DEFAULT!$E$8:$AJ$11,2,'USER INPUTS'!$B$4)</f>
        <v>0</v>
      </c>
      <c r="H9" s="192">
        <f>INDEX(DEFAULT!$E$8:$AJ$11,2,'USER INPUTS'!$B$4)</f>
        <v>0</v>
      </c>
      <c r="I9" s="192">
        <f>INDEX(DEFAULT!$E$8:$AJ$11,2,'USER INPUTS'!$B$4)</f>
        <v>0</v>
      </c>
      <c r="J9" s="192">
        <f>INDEX(DEFAULT!$E$8:$AJ$11,2,'USER INPUTS'!$B$4)</f>
        <v>0</v>
      </c>
      <c r="K9" s="192">
        <f>INDEX(DEFAULT!$E$8:$AJ$11,2,'USER INPUTS'!$B$4)</f>
        <v>0</v>
      </c>
      <c r="L9" s="192">
        <f>INDEX(DEFAULT!$E$8:$AJ$11,2,'USER INPUTS'!$B$4)</f>
        <v>0</v>
      </c>
      <c r="M9" s="192">
        <f>INDEX(DEFAULT!$E$8:$AJ$11,2,'USER INPUTS'!$B$4)</f>
        <v>0</v>
      </c>
      <c r="N9" s="192">
        <f>INDEX(DEFAULT!$E$8:$AJ$11,2,'USER INPUTS'!$B$4)</f>
        <v>0</v>
      </c>
      <c r="O9" s="192">
        <f>INDEX(DEFAULT!$E$8:$AJ$11,3,'USER INPUTS'!$B$4)</f>
        <v>0.4</v>
      </c>
      <c r="P9" s="192">
        <f>INDEX(DEFAULT!$E$8:$AJ$11,3,'USER INPUTS'!$B$4)</f>
        <v>0.4</v>
      </c>
      <c r="Q9" s="192">
        <f>INDEX(DEFAULT!$E$8:$AJ$11,3,'USER INPUTS'!$B$4)</f>
        <v>0.4</v>
      </c>
      <c r="R9" s="192">
        <f>INDEX(DEFAULT!$E$8:$AJ$11,3,'USER INPUTS'!$B$4)</f>
        <v>0.4</v>
      </c>
      <c r="S9" s="192">
        <f>INDEX(DEFAULT!$E$8:$AJ$11,3,'USER INPUTS'!$B$4)</f>
        <v>0.4</v>
      </c>
      <c r="T9" s="192">
        <f>INDEX(DEFAULT!$E$8:$AJ$11,3,'USER INPUTS'!$B$4)</f>
        <v>0.4</v>
      </c>
      <c r="U9" s="192">
        <f>INDEX(DEFAULT!$E$8:$AJ$11,3,'USER INPUTS'!$B$4)</f>
        <v>0.4</v>
      </c>
      <c r="V9" s="192">
        <f>INDEX(DEFAULT!$E$8:$AJ$11,3,'USER INPUTS'!$B$4)</f>
        <v>0.4</v>
      </c>
      <c r="W9" s="192">
        <f>INDEX(DEFAULT!$E$8:$AJ$11,3,'USER INPUTS'!$B$4)</f>
        <v>0.4</v>
      </c>
      <c r="X9" s="192">
        <f>INDEX(DEFAULT!$E$8:$AJ$11,3,'USER INPUTS'!$B$4)</f>
        <v>0.4</v>
      </c>
      <c r="Y9" s="192">
        <f>INDEX(DEFAULT!$E$8:$AJ$11,4,'USER INPUTS'!$B$4)</f>
        <v>0.4</v>
      </c>
      <c r="Z9" s="192">
        <f>INDEX(DEFAULT!$E$8:$AJ$11,4,'USER INPUTS'!$B$4)</f>
        <v>0.4</v>
      </c>
      <c r="AA9" s="192">
        <f>INDEX(DEFAULT!$E$8:$AJ$11,4,'USER INPUTS'!$B$4)</f>
        <v>0.4</v>
      </c>
      <c r="AB9" s="192">
        <f>INDEX(DEFAULT!$E$8:$AJ$11,4,'USER INPUTS'!$B$4)</f>
        <v>0.4</v>
      </c>
      <c r="AC9" s="192">
        <f>INDEX(DEFAULT!$E$8:$AJ$11,4,'USER INPUTS'!$B$4)</f>
        <v>0.4</v>
      </c>
      <c r="AD9" s="192">
        <f>INDEX(DEFAULT!$E$8:$AJ$11,4,'USER INPUTS'!$B$4)</f>
        <v>0.4</v>
      </c>
      <c r="AE9" s="192">
        <f>INDEX(DEFAULT!$E$8:$AJ$11,4,'USER INPUTS'!$B$4)</f>
        <v>0.4</v>
      </c>
      <c r="AF9" s="192">
        <f>INDEX(DEFAULT!$E$8:$AJ$11,4,'USER INPUTS'!$B$4)</f>
        <v>0.4</v>
      </c>
      <c r="AG9" s="192">
        <f>INDEX(DEFAULT!$E$8:$AJ$11,4,'USER INPUTS'!$B$4)</f>
        <v>0.4</v>
      </c>
      <c r="AH9" s="192">
        <f>INDEX(DEFAULT!$E$8:$AJ$11,4,'USER INPUTS'!$B$4)</f>
        <v>0.4</v>
      </c>
      <c r="AI9" s="12"/>
    </row>
    <row r="10" spans="1:38">
      <c r="A10" s="215" t="s">
        <v>174</v>
      </c>
      <c r="B10" s="4"/>
      <c r="C10" s="4"/>
      <c r="D10" s="290"/>
      <c r="E10" s="744">
        <f>'USER INPUTS'!B6</f>
        <v>15000</v>
      </c>
      <c r="F10" s="153">
        <f>((100+F9)/100)*E10</f>
        <v>15000</v>
      </c>
      <c r="G10" s="153">
        <f t="shared" ref="G10:AH10" si="3">((100+G9)/100)*F10</f>
        <v>15000</v>
      </c>
      <c r="H10" s="153">
        <f t="shared" si="3"/>
        <v>15000</v>
      </c>
      <c r="I10" s="153">
        <f t="shared" si="3"/>
        <v>15000</v>
      </c>
      <c r="J10" s="153">
        <f t="shared" si="3"/>
        <v>15000</v>
      </c>
      <c r="K10" s="153">
        <f t="shared" si="3"/>
        <v>15000</v>
      </c>
      <c r="L10" s="153">
        <f t="shared" si="3"/>
        <v>15000</v>
      </c>
      <c r="M10" s="153">
        <f t="shared" si="3"/>
        <v>15000</v>
      </c>
      <c r="N10" s="153">
        <f t="shared" si="3"/>
        <v>15000</v>
      </c>
      <c r="O10" s="153">
        <f t="shared" si="3"/>
        <v>15060</v>
      </c>
      <c r="P10" s="153">
        <f t="shared" si="3"/>
        <v>15120.24</v>
      </c>
      <c r="Q10" s="153">
        <f t="shared" si="3"/>
        <v>15180.720960000001</v>
      </c>
      <c r="R10" s="153">
        <f t="shared" si="3"/>
        <v>15241.443843840001</v>
      </c>
      <c r="S10" s="153">
        <f t="shared" si="3"/>
        <v>15302.409619215361</v>
      </c>
      <c r="T10" s="153">
        <f t="shared" si="3"/>
        <v>15363.619257692222</v>
      </c>
      <c r="U10" s="153">
        <f t="shared" si="3"/>
        <v>15425.073734722992</v>
      </c>
      <c r="V10" s="153">
        <f t="shared" si="3"/>
        <v>15486.774029661883</v>
      </c>
      <c r="W10" s="153">
        <f t="shared" si="3"/>
        <v>15548.72112578053</v>
      </c>
      <c r="X10" s="153">
        <f t="shared" si="3"/>
        <v>15610.916010283652</v>
      </c>
      <c r="Y10" s="153">
        <f t="shared" si="3"/>
        <v>15673.359674324787</v>
      </c>
      <c r="Z10" s="153">
        <f t="shared" si="3"/>
        <v>15736.053113022086</v>
      </c>
      <c r="AA10" s="153">
        <f t="shared" si="3"/>
        <v>15798.997325474174</v>
      </c>
      <c r="AB10" s="153">
        <f t="shared" si="3"/>
        <v>15862.193314776072</v>
      </c>
      <c r="AC10" s="153">
        <f t="shared" si="3"/>
        <v>15925.642088035176</v>
      </c>
      <c r="AD10" s="153">
        <f t="shared" si="3"/>
        <v>15989.344656387317</v>
      </c>
      <c r="AE10" s="153">
        <f t="shared" si="3"/>
        <v>16053.302035012866</v>
      </c>
      <c r="AF10" s="153">
        <f t="shared" si="3"/>
        <v>16117.515243152919</v>
      </c>
      <c r="AG10" s="153">
        <f t="shared" si="3"/>
        <v>16181.98530412553</v>
      </c>
      <c r="AH10" s="153">
        <f t="shared" si="3"/>
        <v>16246.713245342033</v>
      </c>
      <c r="AI10" s="12"/>
    </row>
    <row r="11" spans="1:38">
      <c r="A11" s="406"/>
      <c r="B11" s="5"/>
      <c r="C11" s="5"/>
      <c r="D11" s="70"/>
      <c r="E11" s="14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2"/>
      <c r="AH11" s="5"/>
      <c r="AI11" s="12"/>
    </row>
    <row r="12" spans="1:38">
      <c r="A12" s="107" t="s">
        <v>450</v>
      </c>
      <c r="B12" s="147"/>
      <c r="C12" s="148">
        <v>2019</v>
      </c>
      <c r="D12" s="77">
        <f>C12+1</f>
        <v>2020</v>
      </c>
      <c r="E12" s="166">
        <v>2021</v>
      </c>
      <c r="F12" s="387">
        <f t="shared" ref="F12:AH12" si="4">E12+1</f>
        <v>2022</v>
      </c>
      <c r="G12" s="387">
        <f t="shared" si="4"/>
        <v>2023</v>
      </c>
      <c r="H12" s="387">
        <f t="shared" si="4"/>
        <v>2024</v>
      </c>
      <c r="I12" s="387">
        <f t="shared" si="4"/>
        <v>2025</v>
      </c>
      <c r="J12" s="387">
        <f t="shared" si="4"/>
        <v>2026</v>
      </c>
      <c r="K12" s="387">
        <f t="shared" si="4"/>
        <v>2027</v>
      </c>
      <c r="L12" s="387">
        <f t="shared" si="4"/>
        <v>2028</v>
      </c>
      <c r="M12" s="387">
        <f t="shared" si="4"/>
        <v>2029</v>
      </c>
      <c r="N12" s="387">
        <f t="shared" si="4"/>
        <v>2030</v>
      </c>
      <c r="O12" s="387">
        <f t="shared" si="4"/>
        <v>2031</v>
      </c>
      <c r="P12" s="387">
        <f t="shared" si="4"/>
        <v>2032</v>
      </c>
      <c r="Q12" s="387">
        <f t="shared" si="4"/>
        <v>2033</v>
      </c>
      <c r="R12" s="387">
        <f t="shared" si="4"/>
        <v>2034</v>
      </c>
      <c r="S12" s="387">
        <f t="shared" si="4"/>
        <v>2035</v>
      </c>
      <c r="T12" s="387">
        <f t="shared" si="4"/>
        <v>2036</v>
      </c>
      <c r="U12" s="387">
        <f t="shared" si="4"/>
        <v>2037</v>
      </c>
      <c r="V12" s="387">
        <f t="shared" si="4"/>
        <v>2038</v>
      </c>
      <c r="W12" s="387">
        <f t="shared" si="4"/>
        <v>2039</v>
      </c>
      <c r="X12" s="387">
        <f t="shared" si="4"/>
        <v>2040</v>
      </c>
      <c r="Y12" s="387">
        <f t="shared" si="4"/>
        <v>2041</v>
      </c>
      <c r="Z12" s="387">
        <f t="shared" si="4"/>
        <v>2042</v>
      </c>
      <c r="AA12" s="387">
        <f t="shared" si="4"/>
        <v>2043</v>
      </c>
      <c r="AB12" s="387">
        <f t="shared" si="4"/>
        <v>2044</v>
      </c>
      <c r="AC12" s="387">
        <f t="shared" si="4"/>
        <v>2045</v>
      </c>
      <c r="AD12" s="387">
        <f t="shared" si="4"/>
        <v>2046</v>
      </c>
      <c r="AE12" s="387">
        <f t="shared" si="4"/>
        <v>2047</v>
      </c>
      <c r="AF12" s="387">
        <f t="shared" si="4"/>
        <v>2048</v>
      </c>
      <c r="AG12" s="387">
        <f t="shared" si="4"/>
        <v>2049</v>
      </c>
      <c r="AH12" s="387">
        <f t="shared" si="4"/>
        <v>2050</v>
      </c>
      <c r="AI12" s="126">
        <f>SUM(H12:T12)</f>
        <v>26390</v>
      </c>
      <c r="AJ12" s="85"/>
      <c r="AK12" s="86"/>
    </row>
    <row r="13" spans="1:38">
      <c r="A13" s="36" t="s">
        <v>113</v>
      </c>
      <c r="B13" s="2"/>
      <c r="C13" s="149"/>
      <c r="D13" s="408">
        <f>INDEX(DEFAULT!$E$21:$AL$24,1,'USER INPUTS'!$B$4)</f>
        <v>-3.5</v>
      </c>
      <c r="E13" s="408">
        <v>0</v>
      </c>
      <c r="F13" s="408">
        <v>0</v>
      </c>
      <c r="G13" s="408">
        <v>0</v>
      </c>
      <c r="H13" s="408">
        <v>0</v>
      </c>
      <c r="I13" s="408">
        <v>0</v>
      </c>
      <c r="J13" s="408">
        <v>0</v>
      </c>
      <c r="K13" s="408">
        <v>0</v>
      </c>
      <c r="L13" s="408">
        <v>0</v>
      </c>
      <c r="M13" s="408">
        <v>0</v>
      </c>
      <c r="N13" s="408">
        <v>0</v>
      </c>
      <c r="O13" s="408">
        <v>0</v>
      </c>
      <c r="P13" s="408">
        <v>0</v>
      </c>
      <c r="Q13" s="408">
        <v>0</v>
      </c>
      <c r="R13" s="408">
        <v>0</v>
      </c>
      <c r="S13" s="408">
        <v>0</v>
      </c>
      <c r="T13" s="408">
        <v>0</v>
      </c>
      <c r="U13" s="408">
        <v>0</v>
      </c>
      <c r="V13" s="408">
        <v>0</v>
      </c>
      <c r="W13" s="408">
        <v>0</v>
      </c>
      <c r="X13" s="408">
        <f>INDEX(DEFAULT!$E$21:$AL$24,3,'USER INPUTS'!$B$4)</f>
        <v>-3.8</v>
      </c>
      <c r="Y13" s="408">
        <f>INDEX(DEFAULT!$E$21:$AL$24,4,'USER INPUTS'!$B$4)</f>
        <v>-3.8</v>
      </c>
      <c r="Z13" s="408">
        <f>INDEX(DEFAULT!$E$21:$AL$24,4,'USER INPUTS'!$B$4)</f>
        <v>-3.8</v>
      </c>
      <c r="AA13" s="408">
        <f>INDEX(DEFAULT!$E$21:$AL$24,4,'USER INPUTS'!$B$4)</f>
        <v>-3.8</v>
      </c>
      <c r="AB13" s="408">
        <f>INDEX(DEFAULT!$E$21:$AL$24,4,'USER INPUTS'!$B$4)</f>
        <v>-3.8</v>
      </c>
      <c r="AC13" s="408">
        <f>INDEX(DEFAULT!$E$21:$AL$24,4,'USER INPUTS'!$B$4)</f>
        <v>-3.8</v>
      </c>
      <c r="AD13" s="408">
        <f>INDEX(DEFAULT!$E$21:$AL$24,4,'USER INPUTS'!$B$4)</f>
        <v>-3.8</v>
      </c>
      <c r="AE13" s="408">
        <f>INDEX(DEFAULT!$E$21:$AL$24,4,'USER INPUTS'!$B$4)</f>
        <v>-3.8</v>
      </c>
      <c r="AF13" s="408">
        <f>INDEX(DEFAULT!$E$21:$AL$24,4,'USER INPUTS'!$B$4)</f>
        <v>-3.8</v>
      </c>
      <c r="AG13" s="408">
        <f>INDEX(DEFAULT!$E$21:$AL$24,4,'USER INPUTS'!$B$4)</f>
        <v>-3.8</v>
      </c>
      <c r="AH13" s="408">
        <f>INDEX(DEFAULT!$E$21:$AL$24,4,'USER INPUTS'!$B$4)</f>
        <v>-3.8</v>
      </c>
      <c r="AI13" s="126"/>
      <c r="AJ13" s="85"/>
      <c r="AK13" s="86"/>
    </row>
    <row r="14" spans="1:38">
      <c r="A14" s="63" t="s">
        <v>114</v>
      </c>
      <c r="B14" s="3"/>
      <c r="C14" s="742">
        <f>INDEX(DEFAULT!E16:AL16,1,'USER INPUTS'!B4)</f>
        <v>364.08695652173913</v>
      </c>
      <c r="D14" s="153">
        <f>((100+D13)/100)*C14</f>
        <v>351.34391304347827</v>
      </c>
      <c r="E14" s="153">
        <f>((100+E13)/100)*D14</f>
        <v>351.34391304347827</v>
      </c>
      <c r="F14" s="153">
        <f t="shared" ref="F14:AH14" si="5">((100+F13)/100)*E14</f>
        <v>351.34391304347827</v>
      </c>
      <c r="G14" s="153">
        <f t="shared" si="5"/>
        <v>351.34391304347827</v>
      </c>
      <c r="H14" s="153">
        <f t="shared" si="5"/>
        <v>351.34391304347827</v>
      </c>
      <c r="I14" s="153">
        <f t="shared" si="5"/>
        <v>351.34391304347827</v>
      </c>
      <c r="J14" s="153">
        <f t="shared" si="5"/>
        <v>351.34391304347827</v>
      </c>
      <c r="K14" s="153">
        <f t="shared" si="5"/>
        <v>351.34391304347827</v>
      </c>
      <c r="L14" s="153">
        <f t="shared" si="5"/>
        <v>351.34391304347827</v>
      </c>
      <c r="M14" s="153">
        <f t="shared" si="5"/>
        <v>351.34391304347827</v>
      </c>
      <c r="N14" s="153">
        <f t="shared" si="5"/>
        <v>351.34391304347827</v>
      </c>
      <c r="O14" s="153">
        <f t="shared" si="5"/>
        <v>351.34391304347827</v>
      </c>
      <c r="P14" s="153">
        <f t="shared" si="5"/>
        <v>351.34391304347827</v>
      </c>
      <c r="Q14" s="153">
        <f t="shared" si="5"/>
        <v>351.34391304347827</v>
      </c>
      <c r="R14" s="153">
        <f t="shared" si="5"/>
        <v>351.34391304347827</v>
      </c>
      <c r="S14" s="153">
        <f t="shared" si="5"/>
        <v>351.34391304347827</v>
      </c>
      <c r="T14" s="153">
        <f t="shared" si="5"/>
        <v>351.34391304347827</v>
      </c>
      <c r="U14" s="153">
        <f t="shared" si="5"/>
        <v>351.34391304347827</v>
      </c>
      <c r="V14" s="153">
        <f t="shared" si="5"/>
        <v>351.34391304347827</v>
      </c>
      <c r="W14" s="153">
        <f t="shared" si="5"/>
        <v>351.34391304347827</v>
      </c>
      <c r="X14" s="153">
        <f t="shared" si="5"/>
        <v>337.99284434782612</v>
      </c>
      <c r="Y14" s="153">
        <f t="shared" si="5"/>
        <v>325.14911626260874</v>
      </c>
      <c r="Z14" s="153">
        <f t="shared" si="5"/>
        <v>312.79344984462966</v>
      </c>
      <c r="AA14" s="153">
        <f t="shared" si="5"/>
        <v>300.90729875053376</v>
      </c>
      <c r="AB14" s="153">
        <f t="shared" si="5"/>
        <v>289.47282139801348</v>
      </c>
      <c r="AC14" s="153">
        <f t="shared" si="5"/>
        <v>278.472854184889</v>
      </c>
      <c r="AD14" s="153">
        <f t="shared" si="5"/>
        <v>267.89088572586326</v>
      </c>
      <c r="AE14" s="153">
        <f t="shared" si="5"/>
        <v>257.71103206828047</v>
      </c>
      <c r="AF14" s="153">
        <f t="shared" si="5"/>
        <v>247.91801284968582</v>
      </c>
      <c r="AG14" s="153">
        <f t="shared" si="5"/>
        <v>238.49712836139778</v>
      </c>
      <c r="AH14" s="153">
        <f t="shared" si="5"/>
        <v>229.43423748366467</v>
      </c>
      <c r="AI14" s="126"/>
      <c r="AJ14" s="85"/>
      <c r="AK14" s="86"/>
    </row>
    <row r="15" spans="1:38" ht="15.75" thickBot="1">
      <c r="A15" s="39"/>
      <c r="B15" s="40"/>
      <c r="C15" s="88"/>
      <c r="D15" s="88"/>
      <c r="E15" s="311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9"/>
      <c r="AJ15" s="86"/>
      <c r="AK15" s="86"/>
      <c r="AL15" s="86"/>
    </row>
    <row r="16" spans="1:38" ht="19.5" thickBot="1">
      <c r="A16" s="18"/>
      <c r="AJ16" s="85"/>
      <c r="AK16" s="86"/>
      <c r="AL16" s="86"/>
    </row>
    <row r="17" spans="1:38" ht="19.5" thickBot="1">
      <c r="A17" s="769" t="s">
        <v>446</v>
      </c>
      <c r="B17" s="770"/>
      <c r="C17" s="770"/>
      <c r="D17" s="770"/>
      <c r="E17" s="770"/>
      <c r="F17" s="770"/>
      <c r="G17" s="770"/>
      <c r="H17" s="770"/>
      <c r="I17" s="770"/>
      <c r="J17" s="770"/>
      <c r="K17" s="770"/>
      <c r="L17" s="770"/>
      <c r="M17" s="770"/>
      <c r="N17" s="770"/>
      <c r="O17" s="770"/>
      <c r="P17" s="770"/>
      <c r="Q17" s="770"/>
      <c r="R17" s="770"/>
      <c r="S17" s="770"/>
      <c r="T17" s="770"/>
      <c r="U17" s="770"/>
      <c r="V17" s="770"/>
      <c r="W17" s="770"/>
      <c r="X17" s="770"/>
      <c r="Y17" s="770"/>
      <c r="Z17" s="770"/>
      <c r="AA17" s="770"/>
      <c r="AB17" s="770"/>
      <c r="AC17" s="770"/>
      <c r="AD17" s="770"/>
      <c r="AE17" s="770"/>
      <c r="AF17" s="770"/>
      <c r="AG17" s="770"/>
      <c r="AH17" s="770"/>
      <c r="AI17" s="771"/>
      <c r="AJ17" s="85"/>
      <c r="AK17" s="86"/>
    </row>
    <row r="18" spans="1:38">
      <c r="A18" s="224" t="s">
        <v>468</v>
      </c>
      <c r="B18" s="25"/>
      <c r="C18" s="91"/>
      <c r="D18" s="91"/>
      <c r="E18" s="312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129"/>
      <c r="AJ18" s="85"/>
      <c r="AK18" s="73"/>
    </row>
    <row r="19" spans="1:38">
      <c r="A19" s="128" t="s">
        <v>512</v>
      </c>
      <c r="B19" s="64">
        <v>2018</v>
      </c>
      <c r="C19" s="64">
        <v>2019</v>
      </c>
      <c r="D19" s="64">
        <v>2020</v>
      </c>
      <c r="E19" s="313">
        <v>2021</v>
      </c>
      <c r="F19" s="64">
        <f t="shared" ref="F19:AH19" si="6">E19+1</f>
        <v>2022</v>
      </c>
      <c r="G19" s="64">
        <f t="shared" si="6"/>
        <v>2023</v>
      </c>
      <c r="H19" s="64">
        <f t="shared" si="6"/>
        <v>2024</v>
      </c>
      <c r="I19" s="64">
        <f t="shared" si="6"/>
        <v>2025</v>
      </c>
      <c r="J19" s="64">
        <f t="shared" si="6"/>
        <v>2026</v>
      </c>
      <c r="K19" s="64">
        <f t="shared" si="6"/>
        <v>2027</v>
      </c>
      <c r="L19" s="64">
        <f t="shared" si="6"/>
        <v>2028</v>
      </c>
      <c r="M19" s="64">
        <f t="shared" si="6"/>
        <v>2029</v>
      </c>
      <c r="N19" s="64">
        <f t="shared" si="6"/>
        <v>2030</v>
      </c>
      <c r="O19" s="64">
        <f t="shared" si="6"/>
        <v>2031</v>
      </c>
      <c r="P19" s="64">
        <f t="shared" si="6"/>
        <v>2032</v>
      </c>
      <c r="Q19" s="64">
        <f t="shared" si="6"/>
        <v>2033</v>
      </c>
      <c r="R19" s="64">
        <f t="shared" si="6"/>
        <v>2034</v>
      </c>
      <c r="S19" s="64">
        <f t="shared" si="6"/>
        <v>2035</v>
      </c>
      <c r="T19" s="64">
        <f t="shared" si="6"/>
        <v>2036</v>
      </c>
      <c r="U19" s="64">
        <f t="shared" si="6"/>
        <v>2037</v>
      </c>
      <c r="V19" s="64">
        <f t="shared" si="6"/>
        <v>2038</v>
      </c>
      <c r="W19" s="64">
        <f t="shared" si="6"/>
        <v>2039</v>
      </c>
      <c r="X19" s="64">
        <f t="shared" si="6"/>
        <v>2040</v>
      </c>
      <c r="Y19" s="64">
        <f t="shared" si="6"/>
        <v>2041</v>
      </c>
      <c r="Z19" s="64">
        <f t="shared" si="6"/>
        <v>2042</v>
      </c>
      <c r="AA19" s="64">
        <f t="shared" si="6"/>
        <v>2043</v>
      </c>
      <c r="AB19" s="64">
        <f t="shared" si="6"/>
        <v>2044</v>
      </c>
      <c r="AC19" s="64">
        <f t="shared" si="6"/>
        <v>2045</v>
      </c>
      <c r="AD19" s="64">
        <f t="shared" si="6"/>
        <v>2046</v>
      </c>
      <c r="AE19" s="64">
        <f t="shared" si="6"/>
        <v>2047</v>
      </c>
      <c r="AF19" s="64">
        <f t="shared" si="6"/>
        <v>2048</v>
      </c>
      <c r="AG19" s="64">
        <f t="shared" si="6"/>
        <v>2049</v>
      </c>
      <c r="AH19" s="64">
        <f t="shared" si="6"/>
        <v>2050</v>
      </c>
      <c r="AI19" s="93"/>
      <c r="AJ19" s="85"/>
      <c r="AK19" s="73"/>
    </row>
    <row r="20" spans="1:38">
      <c r="A20" s="27" t="s">
        <v>44</v>
      </c>
      <c r="B20" s="182">
        <f>('USER INPUTS'!$B$6/INDEX(DEFAULT!$E$4:$AL$4,1,'USER INPUTS'!$B$4))*INDEX(DEFAULT!$E$33:$AL$36,1,'USER INPUTS'!$B$4)</f>
        <v>3.1454149238242288E-2</v>
      </c>
      <c r="C20" s="182">
        <f>(100+INDEX(DEFAULT!E91:AJ93,1,'USER INPUTS'!$B$4))/100*'LOCAL DATASET INPUTS'!B20</f>
        <v>3.1674328282909989E-2</v>
      </c>
      <c r="D20" s="412">
        <f>(100+INDEX(DEFAULT!E91:AJ93,1,'USER INPUTS'!$B$4))/100*'LOCAL DATASET INPUTS'!C20</f>
        <v>3.189604858089036E-2</v>
      </c>
      <c r="E20" s="182">
        <f>(100+INDEX(DEFAULT!E91:AJ93,2,'USER INPUTS'!$B$4))/100*'LOCAL DATASET INPUTS'!D20</f>
        <v>3.2119320920956596E-2</v>
      </c>
      <c r="F20" s="182" t="e">
        <f>(100+INDEX(DEFAULT!#REF!,2,'USER INPUTS'!$B$4))/100*'LOCAL DATASET INPUTS'!E20</f>
        <v>#REF!</v>
      </c>
      <c r="G20" s="182" t="e">
        <f>(100+INDEX(DEFAULT!#REF!,2,'USER INPUTS'!$B$4))/100*'LOCAL DATASET INPUTS'!F20</f>
        <v>#REF!</v>
      </c>
      <c r="H20" s="182" t="e">
        <f>(100+INDEX(DEFAULT!#REF!,2,'USER INPUTS'!$B$4))/100*'LOCAL DATASET INPUTS'!G20</f>
        <v>#REF!</v>
      </c>
      <c r="I20" s="182" t="e">
        <f>(100+INDEX(DEFAULT!#REF!,2,'USER INPUTS'!$B$4))/100*'LOCAL DATASET INPUTS'!H20</f>
        <v>#REF!</v>
      </c>
      <c r="J20" s="182" t="e">
        <f>(100+INDEX(DEFAULT!#REF!,2,'USER INPUTS'!$B$4))/100*'LOCAL DATASET INPUTS'!I20</f>
        <v>#REF!</v>
      </c>
      <c r="K20" s="182" t="e">
        <f>(100+INDEX(DEFAULT!#REF!,2,'USER INPUTS'!$B$4))/100*'LOCAL DATASET INPUTS'!J20</f>
        <v>#REF!</v>
      </c>
      <c r="L20" s="182" t="e">
        <f>(100+INDEX(DEFAULT!#REF!,2,'USER INPUTS'!$B$4))/100*'LOCAL DATASET INPUTS'!K20</f>
        <v>#REF!</v>
      </c>
      <c r="M20" s="182" t="e">
        <f>(100+INDEX(DEFAULT!#REF!,2,'USER INPUTS'!$B$4))/100*'LOCAL DATASET INPUTS'!L20</f>
        <v>#REF!</v>
      </c>
      <c r="N20" s="182" t="e">
        <f>(100+INDEX(DEFAULT!#REF!,2,'USER INPUTS'!$B$4))/100*'LOCAL DATASET INPUTS'!M20</f>
        <v>#REF!</v>
      </c>
      <c r="O20" s="182" t="e">
        <f>(100+INDEX(DEFAULT!#REF!,3,'USER INPUTS'!$B$4))/100*'LOCAL DATASET INPUTS'!N20</f>
        <v>#REF!</v>
      </c>
      <c r="P20" s="182" t="e">
        <f>(100+INDEX(DEFAULT!#REF!,3,'USER INPUTS'!$B$4))/100*'LOCAL DATASET INPUTS'!O20</f>
        <v>#REF!</v>
      </c>
      <c r="Q20" s="182" t="e">
        <f>(100+INDEX(DEFAULT!#REF!,3,'USER INPUTS'!$B$4))/100*'LOCAL DATASET INPUTS'!P20</f>
        <v>#REF!</v>
      </c>
      <c r="R20" s="182" t="e">
        <f>(100+INDEX(DEFAULT!#REF!,3,'USER INPUTS'!$B$4))/100*'LOCAL DATASET INPUTS'!Q20</f>
        <v>#REF!</v>
      </c>
      <c r="S20" s="182" t="e">
        <f>(100+INDEX(DEFAULT!#REF!,3,'USER INPUTS'!$B$4))/100*'LOCAL DATASET INPUTS'!R20</f>
        <v>#REF!</v>
      </c>
      <c r="T20" s="182" t="e">
        <f>(100+INDEX(DEFAULT!#REF!,3,'USER INPUTS'!$B$4))/100*'LOCAL DATASET INPUTS'!S20</f>
        <v>#REF!</v>
      </c>
      <c r="U20" s="182" t="e">
        <f>(100+INDEX(DEFAULT!#REF!,3,'USER INPUTS'!$B$4))/100*'LOCAL DATASET INPUTS'!T20</f>
        <v>#REF!</v>
      </c>
      <c r="V20" s="182" t="e">
        <f>(100+INDEX(DEFAULT!#REF!,3,'USER INPUTS'!$B$4))/100*'LOCAL DATASET INPUTS'!U20</f>
        <v>#REF!</v>
      </c>
      <c r="W20" s="182" t="e">
        <f>(100+INDEX(DEFAULT!#REF!,3,'USER INPUTS'!$B$4))/100*'LOCAL DATASET INPUTS'!V20</f>
        <v>#REF!</v>
      </c>
      <c r="X20" s="182" t="e">
        <f>(100+INDEX(DEFAULT!#REF!,3,'USER INPUTS'!$B$4))/100*'LOCAL DATASET INPUTS'!W20</f>
        <v>#REF!</v>
      </c>
      <c r="Y20" s="182" t="e">
        <f>(100+INDEX(DEFAULT!#REF!,4,'USER INPUTS'!$B$4))/100*'LOCAL DATASET INPUTS'!X20</f>
        <v>#REF!</v>
      </c>
      <c r="Z20" s="182" t="e">
        <f>(100+INDEX(DEFAULT!#REF!,4,'USER INPUTS'!$B$4))/100*'LOCAL DATASET INPUTS'!Y20</f>
        <v>#REF!</v>
      </c>
      <c r="AA20" s="182" t="e">
        <f>(100+INDEX(DEFAULT!#REF!,4,'USER INPUTS'!$B$4))/100*'LOCAL DATASET INPUTS'!Z20</f>
        <v>#REF!</v>
      </c>
      <c r="AB20" s="182" t="e">
        <f>(100+INDEX(DEFAULT!#REF!,4,'USER INPUTS'!$B$4))/100*'LOCAL DATASET INPUTS'!AA20</f>
        <v>#REF!</v>
      </c>
      <c r="AC20" s="182" t="e">
        <f>(100+INDEX(DEFAULT!#REF!,4,'USER INPUTS'!$B$4))/100*'LOCAL DATASET INPUTS'!AB20</f>
        <v>#REF!</v>
      </c>
      <c r="AD20" s="182" t="e">
        <f>(100+INDEX(DEFAULT!#REF!,4,'USER INPUTS'!$B$4))/100*'LOCAL DATASET INPUTS'!AC20</f>
        <v>#REF!</v>
      </c>
      <c r="AE20" s="182" t="e">
        <f>(100+INDEX(DEFAULT!#REF!,4,'USER INPUTS'!$B$4))/100*'LOCAL DATASET INPUTS'!AD20</f>
        <v>#REF!</v>
      </c>
      <c r="AF20" s="182" t="e">
        <f>(100+INDEX(DEFAULT!#REF!,4,'USER INPUTS'!$B$4))/100*'LOCAL DATASET INPUTS'!AE20</f>
        <v>#REF!</v>
      </c>
      <c r="AG20" s="182" t="e">
        <f>(100+INDEX(DEFAULT!#REF!,4,'USER INPUTS'!$B$4))/100*'LOCAL DATASET INPUTS'!AF20</f>
        <v>#REF!</v>
      </c>
      <c r="AH20" s="182" t="e">
        <f>(100+INDEX(DEFAULT!#REF!,4,'USER INPUTS'!$B$4))/100*'LOCAL DATASET INPUTS'!AG20</f>
        <v>#REF!</v>
      </c>
      <c r="AI20" s="93"/>
      <c r="AJ20" s="85"/>
      <c r="AK20" s="73"/>
    </row>
    <row r="21" spans="1:38">
      <c r="A21" s="27" t="s">
        <v>43</v>
      </c>
      <c r="B21" s="182">
        <f>('USER INPUTS'!$B$6/INDEX(DEFAULT!$E$4:$AL$4,1,'USER INPUTS'!$B$4))*INDEX(DEFAULT!$E$33:$AL$36,2,'USER INPUTS'!$B$4)</f>
        <v>0.1712526189834577</v>
      </c>
      <c r="C21" s="182">
        <f>(100+INDEX(DEFAULT!E150:AJ153,1,'USER INPUTS'!$B$4))/100*B21</f>
        <v>0.17262263993532537</v>
      </c>
      <c r="D21" s="327">
        <f>(100+INDEX(DEFAULT!E150:AJ153,1,'USER INPUTS'!$B$4))/100*C21</f>
        <v>0.17400362105480796</v>
      </c>
      <c r="E21" s="182">
        <f>(100+INDEX(DEFAULT!E150:AJ153,2,'USER INPUTS'!$B$4))/100*D21</f>
        <v>0.1771356862337945</v>
      </c>
      <c r="F21" s="182" t="e">
        <f>(100+INDEX(DEFAULT!#REF!,2,'USER INPUTS'!$B$4))/100*E21</f>
        <v>#REF!</v>
      </c>
      <c r="G21" s="182" t="e">
        <f>(100+INDEX(DEFAULT!#REF!,2,'USER INPUTS'!$B$4))/100*F21</f>
        <v>#REF!</v>
      </c>
      <c r="H21" s="182" t="e">
        <f>(100+INDEX(DEFAULT!#REF!,2,'USER INPUTS'!$B$4))/100*G21</f>
        <v>#REF!</v>
      </c>
      <c r="I21" s="182" t="e">
        <f>(100+INDEX(DEFAULT!#REF!,2,'USER INPUTS'!$B$4))/100*H21</f>
        <v>#REF!</v>
      </c>
      <c r="J21" s="182" t="e">
        <f>(100+INDEX(DEFAULT!#REF!,2,'USER INPUTS'!$B$4))/100*I21</f>
        <v>#REF!</v>
      </c>
      <c r="K21" s="182" t="e">
        <f>(100+INDEX(DEFAULT!#REF!,2,'USER INPUTS'!$B$4))/100*J21</f>
        <v>#REF!</v>
      </c>
      <c r="L21" s="182" t="e">
        <f>(100+INDEX(DEFAULT!#REF!,2,'USER INPUTS'!$B$4))/100*K21</f>
        <v>#REF!</v>
      </c>
      <c r="M21" s="182" t="e">
        <f>(100+INDEX(DEFAULT!#REF!,2,'USER INPUTS'!$B$4))/100*L21</f>
        <v>#REF!</v>
      </c>
      <c r="N21" s="182" t="e">
        <f>(100+INDEX(DEFAULT!#REF!,2,'USER INPUTS'!$B$4))/100*M21</f>
        <v>#REF!</v>
      </c>
      <c r="O21" s="182" t="e">
        <f>(100+INDEX(DEFAULT!#REF!,3,'USER INPUTS'!$B$4))/100*N21</f>
        <v>#REF!</v>
      </c>
      <c r="P21" s="182" t="e">
        <f>(100+INDEX(DEFAULT!#REF!,3,'USER INPUTS'!$B$4))/100*O21</f>
        <v>#REF!</v>
      </c>
      <c r="Q21" s="182" t="e">
        <f>(100+INDEX(DEFAULT!#REF!,3,'USER INPUTS'!$B$4))/100*P21</f>
        <v>#REF!</v>
      </c>
      <c r="R21" s="182" t="e">
        <f>(100+INDEX(DEFAULT!#REF!,3,'USER INPUTS'!$B$4))/100*Q21</f>
        <v>#REF!</v>
      </c>
      <c r="S21" s="182" t="e">
        <f>(100+INDEX(DEFAULT!#REF!,3,'USER INPUTS'!$B$4))/100*R21</f>
        <v>#REF!</v>
      </c>
      <c r="T21" s="182" t="e">
        <f>(100+INDEX(DEFAULT!#REF!,3,'USER INPUTS'!$B$4))/100*S21</f>
        <v>#REF!</v>
      </c>
      <c r="U21" s="182" t="e">
        <f>(100+INDEX(DEFAULT!#REF!,3,'USER INPUTS'!$B$4))/100*T21</f>
        <v>#REF!</v>
      </c>
      <c r="V21" s="182" t="e">
        <f>(100+INDEX(DEFAULT!#REF!,3,'USER INPUTS'!$B$4))/100*U21</f>
        <v>#REF!</v>
      </c>
      <c r="W21" s="182" t="e">
        <f>(100+INDEX(DEFAULT!#REF!,3,'USER INPUTS'!$B$4))/100*V21</f>
        <v>#REF!</v>
      </c>
      <c r="X21" s="182" t="e">
        <f>(100+INDEX(DEFAULT!#REF!,3,'USER INPUTS'!$B$4))/100*W21</f>
        <v>#REF!</v>
      </c>
      <c r="Y21" s="182" t="e">
        <f>(100+INDEX(DEFAULT!#REF!,4,'USER INPUTS'!$B$4))/100*X21</f>
        <v>#REF!</v>
      </c>
      <c r="Z21" s="182" t="e">
        <f>(100+INDEX(DEFAULT!#REF!,4,'USER INPUTS'!$B$4))/100*Y21</f>
        <v>#REF!</v>
      </c>
      <c r="AA21" s="182" t="e">
        <f>(100+INDEX(DEFAULT!#REF!,4,'USER INPUTS'!$B$4))/100*Z21</f>
        <v>#REF!</v>
      </c>
      <c r="AB21" s="182" t="e">
        <f>(100+INDEX(DEFAULT!#REF!,4,'USER INPUTS'!$B$4))/100*AA21</f>
        <v>#REF!</v>
      </c>
      <c r="AC21" s="182" t="e">
        <f>(100+INDEX(DEFAULT!#REF!,4,'USER INPUTS'!$B$4))/100*AB21</f>
        <v>#REF!</v>
      </c>
      <c r="AD21" s="182" t="e">
        <f>(100+INDEX(DEFAULT!#REF!,4,'USER INPUTS'!$B$4))/100*AC21</f>
        <v>#REF!</v>
      </c>
      <c r="AE21" s="182" t="e">
        <f>(100+INDEX(DEFAULT!#REF!,4,'USER INPUTS'!$B$4))/100*AD21</f>
        <v>#REF!</v>
      </c>
      <c r="AF21" s="182" t="e">
        <f>(100+INDEX(DEFAULT!#REF!,4,'USER INPUTS'!$B$4))/100*AE21</f>
        <v>#REF!</v>
      </c>
      <c r="AG21" s="182" t="e">
        <f>(100+INDEX(DEFAULT!#REF!,4,'USER INPUTS'!$B$4))/100*AF21</f>
        <v>#REF!</v>
      </c>
      <c r="AH21" s="182" t="e">
        <f>(100+INDEX(DEFAULT!#REF!,4,'USER INPUTS'!$B$4))/100*AG21</f>
        <v>#REF!</v>
      </c>
      <c r="AI21" s="93"/>
      <c r="AJ21" s="85"/>
      <c r="AK21" s="73"/>
    </row>
    <row r="22" spans="1:38">
      <c r="A22" s="27" t="s">
        <v>419</v>
      </c>
      <c r="B22" s="182">
        <f>('USER INPUTS'!$B$6/INDEX(DEFAULT!$E$4:$AL$4,1,'USER INPUTS'!$B$4))*INDEX(DEFAULT!$E$33:$AL$36,3,'USER INPUTS'!$B$4)</f>
        <v>9.4968810085747544E-4</v>
      </c>
      <c r="C22" s="182">
        <f>(100+INDEX(DEFAULT!$E$237:$AL$240,1,'USER INPUTS'!$B$4))/100*B22</f>
        <v>9.5823529376519283E-4</v>
      </c>
      <c r="D22" s="327">
        <f>(100+INDEX(DEFAULT!$E$237:$AL$240,1,'USER INPUTS'!$B$4))/100*C22</f>
        <v>9.6685941140907969E-4</v>
      </c>
      <c r="E22" s="182">
        <f>(100+INDEX(DEFAULT!$E$237:$AL$240,2,'USER INPUTS'!$B$4))/100*D22</f>
        <v>9.7459428670035233E-4</v>
      </c>
      <c r="F22" s="182">
        <f>(100+INDEX(DEFAULT!$E$237:$AL$240,2,'USER INPUTS'!$B$4))/100*E22</f>
        <v>9.8239104099395519E-4</v>
      </c>
      <c r="G22" s="182">
        <f>(100+INDEX(DEFAULT!$E$237:$AL$240,2,'USER INPUTS'!$B$4))/100*F22</f>
        <v>9.9025016932190678E-4</v>
      </c>
      <c r="H22" s="182">
        <f>(100+INDEX(DEFAULT!$E$237:$AL$240,2,'USER INPUTS'!$B$4))/100*G22</f>
        <v>9.9817217067648214E-4</v>
      </c>
      <c r="I22" s="182">
        <f>(100+INDEX(DEFAULT!$E$237:$AL$240,2,'USER INPUTS'!$B$4))/100*H22</f>
        <v>1.0061575480418939E-3</v>
      </c>
      <c r="J22" s="182">
        <f>(100+INDEX(DEFAULT!$E$237:$AL$240,2,'USER INPUTS'!$B$4))/100*I22</f>
        <v>1.0142068084262291E-3</v>
      </c>
      <c r="K22" s="182">
        <f>(100+INDEX(DEFAULT!$E$237:$AL$240,2,'USER INPUTS'!$B$4))/100*J22</f>
        <v>1.022320462893639E-3</v>
      </c>
      <c r="L22" s="182">
        <f>(100+INDEX(DEFAULT!$E$237:$AL$240,2,'USER INPUTS'!$B$4))/100*K22</f>
        <v>1.0304990265967882E-3</v>
      </c>
      <c r="M22" s="182">
        <f>(100+INDEX(DEFAULT!$E$237:$AL$240,2,'USER INPUTS'!$B$4))/100*L22</f>
        <v>1.0387430188095626E-3</v>
      </c>
      <c r="N22" s="182">
        <f>(100+INDEX(DEFAULT!$E$237:$AL$240,2,'USER INPUTS'!$B$4))/100*M22</f>
        <v>1.0470529629600391E-3</v>
      </c>
      <c r="O22" s="182">
        <f>(100+INDEX(DEFAULT!$E$237:$AL$240,3,'USER INPUTS'!$B$4))/100*N22</f>
        <v>1.0533352807377994E-3</v>
      </c>
      <c r="P22" s="182">
        <f>(100+INDEX(DEFAULT!$E$237:$AL$240,3,'USER INPUTS'!$B$4))/100*O22</f>
        <v>1.0596552924222262E-3</v>
      </c>
      <c r="Q22" s="182">
        <f>(100+INDEX(DEFAULT!$E$237:$AL$240,3,'USER INPUTS'!$B$4))/100*P22</f>
        <v>1.0660132241767596E-3</v>
      </c>
      <c r="R22" s="182">
        <f>(100+INDEX(DEFAULT!$E$237:$AL$240,3,'USER INPUTS'!$B$4))/100*Q22</f>
        <v>1.0724093035218202E-3</v>
      </c>
      <c r="S22" s="182">
        <f>(100+INDEX(DEFAULT!$E$237:$AL$240,3,'USER INPUTS'!$B$4))/100*R22</f>
        <v>1.0788437593429511E-3</v>
      </c>
      <c r="T22" s="182">
        <f>(100+INDEX(DEFAULT!$E$237:$AL$240,3,'USER INPUTS'!$B$4))/100*S22</f>
        <v>1.0853168218990087E-3</v>
      </c>
      <c r="U22" s="182">
        <f>(100+INDEX(DEFAULT!$E$237:$AL$240,3,'USER INPUTS'!$B$4))/100*T22</f>
        <v>1.0918287228304027E-3</v>
      </c>
      <c r="V22" s="182">
        <f>(100+INDEX(DEFAULT!$E$237:$AL$240,3,'USER INPUTS'!$B$4))/100*U22</f>
        <v>1.098379695167385E-3</v>
      </c>
      <c r="W22" s="182">
        <f>(100+INDEX(DEFAULT!$E$237:$AL$240,3,'USER INPUTS'!$B$4))/100*V22</f>
        <v>1.1049699733383894E-3</v>
      </c>
      <c r="X22" s="182">
        <f>(100+INDEX(DEFAULT!$E$237:$AL$240,3,'USER INPUTS'!$B$4))/100*W22</f>
        <v>1.1115997931784197E-3</v>
      </c>
      <c r="Y22" s="182">
        <f>(100+INDEX(DEFAULT!$E$237:$AL$240,4,'USER INPUTS'!$B$4))/100*X22</f>
        <v>1.1182693919374901E-3</v>
      </c>
      <c r="Z22" s="182">
        <f>(100+INDEX(DEFAULT!$E$237:$AL$240,4,'USER INPUTS'!$B$4))/100*Y22</f>
        <v>1.1249790082891152E-3</v>
      </c>
      <c r="AA22" s="182">
        <f>(100+INDEX(DEFAULT!$E$237:$AL$240,4,'USER INPUTS'!$B$4))/100*Z22</f>
        <v>1.1317288823388498E-3</v>
      </c>
      <c r="AB22" s="182">
        <f>(100+INDEX(DEFAULT!$E$237:$AL$240,4,'USER INPUTS'!$B$4))/100*AA22</f>
        <v>1.1385192556328829E-3</v>
      </c>
      <c r="AC22" s="182">
        <f>(100+INDEX(DEFAULT!$E$237:$AL$240,4,'USER INPUTS'!$B$4))/100*AB22</f>
        <v>1.1453503711666801E-3</v>
      </c>
      <c r="AD22" s="182">
        <f>(100+INDEX(DEFAULT!$E$237:$AL$240,4,'USER INPUTS'!$B$4))/100*AC22</f>
        <v>1.1522224733936802E-3</v>
      </c>
      <c r="AE22" s="182">
        <f>(100+INDEX(DEFAULT!$E$237:$AL$240,4,'USER INPUTS'!$B$4))/100*AD22</f>
        <v>1.1591358082340423E-3</v>
      </c>
      <c r="AF22" s="182">
        <f>(100+INDEX(DEFAULT!$E$237:$AL$240,4,'USER INPUTS'!$B$4))/100*AE22</f>
        <v>1.1660906230834467E-3</v>
      </c>
      <c r="AG22" s="182">
        <f>(100+INDEX(DEFAULT!$E$237:$AL$240,4,'USER INPUTS'!$B$4))/100*AF22</f>
        <v>1.1730871668219473E-3</v>
      </c>
      <c r="AH22" s="182">
        <f>(100+INDEX(DEFAULT!$E$237:$AL$240,4,'USER INPUTS'!$B$4))/100*AG22</f>
        <v>1.1801256898228789E-3</v>
      </c>
      <c r="AI22" s="93"/>
      <c r="AJ22" s="164"/>
      <c r="AK22" s="73"/>
    </row>
    <row r="23" spans="1:38">
      <c r="A23" s="63" t="s">
        <v>120</v>
      </c>
      <c r="B23" s="183">
        <f>('USER INPUTS'!$B$6/INDEX(DEFAULT!$E$4:$AL$4,1,'USER INPUTS'!$B$4))*INDEX(DEFAULT!$E$33:$AL$36,4,'USER INPUTS'!$B$4)</f>
        <v>6.8335601200501632E-3</v>
      </c>
      <c r="C23" s="183">
        <f>(100+INDEX(DEFAULT!$E$412:$AL$415,1,'USER INPUTS'!$B$4))/100*B23</f>
        <v>6.8950621611306153E-3</v>
      </c>
      <c r="D23" s="183">
        <f>(100+INDEX(DEFAULT!$E$412:$AL$415,1,'USER INPUTS'!$B$4))/100*C23</f>
        <v>6.9571177205807917E-3</v>
      </c>
      <c r="E23" s="315">
        <f>(100+INDEX(DEFAULT!$E$412:$AL$415,2,'USER INPUTS'!$B$4))/100*D23</f>
        <v>7.0127746623454383E-3</v>
      </c>
      <c r="F23" s="183">
        <f>(100+INDEX(DEFAULT!$E$412:$AL$415,2,'USER INPUTS'!$B$4))/100*E23</f>
        <v>7.0688768596442022E-3</v>
      </c>
      <c r="G23" s="183">
        <f>(100+INDEX(DEFAULT!$E$412:$AL$415,2,'USER INPUTS'!$B$4))/100*F23</f>
        <v>7.1254278745213557E-3</v>
      </c>
      <c r="H23" s="183">
        <f>(100+INDEX(DEFAULT!$E$412:$AL$415,2,'USER INPUTS'!$B$4))/100*G23</f>
        <v>7.1824312975175266E-3</v>
      </c>
      <c r="I23" s="183">
        <f>(100+INDEX(DEFAULT!$E$412:$AL$415,2,'USER INPUTS'!$B$4))/100*H23</f>
        <v>7.2398907478976671E-3</v>
      </c>
      <c r="J23" s="183">
        <f>(100+INDEX(DEFAULT!$E$412:$AL$415,2,'USER INPUTS'!$B$4))/100*I23</f>
        <v>7.2978098738808485E-3</v>
      </c>
      <c r="K23" s="183">
        <f>(100+INDEX(DEFAULT!$E$412:$AL$415,2,'USER INPUTS'!$B$4))/100*J23</f>
        <v>7.356192352871895E-3</v>
      </c>
      <c r="L23" s="183">
        <f>(100+INDEX(DEFAULT!$E$412:$AL$415,2,'USER INPUTS'!$B$4))/100*K23</f>
        <v>7.4150418916948705E-3</v>
      </c>
      <c r="M23" s="183">
        <f>(100+INDEX(DEFAULT!$E$412:$AL$415,2,'USER INPUTS'!$B$4))/100*L23</f>
        <v>7.4743622268284293E-3</v>
      </c>
      <c r="N23" s="183">
        <f>(100+INDEX(DEFAULT!$E$412:$AL$415,2,'USER INPUTS'!$B$4))/100*M23</f>
        <v>7.5341571246430568E-3</v>
      </c>
      <c r="O23" s="183">
        <f>(100+INDEX(DEFAULT!$E$412:$AL$415,3,'USER INPUTS'!$B$4))/100*N23</f>
        <v>7.579362067390915E-3</v>
      </c>
      <c r="P23" s="183">
        <f>(100+INDEX(DEFAULT!$E$412:$AL$415,3,'USER INPUTS'!$B$4))/100*O23</f>
        <v>7.6248382397952601E-3</v>
      </c>
      <c r="Q23" s="183">
        <f>(100+INDEX(DEFAULT!$E$412:$AL$415,3,'USER INPUTS'!$B$4))/100*P23</f>
        <v>7.6705872692340313E-3</v>
      </c>
      <c r="R23" s="183">
        <f>(100+INDEX(DEFAULT!$E$412:$AL$415,3,'USER INPUTS'!$B$4))/100*Q23</f>
        <v>7.7166107928494359E-3</v>
      </c>
      <c r="S23" s="183">
        <f>(100+INDEX(DEFAULT!$E$412:$AL$415,3,'USER INPUTS'!$B$4))/100*R23</f>
        <v>7.7629104576065321E-3</v>
      </c>
      <c r="T23" s="183">
        <f>(100+INDEX(DEFAULT!$E$412:$AL$415,3,'USER INPUTS'!$B$4))/100*S23</f>
        <v>7.8094879203521716E-3</v>
      </c>
      <c r="U23" s="183">
        <f>(100+INDEX(DEFAULT!$E$412:$AL$415,3,'USER INPUTS'!$B$4))/100*T23</f>
        <v>7.8563448478742842E-3</v>
      </c>
      <c r="V23" s="183">
        <f>(100+INDEX(DEFAULT!$E$412:$AL$415,3,'USER INPUTS'!$B$4))/100*U23</f>
        <v>7.9034829169615291E-3</v>
      </c>
      <c r="W23" s="183">
        <f>(100+INDEX(DEFAULT!$E$412:$AL$415,3,'USER INPUTS'!$B$4))/100*V23</f>
        <v>7.9509038144632976E-3</v>
      </c>
      <c r="X23" s="183">
        <f>(100+INDEX(DEFAULT!$E$412:$AL$415,3,'USER INPUTS'!$B$4))/100*W23</f>
        <v>7.9986092373500774E-3</v>
      </c>
      <c r="Y23" s="183">
        <f>(100+INDEX(DEFAULT!$E$412:$AL$415,4,'USER INPUTS'!$B$4))/100*X23</f>
        <v>8.0466008927741785E-3</v>
      </c>
      <c r="Z23" s="183">
        <f>(100+INDEX(DEFAULT!$E$412:$AL$415,4,'USER INPUTS'!$B$4))/100*Y23</f>
        <v>8.0948804981308235E-3</v>
      </c>
      <c r="AA23" s="183">
        <f>(100+INDEX(DEFAULT!$E$412:$AL$415,4,'USER INPUTS'!$B$4))/100*Z23</f>
        <v>8.1434497811196088E-3</v>
      </c>
      <c r="AB23" s="183">
        <f>(100+INDEX(DEFAULT!$E$412:$AL$415,4,'USER INPUTS'!$B$4))/100*AA23</f>
        <v>8.1923104798063261E-3</v>
      </c>
      <c r="AC23" s="183">
        <f>(100+INDEX(DEFAULT!$E$412:$AL$415,4,'USER INPUTS'!$B$4))/100*AB23</f>
        <v>8.2414643426851637E-3</v>
      </c>
      <c r="AD23" s="183">
        <f>(100+INDEX(DEFAULT!$E$412:$AL$415,4,'USER INPUTS'!$B$4))/100*AC23</f>
        <v>8.290913128741275E-3</v>
      </c>
      <c r="AE23" s="183">
        <f>(100+INDEX(DEFAULT!$E$412:$AL$415,4,'USER INPUTS'!$B$4))/100*AD23</f>
        <v>8.3406586075137224E-3</v>
      </c>
      <c r="AF23" s="183">
        <f>(100+INDEX(DEFAULT!$E$412:$AL$415,4,'USER INPUTS'!$B$4))/100*AE23</f>
        <v>8.3907025591588042E-3</v>
      </c>
      <c r="AG23" s="183">
        <f>(100+INDEX(DEFAULT!$E$412:$AL$415,4,'USER INPUTS'!$B$4))/100*AF23</f>
        <v>8.4410467745137576E-3</v>
      </c>
      <c r="AH23" s="183">
        <f>(100+INDEX(DEFAULT!$E$412:$AL$415,4,'USER INPUTS'!$B$4))/100*AG23</f>
        <v>8.491693055160841E-3</v>
      </c>
      <c r="AI23" s="93"/>
      <c r="AJ23" s="85"/>
      <c r="AL23" s="21"/>
    </row>
    <row r="24" spans="1:38" s="144" customFormat="1">
      <c r="A24" s="27" t="s">
        <v>100</v>
      </c>
      <c r="B24" s="182">
        <f t="shared" ref="B24:AH24" si="7">SUM(B20:B23)</f>
        <v>0.21049001644260759</v>
      </c>
      <c r="C24" s="182">
        <f t="shared" si="7"/>
        <v>0.21215026567313114</v>
      </c>
      <c r="D24" s="182">
        <f t="shared" si="7"/>
        <v>0.21382364676768822</v>
      </c>
      <c r="E24" s="314">
        <f t="shared" si="7"/>
        <v>0.21724237610379687</v>
      </c>
      <c r="F24" s="182" t="e">
        <f t="shared" si="7"/>
        <v>#REF!</v>
      </c>
      <c r="G24" s="182" t="e">
        <f t="shared" si="7"/>
        <v>#REF!</v>
      </c>
      <c r="H24" s="182" t="e">
        <f t="shared" si="7"/>
        <v>#REF!</v>
      </c>
      <c r="I24" s="182" t="e">
        <f t="shared" si="7"/>
        <v>#REF!</v>
      </c>
      <c r="J24" s="182" t="e">
        <f t="shared" si="7"/>
        <v>#REF!</v>
      </c>
      <c r="K24" s="182" t="e">
        <f t="shared" si="7"/>
        <v>#REF!</v>
      </c>
      <c r="L24" s="182" t="e">
        <f t="shared" si="7"/>
        <v>#REF!</v>
      </c>
      <c r="M24" s="182" t="e">
        <f t="shared" si="7"/>
        <v>#REF!</v>
      </c>
      <c r="N24" s="182" t="e">
        <f t="shared" si="7"/>
        <v>#REF!</v>
      </c>
      <c r="O24" s="182" t="e">
        <f t="shared" si="7"/>
        <v>#REF!</v>
      </c>
      <c r="P24" s="182" t="e">
        <f t="shared" si="7"/>
        <v>#REF!</v>
      </c>
      <c r="Q24" s="182" t="e">
        <f t="shared" si="7"/>
        <v>#REF!</v>
      </c>
      <c r="R24" s="182" t="e">
        <f t="shared" si="7"/>
        <v>#REF!</v>
      </c>
      <c r="S24" s="182" t="e">
        <f t="shared" si="7"/>
        <v>#REF!</v>
      </c>
      <c r="T24" s="182" t="e">
        <f t="shared" si="7"/>
        <v>#REF!</v>
      </c>
      <c r="U24" s="182" t="e">
        <f t="shared" si="7"/>
        <v>#REF!</v>
      </c>
      <c r="V24" s="182" t="e">
        <f t="shared" si="7"/>
        <v>#REF!</v>
      </c>
      <c r="W24" s="182" t="e">
        <f t="shared" si="7"/>
        <v>#REF!</v>
      </c>
      <c r="X24" s="182" t="e">
        <f t="shared" si="7"/>
        <v>#REF!</v>
      </c>
      <c r="Y24" s="182" t="e">
        <f t="shared" si="7"/>
        <v>#REF!</v>
      </c>
      <c r="Z24" s="182" t="e">
        <f t="shared" si="7"/>
        <v>#REF!</v>
      </c>
      <c r="AA24" s="182" t="e">
        <f t="shared" si="7"/>
        <v>#REF!</v>
      </c>
      <c r="AB24" s="182" t="e">
        <f t="shared" si="7"/>
        <v>#REF!</v>
      </c>
      <c r="AC24" s="182" t="e">
        <f t="shared" si="7"/>
        <v>#REF!</v>
      </c>
      <c r="AD24" s="182" t="e">
        <f t="shared" si="7"/>
        <v>#REF!</v>
      </c>
      <c r="AE24" s="182" t="e">
        <f t="shared" si="7"/>
        <v>#REF!</v>
      </c>
      <c r="AF24" s="182" t="e">
        <f t="shared" si="7"/>
        <v>#REF!</v>
      </c>
      <c r="AG24" s="182" t="e">
        <f t="shared" si="7"/>
        <v>#REF!</v>
      </c>
      <c r="AH24" s="182" t="e">
        <f t="shared" si="7"/>
        <v>#REF!</v>
      </c>
      <c r="AI24" s="93"/>
      <c r="AJ24" s="162"/>
      <c r="AL24" s="163"/>
    </row>
    <row r="25" spans="1:38">
      <c r="A25" s="27"/>
      <c r="B25" s="28"/>
      <c r="C25" s="28"/>
      <c r="D25" s="28"/>
      <c r="E25" s="316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93"/>
      <c r="AJ25" s="85"/>
      <c r="AL25" s="21"/>
    </row>
    <row r="26" spans="1:38">
      <c r="A26" s="128" t="s">
        <v>513</v>
      </c>
      <c r="B26" s="64">
        <v>2018</v>
      </c>
      <c r="C26" s="64">
        <v>2019</v>
      </c>
      <c r="D26" s="64">
        <v>2020</v>
      </c>
      <c r="E26" s="313">
        <v>2021</v>
      </c>
      <c r="F26" s="64">
        <f t="shared" ref="F26:AH26" si="8">E26+1</f>
        <v>2022</v>
      </c>
      <c r="G26" s="64">
        <f t="shared" si="8"/>
        <v>2023</v>
      </c>
      <c r="H26" s="64">
        <f t="shared" si="8"/>
        <v>2024</v>
      </c>
      <c r="I26" s="64">
        <f t="shared" si="8"/>
        <v>2025</v>
      </c>
      <c r="J26" s="64">
        <f t="shared" si="8"/>
        <v>2026</v>
      </c>
      <c r="K26" s="64">
        <f t="shared" si="8"/>
        <v>2027</v>
      </c>
      <c r="L26" s="64">
        <f t="shared" si="8"/>
        <v>2028</v>
      </c>
      <c r="M26" s="64">
        <f t="shared" si="8"/>
        <v>2029</v>
      </c>
      <c r="N26" s="64">
        <f t="shared" si="8"/>
        <v>2030</v>
      </c>
      <c r="O26" s="64">
        <f t="shared" si="8"/>
        <v>2031</v>
      </c>
      <c r="P26" s="64">
        <f t="shared" si="8"/>
        <v>2032</v>
      </c>
      <c r="Q26" s="64">
        <f t="shared" si="8"/>
        <v>2033</v>
      </c>
      <c r="R26" s="64">
        <f t="shared" si="8"/>
        <v>2034</v>
      </c>
      <c r="S26" s="64">
        <f t="shared" si="8"/>
        <v>2035</v>
      </c>
      <c r="T26" s="64">
        <f t="shared" si="8"/>
        <v>2036</v>
      </c>
      <c r="U26" s="64">
        <f t="shared" si="8"/>
        <v>2037</v>
      </c>
      <c r="V26" s="64">
        <f t="shared" si="8"/>
        <v>2038</v>
      </c>
      <c r="W26" s="64">
        <f t="shared" si="8"/>
        <v>2039</v>
      </c>
      <c r="X26" s="64">
        <f t="shared" si="8"/>
        <v>2040</v>
      </c>
      <c r="Y26" s="64">
        <f t="shared" si="8"/>
        <v>2041</v>
      </c>
      <c r="Z26" s="64">
        <f t="shared" si="8"/>
        <v>2042</v>
      </c>
      <c r="AA26" s="64">
        <f t="shared" si="8"/>
        <v>2043</v>
      </c>
      <c r="AB26" s="64">
        <f t="shared" si="8"/>
        <v>2044</v>
      </c>
      <c r="AC26" s="64">
        <f t="shared" si="8"/>
        <v>2045</v>
      </c>
      <c r="AD26" s="64">
        <f t="shared" si="8"/>
        <v>2046</v>
      </c>
      <c r="AE26" s="64">
        <f t="shared" si="8"/>
        <v>2047</v>
      </c>
      <c r="AF26" s="64">
        <f t="shared" si="8"/>
        <v>2048</v>
      </c>
      <c r="AG26" s="64">
        <f t="shared" si="8"/>
        <v>2049</v>
      </c>
      <c r="AH26" s="64">
        <f t="shared" si="8"/>
        <v>2050</v>
      </c>
      <c r="AI26" s="93"/>
      <c r="AJ26" s="118"/>
      <c r="AL26" s="21"/>
    </row>
    <row r="27" spans="1:38">
      <c r="A27" s="27" t="s">
        <v>44</v>
      </c>
      <c r="B27" s="172">
        <f t="shared" ref="B27:AH27" si="9">B20/B$24*100</f>
        <v>14.943297439866276</v>
      </c>
      <c r="C27" s="172">
        <f t="shared" si="9"/>
        <v>14.930138400916245</v>
      </c>
      <c r="D27" s="172">
        <f t="shared" si="9"/>
        <v>14.916988398174819</v>
      </c>
      <c r="E27" s="317">
        <f t="shared" si="9"/>
        <v>14.785016393675518</v>
      </c>
      <c r="F27" s="172" t="e">
        <f t="shared" si="9"/>
        <v>#REF!</v>
      </c>
      <c r="G27" s="172" t="e">
        <f t="shared" si="9"/>
        <v>#REF!</v>
      </c>
      <c r="H27" s="172" t="e">
        <f t="shared" si="9"/>
        <v>#REF!</v>
      </c>
      <c r="I27" s="172" t="e">
        <f t="shared" si="9"/>
        <v>#REF!</v>
      </c>
      <c r="J27" s="172" t="e">
        <f t="shared" si="9"/>
        <v>#REF!</v>
      </c>
      <c r="K27" s="172" t="e">
        <f t="shared" si="9"/>
        <v>#REF!</v>
      </c>
      <c r="L27" s="172" t="e">
        <f t="shared" si="9"/>
        <v>#REF!</v>
      </c>
      <c r="M27" s="172" t="e">
        <f t="shared" si="9"/>
        <v>#REF!</v>
      </c>
      <c r="N27" s="172" t="e">
        <f t="shared" si="9"/>
        <v>#REF!</v>
      </c>
      <c r="O27" s="172" t="e">
        <f t="shared" si="9"/>
        <v>#REF!</v>
      </c>
      <c r="P27" s="172" t="e">
        <f t="shared" si="9"/>
        <v>#REF!</v>
      </c>
      <c r="Q27" s="172" t="e">
        <f t="shared" si="9"/>
        <v>#REF!</v>
      </c>
      <c r="R27" s="172" t="e">
        <f t="shared" si="9"/>
        <v>#REF!</v>
      </c>
      <c r="S27" s="172" t="e">
        <f t="shared" si="9"/>
        <v>#REF!</v>
      </c>
      <c r="T27" s="172" t="e">
        <f t="shared" si="9"/>
        <v>#REF!</v>
      </c>
      <c r="U27" s="172" t="e">
        <f t="shared" si="9"/>
        <v>#REF!</v>
      </c>
      <c r="V27" s="172" t="e">
        <f t="shared" si="9"/>
        <v>#REF!</v>
      </c>
      <c r="W27" s="172" t="e">
        <f t="shared" si="9"/>
        <v>#REF!</v>
      </c>
      <c r="X27" s="172" t="e">
        <f t="shared" si="9"/>
        <v>#REF!</v>
      </c>
      <c r="Y27" s="172" t="e">
        <f t="shared" si="9"/>
        <v>#REF!</v>
      </c>
      <c r="Z27" s="172" t="e">
        <f t="shared" si="9"/>
        <v>#REF!</v>
      </c>
      <c r="AA27" s="172" t="e">
        <f t="shared" si="9"/>
        <v>#REF!</v>
      </c>
      <c r="AB27" s="172" t="e">
        <f t="shared" si="9"/>
        <v>#REF!</v>
      </c>
      <c r="AC27" s="172" t="e">
        <f t="shared" si="9"/>
        <v>#REF!</v>
      </c>
      <c r="AD27" s="172" t="e">
        <f t="shared" si="9"/>
        <v>#REF!</v>
      </c>
      <c r="AE27" s="172" t="e">
        <f t="shared" si="9"/>
        <v>#REF!</v>
      </c>
      <c r="AF27" s="172" t="e">
        <f t="shared" si="9"/>
        <v>#REF!</v>
      </c>
      <c r="AG27" s="172" t="e">
        <f t="shared" si="9"/>
        <v>#REF!</v>
      </c>
      <c r="AH27" s="172" t="e">
        <f t="shared" si="9"/>
        <v>#REF!</v>
      </c>
      <c r="AI27" s="93"/>
      <c r="AJ27" s="118"/>
      <c r="AL27" s="21"/>
    </row>
    <row r="28" spans="1:38">
      <c r="A28" s="27" t="s">
        <v>43</v>
      </c>
      <c r="B28" s="172">
        <f t="shared" ref="B28:AH28" si="10">B21/B$24*100</f>
        <v>81.359022094119894</v>
      </c>
      <c r="C28" s="172">
        <f t="shared" si="10"/>
        <v>81.368099817179754</v>
      </c>
      <c r="D28" s="172">
        <f t="shared" si="10"/>
        <v>81.377164633178623</v>
      </c>
      <c r="E28" s="317">
        <f t="shared" si="10"/>
        <v>81.538275087343138</v>
      </c>
      <c r="F28" s="172" t="e">
        <f t="shared" si="10"/>
        <v>#REF!</v>
      </c>
      <c r="G28" s="172" t="e">
        <f t="shared" si="10"/>
        <v>#REF!</v>
      </c>
      <c r="H28" s="172" t="e">
        <f t="shared" si="10"/>
        <v>#REF!</v>
      </c>
      <c r="I28" s="172" t="e">
        <f t="shared" si="10"/>
        <v>#REF!</v>
      </c>
      <c r="J28" s="172" t="e">
        <f t="shared" si="10"/>
        <v>#REF!</v>
      </c>
      <c r="K28" s="172" t="e">
        <f t="shared" si="10"/>
        <v>#REF!</v>
      </c>
      <c r="L28" s="172" t="e">
        <f t="shared" si="10"/>
        <v>#REF!</v>
      </c>
      <c r="M28" s="172" t="e">
        <f t="shared" si="10"/>
        <v>#REF!</v>
      </c>
      <c r="N28" s="172" t="e">
        <f t="shared" si="10"/>
        <v>#REF!</v>
      </c>
      <c r="O28" s="172" t="e">
        <f t="shared" si="10"/>
        <v>#REF!</v>
      </c>
      <c r="P28" s="172" t="e">
        <f t="shared" si="10"/>
        <v>#REF!</v>
      </c>
      <c r="Q28" s="172" t="e">
        <f t="shared" si="10"/>
        <v>#REF!</v>
      </c>
      <c r="R28" s="172" t="e">
        <f t="shared" si="10"/>
        <v>#REF!</v>
      </c>
      <c r="S28" s="172" t="e">
        <f t="shared" si="10"/>
        <v>#REF!</v>
      </c>
      <c r="T28" s="172" t="e">
        <f t="shared" si="10"/>
        <v>#REF!</v>
      </c>
      <c r="U28" s="172" t="e">
        <f t="shared" si="10"/>
        <v>#REF!</v>
      </c>
      <c r="V28" s="172" t="e">
        <f t="shared" si="10"/>
        <v>#REF!</v>
      </c>
      <c r="W28" s="172" t="e">
        <f t="shared" si="10"/>
        <v>#REF!</v>
      </c>
      <c r="X28" s="172" t="e">
        <f t="shared" si="10"/>
        <v>#REF!</v>
      </c>
      <c r="Y28" s="172" t="e">
        <f t="shared" si="10"/>
        <v>#REF!</v>
      </c>
      <c r="Z28" s="172" t="e">
        <f t="shared" si="10"/>
        <v>#REF!</v>
      </c>
      <c r="AA28" s="172" t="e">
        <f t="shared" si="10"/>
        <v>#REF!</v>
      </c>
      <c r="AB28" s="172" t="e">
        <f t="shared" si="10"/>
        <v>#REF!</v>
      </c>
      <c r="AC28" s="172" t="e">
        <f t="shared" si="10"/>
        <v>#REF!</v>
      </c>
      <c r="AD28" s="172" t="e">
        <f t="shared" si="10"/>
        <v>#REF!</v>
      </c>
      <c r="AE28" s="172" t="e">
        <f t="shared" si="10"/>
        <v>#REF!</v>
      </c>
      <c r="AF28" s="172" t="e">
        <f t="shared" si="10"/>
        <v>#REF!</v>
      </c>
      <c r="AG28" s="172" t="e">
        <f t="shared" si="10"/>
        <v>#REF!</v>
      </c>
      <c r="AH28" s="172" t="e">
        <f t="shared" si="10"/>
        <v>#REF!</v>
      </c>
      <c r="AI28" s="93"/>
      <c r="AJ28" s="118"/>
      <c r="AL28" s="21"/>
    </row>
    <row r="29" spans="1:38">
      <c r="A29" s="27" t="s">
        <v>98</v>
      </c>
      <c r="B29" s="172">
        <f t="shared" ref="B29:AH29" si="11">B22/B$24*100</f>
        <v>0.45117964115719389</v>
      </c>
      <c r="C29" s="172">
        <f t="shared" si="11"/>
        <v>0.45167763081738788</v>
      </c>
      <c r="D29" s="172">
        <f t="shared" si="11"/>
        <v>0.45217609278712656</v>
      </c>
      <c r="E29" s="317">
        <f t="shared" si="11"/>
        <v>0.44862070843613772</v>
      </c>
      <c r="F29" s="172" t="e">
        <f t="shared" si="11"/>
        <v>#REF!</v>
      </c>
      <c r="G29" s="172" t="e">
        <f t="shared" si="11"/>
        <v>#REF!</v>
      </c>
      <c r="H29" s="172" t="e">
        <f t="shared" si="11"/>
        <v>#REF!</v>
      </c>
      <c r="I29" s="172" t="e">
        <f t="shared" si="11"/>
        <v>#REF!</v>
      </c>
      <c r="J29" s="172" t="e">
        <f t="shared" si="11"/>
        <v>#REF!</v>
      </c>
      <c r="K29" s="172" t="e">
        <f t="shared" si="11"/>
        <v>#REF!</v>
      </c>
      <c r="L29" s="172" t="e">
        <f t="shared" si="11"/>
        <v>#REF!</v>
      </c>
      <c r="M29" s="172" t="e">
        <f t="shared" si="11"/>
        <v>#REF!</v>
      </c>
      <c r="N29" s="172" t="e">
        <f t="shared" si="11"/>
        <v>#REF!</v>
      </c>
      <c r="O29" s="172" t="e">
        <f t="shared" si="11"/>
        <v>#REF!</v>
      </c>
      <c r="P29" s="172" t="e">
        <f t="shared" si="11"/>
        <v>#REF!</v>
      </c>
      <c r="Q29" s="172" t="e">
        <f t="shared" si="11"/>
        <v>#REF!</v>
      </c>
      <c r="R29" s="172" t="e">
        <f t="shared" si="11"/>
        <v>#REF!</v>
      </c>
      <c r="S29" s="172" t="e">
        <f t="shared" si="11"/>
        <v>#REF!</v>
      </c>
      <c r="T29" s="172" t="e">
        <f t="shared" si="11"/>
        <v>#REF!</v>
      </c>
      <c r="U29" s="172" t="e">
        <f t="shared" si="11"/>
        <v>#REF!</v>
      </c>
      <c r="V29" s="172" t="e">
        <f t="shared" si="11"/>
        <v>#REF!</v>
      </c>
      <c r="W29" s="172" t="e">
        <f t="shared" si="11"/>
        <v>#REF!</v>
      </c>
      <c r="X29" s="172" t="e">
        <f t="shared" si="11"/>
        <v>#REF!</v>
      </c>
      <c r="Y29" s="172" t="e">
        <f t="shared" si="11"/>
        <v>#REF!</v>
      </c>
      <c r="Z29" s="172" t="e">
        <f t="shared" si="11"/>
        <v>#REF!</v>
      </c>
      <c r="AA29" s="172" t="e">
        <f t="shared" si="11"/>
        <v>#REF!</v>
      </c>
      <c r="AB29" s="172" t="e">
        <f t="shared" si="11"/>
        <v>#REF!</v>
      </c>
      <c r="AC29" s="172" t="e">
        <f t="shared" si="11"/>
        <v>#REF!</v>
      </c>
      <c r="AD29" s="172" t="e">
        <f t="shared" si="11"/>
        <v>#REF!</v>
      </c>
      <c r="AE29" s="172" t="e">
        <f t="shared" si="11"/>
        <v>#REF!</v>
      </c>
      <c r="AF29" s="172" t="e">
        <f t="shared" si="11"/>
        <v>#REF!</v>
      </c>
      <c r="AG29" s="172" t="e">
        <f t="shared" si="11"/>
        <v>#REF!</v>
      </c>
      <c r="AH29" s="172" t="e">
        <f t="shared" si="11"/>
        <v>#REF!</v>
      </c>
      <c r="AI29" s="93"/>
      <c r="AJ29" s="118"/>
      <c r="AL29" s="21"/>
    </row>
    <row r="30" spans="1:38">
      <c r="A30" s="63" t="s">
        <v>120</v>
      </c>
      <c r="B30" s="173">
        <f>B23/B$24*100</f>
        <v>3.2465008248566547</v>
      </c>
      <c r="C30" s="173">
        <f>C23/C$24*100</f>
        <v>3.2500841510866305</v>
      </c>
      <c r="D30" s="173">
        <f t="shared" ref="D30:AH30" si="12">D23/D$24*100</f>
        <v>3.2536708758594193</v>
      </c>
      <c r="E30" s="318">
        <f t="shared" si="12"/>
        <v>3.2280878105452064</v>
      </c>
      <c r="F30" s="173" t="e">
        <f t="shared" si="12"/>
        <v>#REF!</v>
      </c>
      <c r="G30" s="173" t="e">
        <f t="shared" si="12"/>
        <v>#REF!</v>
      </c>
      <c r="H30" s="173" t="e">
        <f t="shared" si="12"/>
        <v>#REF!</v>
      </c>
      <c r="I30" s="173" t="e">
        <f t="shared" si="12"/>
        <v>#REF!</v>
      </c>
      <c r="J30" s="173" t="e">
        <f t="shared" si="12"/>
        <v>#REF!</v>
      </c>
      <c r="K30" s="173" t="e">
        <f t="shared" si="12"/>
        <v>#REF!</v>
      </c>
      <c r="L30" s="173" t="e">
        <f t="shared" si="12"/>
        <v>#REF!</v>
      </c>
      <c r="M30" s="173" t="e">
        <f t="shared" si="12"/>
        <v>#REF!</v>
      </c>
      <c r="N30" s="173" t="e">
        <f t="shared" si="12"/>
        <v>#REF!</v>
      </c>
      <c r="O30" s="173" t="e">
        <f t="shared" si="12"/>
        <v>#REF!</v>
      </c>
      <c r="P30" s="173" t="e">
        <f t="shared" si="12"/>
        <v>#REF!</v>
      </c>
      <c r="Q30" s="173" t="e">
        <f t="shared" si="12"/>
        <v>#REF!</v>
      </c>
      <c r="R30" s="173" t="e">
        <f t="shared" si="12"/>
        <v>#REF!</v>
      </c>
      <c r="S30" s="173" t="e">
        <f t="shared" si="12"/>
        <v>#REF!</v>
      </c>
      <c r="T30" s="173" t="e">
        <f t="shared" si="12"/>
        <v>#REF!</v>
      </c>
      <c r="U30" s="173" t="e">
        <f t="shared" si="12"/>
        <v>#REF!</v>
      </c>
      <c r="V30" s="173" t="e">
        <f t="shared" si="12"/>
        <v>#REF!</v>
      </c>
      <c r="W30" s="173" t="e">
        <f t="shared" si="12"/>
        <v>#REF!</v>
      </c>
      <c r="X30" s="173" t="e">
        <f t="shared" si="12"/>
        <v>#REF!</v>
      </c>
      <c r="Y30" s="173" t="e">
        <f t="shared" si="12"/>
        <v>#REF!</v>
      </c>
      <c r="Z30" s="173" t="e">
        <f t="shared" si="12"/>
        <v>#REF!</v>
      </c>
      <c r="AA30" s="173" t="e">
        <f t="shared" si="12"/>
        <v>#REF!</v>
      </c>
      <c r="AB30" s="173" t="e">
        <f t="shared" si="12"/>
        <v>#REF!</v>
      </c>
      <c r="AC30" s="173" t="e">
        <f t="shared" si="12"/>
        <v>#REF!</v>
      </c>
      <c r="AD30" s="173" t="e">
        <f t="shared" si="12"/>
        <v>#REF!</v>
      </c>
      <c r="AE30" s="173" t="e">
        <f t="shared" si="12"/>
        <v>#REF!</v>
      </c>
      <c r="AF30" s="173" t="e">
        <f t="shared" si="12"/>
        <v>#REF!</v>
      </c>
      <c r="AG30" s="173" t="e">
        <f t="shared" si="12"/>
        <v>#REF!</v>
      </c>
      <c r="AH30" s="173" t="e">
        <f t="shared" si="12"/>
        <v>#REF!</v>
      </c>
      <c r="AI30" s="93"/>
      <c r="AJ30" s="118"/>
      <c r="AL30" s="21"/>
    </row>
    <row r="31" spans="1:38" s="144" customFormat="1">
      <c r="A31" s="27" t="s">
        <v>100</v>
      </c>
      <c r="B31" s="172">
        <f t="shared" ref="B31:AH31" si="13">SUM(B27:B30)</f>
        <v>100.00000000000001</v>
      </c>
      <c r="C31" s="172">
        <f t="shared" si="13"/>
        <v>100.00000000000001</v>
      </c>
      <c r="D31" s="172">
        <f t="shared" si="13"/>
        <v>99.999999999999986</v>
      </c>
      <c r="E31" s="317">
        <f t="shared" si="13"/>
        <v>100</v>
      </c>
      <c r="F31" s="172" t="e">
        <f t="shared" si="13"/>
        <v>#REF!</v>
      </c>
      <c r="G31" s="172" t="e">
        <f t="shared" si="13"/>
        <v>#REF!</v>
      </c>
      <c r="H31" s="172" t="e">
        <f t="shared" si="13"/>
        <v>#REF!</v>
      </c>
      <c r="I31" s="172" t="e">
        <f t="shared" si="13"/>
        <v>#REF!</v>
      </c>
      <c r="J31" s="172" t="e">
        <f t="shared" si="13"/>
        <v>#REF!</v>
      </c>
      <c r="K31" s="172" t="e">
        <f t="shared" si="13"/>
        <v>#REF!</v>
      </c>
      <c r="L31" s="172" t="e">
        <f t="shared" si="13"/>
        <v>#REF!</v>
      </c>
      <c r="M31" s="172" t="e">
        <f t="shared" si="13"/>
        <v>#REF!</v>
      </c>
      <c r="N31" s="172" t="e">
        <f t="shared" si="13"/>
        <v>#REF!</v>
      </c>
      <c r="O31" s="172" t="e">
        <f t="shared" si="13"/>
        <v>#REF!</v>
      </c>
      <c r="P31" s="172" t="e">
        <f t="shared" si="13"/>
        <v>#REF!</v>
      </c>
      <c r="Q31" s="172" t="e">
        <f t="shared" si="13"/>
        <v>#REF!</v>
      </c>
      <c r="R31" s="172" t="e">
        <f t="shared" si="13"/>
        <v>#REF!</v>
      </c>
      <c r="S31" s="172" t="e">
        <f t="shared" si="13"/>
        <v>#REF!</v>
      </c>
      <c r="T31" s="172" t="e">
        <f t="shared" si="13"/>
        <v>#REF!</v>
      </c>
      <c r="U31" s="172" t="e">
        <f t="shared" si="13"/>
        <v>#REF!</v>
      </c>
      <c r="V31" s="172" t="e">
        <f t="shared" si="13"/>
        <v>#REF!</v>
      </c>
      <c r="W31" s="172" t="e">
        <f t="shared" si="13"/>
        <v>#REF!</v>
      </c>
      <c r="X31" s="172" t="e">
        <f t="shared" si="13"/>
        <v>#REF!</v>
      </c>
      <c r="Y31" s="172" t="e">
        <f t="shared" si="13"/>
        <v>#REF!</v>
      </c>
      <c r="Z31" s="172" t="e">
        <f t="shared" si="13"/>
        <v>#REF!</v>
      </c>
      <c r="AA31" s="172" t="e">
        <f t="shared" si="13"/>
        <v>#REF!</v>
      </c>
      <c r="AB31" s="172" t="e">
        <f t="shared" si="13"/>
        <v>#REF!</v>
      </c>
      <c r="AC31" s="172" t="e">
        <f t="shared" si="13"/>
        <v>#REF!</v>
      </c>
      <c r="AD31" s="172" t="e">
        <f t="shared" si="13"/>
        <v>#REF!</v>
      </c>
      <c r="AE31" s="172" t="e">
        <f t="shared" si="13"/>
        <v>#REF!</v>
      </c>
      <c r="AF31" s="172" t="e">
        <f t="shared" si="13"/>
        <v>#REF!</v>
      </c>
      <c r="AG31" s="172" t="e">
        <f t="shared" si="13"/>
        <v>#REF!</v>
      </c>
      <c r="AH31" s="172" t="e">
        <f t="shared" si="13"/>
        <v>#REF!</v>
      </c>
      <c r="AI31" s="93"/>
      <c r="AJ31" s="118"/>
      <c r="AL31" s="163"/>
    </row>
    <row r="32" spans="1:38" ht="15.75" thickBot="1">
      <c r="A32" s="79"/>
      <c r="B32" s="80"/>
      <c r="C32" s="51"/>
      <c r="D32" s="51"/>
      <c r="E32" s="319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3"/>
    </row>
    <row r="33" spans="1:36" ht="15.75" thickBot="1">
      <c r="A33" s="97"/>
      <c r="B33" s="94"/>
      <c r="C33" s="95"/>
      <c r="D33" s="95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</row>
    <row r="34" spans="1:36" ht="19.5" thickBot="1">
      <c r="A34" s="772" t="s">
        <v>524</v>
      </c>
      <c r="B34" s="773"/>
      <c r="C34" s="773"/>
      <c r="D34" s="773"/>
      <c r="E34" s="773"/>
      <c r="F34" s="773"/>
      <c r="G34" s="773"/>
      <c r="H34" s="773"/>
      <c r="I34" s="773"/>
      <c r="J34" s="773"/>
      <c r="K34" s="773"/>
      <c r="L34" s="773"/>
      <c r="M34" s="773"/>
      <c r="N34" s="773"/>
      <c r="O34" s="773"/>
      <c r="P34" s="773"/>
      <c r="Q34" s="773"/>
      <c r="R34" s="773"/>
      <c r="S34" s="773"/>
      <c r="T34" s="773"/>
      <c r="U34" s="773"/>
      <c r="V34" s="773"/>
      <c r="W34" s="773"/>
      <c r="X34" s="773"/>
      <c r="Y34" s="773"/>
      <c r="Z34" s="773"/>
      <c r="AA34" s="773"/>
      <c r="AB34" s="773"/>
      <c r="AC34" s="773"/>
      <c r="AD34" s="773"/>
      <c r="AE34" s="773"/>
      <c r="AF34" s="773"/>
      <c r="AG34" s="773"/>
      <c r="AH34" s="773"/>
      <c r="AI34" s="774"/>
    </row>
    <row r="35" spans="1:36">
      <c r="A35" s="224" t="s">
        <v>103</v>
      </c>
      <c r="B35" s="25"/>
      <c r="C35" s="65"/>
      <c r="D35" s="256"/>
      <c r="E35" s="664">
        <f>IF('USER INPUTS'!B13=0,1,(('USER INPUTS'!B9/100*DEFAULT!E66)+('USER INPUTS'!B10/100*DEFAULT!F66)+('USER INPUTS'!B11/100*DEFAULT!G66)+('USER INPUTS'!B12/100*DEFAULT!H66)))</f>
        <v>1</v>
      </c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58"/>
      <c r="AH35" s="25"/>
      <c r="AI35" s="26"/>
    </row>
    <row r="36" spans="1:36">
      <c r="A36" s="128" t="s">
        <v>451</v>
      </c>
      <c r="B36" s="387"/>
      <c r="C36" s="135"/>
      <c r="D36" s="77"/>
      <c r="E36" s="387">
        <v>2021</v>
      </c>
      <c r="F36" s="387">
        <f t="shared" ref="F36:AH36" si="14">E36+1</f>
        <v>2022</v>
      </c>
      <c r="G36" s="387">
        <f t="shared" si="14"/>
        <v>2023</v>
      </c>
      <c r="H36" s="387">
        <f t="shared" si="14"/>
        <v>2024</v>
      </c>
      <c r="I36" s="387">
        <f t="shared" si="14"/>
        <v>2025</v>
      </c>
      <c r="J36" s="387">
        <f t="shared" si="14"/>
        <v>2026</v>
      </c>
      <c r="K36" s="387">
        <f t="shared" si="14"/>
        <v>2027</v>
      </c>
      <c r="L36" s="387">
        <f t="shared" si="14"/>
        <v>2028</v>
      </c>
      <c r="M36" s="387">
        <f t="shared" si="14"/>
        <v>2029</v>
      </c>
      <c r="N36" s="387">
        <f t="shared" si="14"/>
        <v>2030</v>
      </c>
      <c r="O36" s="387">
        <f t="shared" si="14"/>
        <v>2031</v>
      </c>
      <c r="P36" s="387">
        <f t="shared" si="14"/>
        <v>2032</v>
      </c>
      <c r="Q36" s="387">
        <f t="shared" si="14"/>
        <v>2033</v>
      </c>
      <c r="R36" s="387">
        <f t="shared" si="14"/>
        <v>2034</v>
      </c>
      <c r="S36" s="387">
        <f t="shared" si="14"/>
        <v>2035</v>
      </c>
      <c r="T36" s="387">
        <f t="shared" si="14"/>
        <v>2036</v>
      </c>
      <c r="U36" s="387">
        <f t="shared" si="14"/>
        <v>2037</v>
      </c>
      <c r="V36" s="387">
        <f t="shared" si="14"/>
        <v>2038</v>
      </c>
      <c r="W36" s="387">
        <f t="shared" si="14"/>
        <v>2039</v>
      </c>
      <c r="X36" s="387">
        <f t="shared" si="14"/>
        <v>2040</v>
      </c>
      <c r="Y36" s="387">
        <f t="shared" si="14"/>
        <v>2041</v>
      </c>
      <c r="Z36" s="387">
        <f t="shared" si="14"/>
        <v>2042</v>
      </c>
      <c r="AA36" s="387">
        <f t="shared" si="14"/>
        <v>2043</v>
      </c>
      <c r="AB36" s="387">
        <f t="shared" si="14"/>
        <v>2044</v>
      </c>
      <c r="AC36" s="387">
        <f t="shared" si="14"/>
        <v>2045</v>
      </c>
      <c r="AD36" s="387">
        <f t="shared" si="14"/>
        <v>2046</v>
      </c>
      <c r="AE36" s="387">
        <f t="shared" si="14"/>
        <v>2047</v>
      </c>
      <c r="AF36" s="387">
        <f t="shared" si="14"/>
        <v>2048</v>
      </c>
      <c r="AG36" s="387">
        <f t="shared" si="14"/>
        <v>2049</v>
      </c>
      <c r="AH36" s="387">
        <f t="shared" si="14"/>
        <v>2050</v>
      </c>
      <c r="AI36" s="42"/>
    </row>
    <row r="37" spans="1:36">
      <c r="A37" s="27" t="s">
        <v>677</v>
      </c>
      <c r="B37" s="388"/>
      <c r="C37" s="106"/>
      <c r="D37" s="661" t="s">
        <v>683</v>
      </c>
      <c r="E37" s="659">
        <f>INDEX(DEFAULT!E80:AJ80,1,'USER INPUTS'!$B$4)*E10/1000000*IF('USER INPUTS'!B13=0,1,(('USER INPUTS'!B9/100*DEFAULT!E66)+('USER INPUTS'!B10/100*DEFAULT!F66)+('USER INPUTS'!B11/100*DEFAULT!G66)+('USER INPUTS'!B12/100*DEFAULT!H66)))</f>
        <v>31.864659321561991</v>
      </c>
      <c r="F37" s="653">
        <f>E37*((100+INDEX(DEFAULT!E91:AJ93,1,'USER INPUTS'!$B$4))/100)</f>
        <v>32.08771193681293</v>
      </c>
      <c r="G37" s="653">
        <f>F37*((100+INDEX(DEFAULT!F91:AK93,1,'USER INPUTS'!$B$4))/100)</f>
        <v>32.216062784560179</v>
      </c>
      <c r="H37" s="653">
        <f>G37*((100+INDEX(DEFAULT!G91:AL93,1,'USER INPUTS'!$B$4))/100)</f>
        <v>32.409359161267538</v>
      </c>
      <c r="I37" s="653">
        <f>H37*((100+INDEX(DEFAULT!H91:AM93,1,'USER INPUTS'!$B$4))/100)</f>
        <v>32.603815316235142</v>
      </c>
      <c r="J37" s="653">
        <f>I37*((100+INDEX(DEFAULT!I91:AN93,1,'USER INPUTS'!$B$4))/100)</f>
        <v>32.669022946867614</v>
      </c>
      <c r="K37" s="653">
        <f>J37*((100+INDEX(DEFAULT!J91:AO93,1,'USER INPUTS'!$B$4))/100)</f>
        <v>33.159058291070622</v>
      </c>
      <c r="L37" s="653">
        <f>K37*((100+INDEX(DEFAULT!K91:AP93,1,'USER INPUTS'!$B$4))/100)</f>
        <v>33.258535465943829</v>
      </c>
      <c r="M37" s="653">
        <f>L37*((100+INDEX(DEFAULT!L91:AQ93,1,'USER INPUTS'!$B$4))/100)</f>
        <v>33.491345214205438</v>
      </c>
      <c r="N37" s="653">
        <f>M37*((100+INDEX(DEFAULT!M91:AR93,1,'USER INPUTS'!$B$4))/100)</f>
        <v>33.69229328549067</v>
      </c>
      <c r="O37" s="653">
        <f>N37*((100+INDEX(DEFAULT!N91:AS93,2,'USER INPUTS'!$B$4))/100)</f>
        <v>33.793370165347142</v>
      </c>
      <c r="P37" s="653">
        <f>O37*((100+INDEX(DEFAULT!O91:AT93,2,'USER INPUTS'!$B$4))/100)</f>
        <v>34.09751049683527</v>
      </c>
      <c r="Q37" s="653">
        <f>P37*((100+INDEX(DEFAULT!P91:AU93,2,'USER INPUTS'!$B$4))/100)</f>
        <v>34.336193070313122</v>
      </c>
      <c r="R37" s="653">
        <f>Q37*((100+INDEX(DEFAULT!Q91:AV93,2,'USER INPUTS'!$B$4))/100)</f>
        <v>34.576546421805318</v>
      </c>
      <c r="S37" s="653">
        <f>R37*((100+INDEX(DEFAULT!R91:AW93,2,'USER INPUTS'!$B$4))/100)</f>
        <v>34.645699514648932</v>
      </c>
      <c r="T37" s="653">
        <f>S37*((100+INDEX(DEFAULT!S91:AX93,2,'USER INPUTS'!$B$4))/100)</f>
        <v>34.922865110766125</v>
      </c>
      <c r="U37" s="653">
        <f>T37*((100+INDEX(DEFAULT!T91:AY93,2,'USER INPUTS'!$B$4))/100)</f>
        <v>35.272093761873784</v>
      </c>
      <c r="V37" s="653">
        <f>U37*((100+INDEX(DEFAULT!U91:AZ93,2,'USER INPUTS'!$B$4))/100)</f>
        <v>35.448454230683147</v>
      </c>
      <c r="W37" s="653">
        <f>V37*((100+INDEX(DEFAULT!V91:BA93,2,'USER INPUTS'!$B$4))/100)</f>
        <v>35.483902684913829</v>
      </c>
      <c r="X37" s="653">
        <f>W37*((100+INDEX(DEFAULT!W91:BB93,2,'USER INPUTS'!$B$4))/100)</f>
        <v>35.483902684913829</v>
      </c>
      <c r="Y37" s="653">
        <f>X37*((100+INDEX(DEFAULT!X91:BC93,3,'USER INPUTS'!$B$4))/100)</f>
        <v>35.483902684913829</v>
      </c>
      <c r="Z37" s="653">
        <f>Y37*((100+INDEX(DEFAULT!Y91:BD93,3,'USER INPUTS'!$B$4))/100)</f>
        <v>35.483902684913829</v>
      </c>
      <c r="AA37" s="653">
        <f>Z37*((100+INDEX(DEFAULT!Z91:BE93,3,'USER INPUTS'!$B$4))/100)</f>
        <v>35.483902684913829</v>
      </c>
      <c r="AB37" s="653">
        <f>AA37*((100+INDEX(DEFAULT!AA91:BF93,3,'USER INPUTS'!$B$4))/100)</f>
        <v>35.483902684913829</v>
      </c>
      <c r="AC37" s="653">
        <f>AB37*((100+INDEX(DEFAULT!AB91:BG93,3,'USER INPUTS'!$B$4))/100)</f>
        <v>35.483902684913829</v>
      </c>
      <c r="AD37" s="653">
        <f>AC37*((100+INDEX(DEFAULT!AC91:BH93,3,'USER INPUTS'!$B$4))/100)</f>
        <v>35.483902684913829</v>
      </c>
      <c r="AE37" s="653">
        <f>AD37*((100+INDEX(DEFAULT!AD91:BI93,3,'USER INPUTS'!$B$4))/100)</f>
        <v>35.483902684913829</v>
      </c>
      <c r="AF37" s="653">
        <f>AE37*((100+INDEX(DEFAULT!AE91:BJ93,3,'USER INPUTS'!$B$4))/100)</f>
        <v>35.483902684913829</v>
      </c>
      <c r="AG37" s="653">
        <f>AF37*((100+INDEX(DEFAULT!AF91:BK93,3,'USER INPUTS'!$B$4))/100)</f>
        <v>35.483902684913829</v>
      </c>
      <c r="AH37" s="653">
        <f>AG37*((100+INDEX(DEFAULT!AG91:BL93,3,'USER INPUTS'!$B$4))/100)</f>
        <v>35.483902684913829</v>
      </c>
      <c r="AI37" s="42"/>
      <c r="AJ37" s="105" t="s">
        <v>682</v>
      </c>
    </row>
    <row r="38" spans="1:36">
      <c r="A38" s="63" t="s">
        <v>121</v>
      </c>
      <c r="B38" s="387"/>
      <c r="C38" s="135"/>
      <c r="D38" s="662" t="s">
        <v>684</v>
      </c>
      <c r="E38" s="660">
        <f>INDEX(DEFAULT!E99:AJ99,1,'USER INPUTS'!$B$4)</f>
        <v>12</v>
      </c>
      <c r="F38" s="152">
        <f>E38</f>
        <v>12</v>
      </c>
      <c r="G38" s="152">
        <f t="shared" ref="G38:AH38" si="15">F38</f>
        <v>12</v>
      </c>
      <c r="H38" s="152">
        <f t="shared" si="15"/>
        <v>12</v>
      </c>
      <c r="I38" s="152">
        <f t="shared" si="15"/>
        <v>12</v>
      </c>
      <c r="J38" s="152">
        <f t="shared" si="15"/>
        <v>12</v>
      </c>
      <c r="K38" s="152">
        <f t="shared" si="15"/>
        <v>12</v>
      </c>
      <c r="L38" s="152">
        <f t="shared" si="15"/>
        <v>12</v>
      </c>
      <c r="M38" s="152">
        <f t="shared" si="15"/>
        <v>12</v>
      </c>
      <c r="N38" s="152">
        <f t="shared" si="15"/>
        <v>12</v>
      </c>
      <c r="O38" s="152">
        <f t="shared" si="15"/>
        <v>12</v>
      </c>
      <c r="P38" s="152">
        <f t="shared" si="15"/>
        <v>12</v>
      </c>
      <c r="Q38" s="152">
        <f t="shared" si="15"/>
        <v>12</v>
      </c>
      <c r="R38" s="152">
        <f t="shared" si="15"/>
        <v>12</v>
      </c>
      <c r="S38" s="152">
        <f t="shared" si="15"/>
        <v>12</v>
      </c>
      <c r="T38" s="152">
        <f t="shared" si="15"/>
        <v>12</v>
      </c>
      <c r="U38" s="152">
        <f t="shared" si="15"/>
        <v>12</v>
      </c>
      <c r="V38" s="152">
        <f t="shared" si="15"/>
        <v>12</v>
      </c>
      <c r="W38" s="152">
        <f t="shared" si="15"/>
        <v>12</v>
      </c>
      <c r="X38" s="152">
        <f t="shared" si="15"/>
        <v>12</v>
      </c>
      <c r="Y38" s="152">
        <f t="shared" si="15"/>
        <v>12</v>
      </c>
      <c r="Z38" s="152">
        <f t="shared" si="15"/>
        <v>12</v>
      </c>
      <c r="AA38" s="152">
        <f t="shared" si="15"/>
        <v>12</v>
      </c>
      <c r="AB38" s="152">
        <f t="shared" si="15"/>
        <v>12</v>
      </c>
      <c r="AC38" s="152">
        <f t="shared" si="15"/>
        <v>12</v>
      </c>
      <c r="AD38" s="152">
        <f t="shared" si="15"/>
        <v>12</v>
      </c>
      <c r="AE38" s="152">
        <f t="shared" si="15"/>
        <v>12</v>
      </c>
      <c r="AF38" s="152">
        <f t="shared" si="15"/>
        <v>12</v>
      </c>
      <c r="AG38" s="152">
        <f t="shared" si="15"/>
        <v>12</v>
      </c>
      <c r="AH38" s="152">
        <f t="shared" si="15"/>
        <v>12</v>
      </c>
      <c r="AI38" s="42"/>
      <c r="AJ38" s="105" t="s">
        <v>112</v>
      </c>
    </row>
    <row r="39" spans="1:36">
      <c r="A39" s="43" t="s">
        <v>77</v>
      </c>
      <c r="B39" s="388"/>
      <c r="C39" s="106"/>
      <c r="D39" s="388"/>
      <c r="E39" s="165">
        <f>E37/E38</f>
        <v>2.6553882767968324</v>
      </c>
      <c r="F39" s="254">
        <f t="shared" ref="F39:AH39" si="16">F37/F38</f>
        <v>2.6739759947344108</v>
      </c>
      <c r="G39" s="165">
        <f t="shared" si="16"/>
        <v>2.6846718987133484</v>
      </c>
      <c r="H39" s="165">
        <f t="shared" si="16"/>
        <v>2.7007799301056283</v>
      </c>
      <c r="I39" s="165">
        <f t="shared" si="16"/>
        <v>2.716984609686262</v>
      </c>
      <c r="J39" s="165">
        <f t="shared" si="16"/>
        <v>2.7224185789056343</v>
      </c>
      <c r="K39" s="165">
        <f t="shared" si="16"/>
        <v>2.7632548575892186</v>
      </c>
      <c r="L39" s="165">
        <f t="shared" si="16"/>
        <v>2.7715446221619859</v>
      </c>
      <c r="M39" s="165">
        <f t="shared" si="16"/>
        <v>2.7909454345171198</v>
      </c>
      <c r="N39" s="165">
        <f t="shared" si="16"/>
        <v>2.8076911071242225</v>
      </c>
      <c r="O39" s="165">
        <f t="shared" si="16"/>
        <v>2.8161141804455951</v>
      </c>
      <c r="P39" s="165">
        <f t="shared" si="16"/>
        <v>2.8414592080696059</v>
      </c>
      <c r="Q39" s="165">
        <f t="shared" si="16"/>
        <v>2.8613494225260934</v>
      </c>
      <c r="R39" s="165">
        <f t="shared" si="16"/>
        <v>2.8813788684837767</v>
      </c>
      <c r="S39" s="165">
        <f t="shared" si="16"/>
        <v>2.8871416262207443</v>
      </c>
      <c r="T39" s="165">
        <f t="shared" si="16"/>
        <v>2.9102387592305106</v>
      </c>
      <c r="U39" s="165">
        <f t="shared" si="16"/>
        <v>2.9393411468228154</v>
      </c>
      <c r="V39" s="165">
        <f t="shared" si="16"/>
        <v>2.9540378525569291</v>
      </c>
      <c r="W39" s="165">
        <f t="shared" si="16"/>
        <v>2.9569918904094856</v>
      </c>
      <c r="X39" s="165">
        <f t="shared" si="16"/>
        <v>2.9569918904094856</v>
      </c>
      <c r="Y39" s="165">
        <f t="shared" si="16"/>
        <v>2.9569918904094856</v>
      </c>
      <c r="Z39" s="165">
        <f t="shared" si="16"/>
        <v>2.9569918904094856</v>
      </c>
      <c r="AA39" s="165">
        <f t="shared" si="16"/>
        <v>2.9569918904094856</v>
      </c>
      <c r="AB39" s="165">
        <f t="shared" si="16"/>
        <v>2.9569918904094856</v>
      </c>
      <c r="AC39" s="165">
        <f t="shared" si="16"/>
        <v>2.9569918904094856</v>
      </c>
      <c r="AD39" s="165">
        <f t="shared" si="16"/>
        <v>2.9569918904094856</v>
      </c>
      <c r="AE39" s="165">
        <f t="shared" si="16"/>
        <v>2.9569918904094856</v>
      </c>
      <c r="AF39" s="165">
        <f t="shared" si="16"/>
        <v>2.9569918904094856</v>
      </c>
      <c r="AG39" s="165">
        <f t="shared" si="16"/>
        <v>2.9569918904094856</v>
      </c>
      <c r="AH39" s="165">
        <f t="shared" si="16"/>
        <v>2.9569918904094856</v>
      </c>
      <c r="AI39" s="42"/>
    </row>
    <row r="40" spans="1:36">
      <c r="A40" s="13"/>
      <c r="B40" s="388"/>
      <c r="C40" s="106"/>
      <c r="D40" s="389"/>
      <c r="E40" s="388"/>
      <c r="F40" s="388"/>
      <c r="G40" s="388"/>
      <c r="H40" s="388"/>
      <c r="I40" s="388"/>
      <c r="J40" s="388"/>
      <c r="K40" s="388"/>
      <c r="L40" s="388"/>
      <c r="M40" s="388"/>
      <c r="N40" s="388"/>
      <c r="O40" s="388"/>
      <c r="P40" s="388"/>
      <c r="Q40" s="388"/>
      <c r="R40" s="388"/>
      <c r="S40" s="388"/>
      <c r="T40" s="388"/>
      <c r="U40" s="388"/>
      <c r="V40" s="388"/>
      <c r="W40" s="388"/>
      <c r="X40" s="388"/>
      <c r="Y40" s="388"/>
      <c r="Z40" s="388"/>
      <c r="AA40" s="388"/>
      <c r="AB40" s="388"/>
      <c r="AC40" s="388"/>
      <c r="AD40" s="388"/>
      <c r="AE40" s="388"/>
      <c r="AF40" s="388"/>
      <c r="AG40" s="388"/>
      <c r="AH40" s="388"/>
      <c r="AI40" s="42"/>
    </row>
    <row r="41" spans="1:36">
      <c r="A41" s="663" t="s">
        <v>687</v>
      </c>
      <c r="B41" s="643"/>
      <c r="C41" s="135"/>
      <c r="D41" s="77"/>
      <c r="E41" s="313">
        <v>2021</v>
      </c>
      <c r="F41" s="643">
        <f>E41+1</f>
        <v>2022</v>
      </c>
      <c r="G41" s="643">
        <f t="shared" ref="G41:AH41" si="17">F41+1</f>
        <v>2023</v>
      </c>
      <c r="H41" s="643">
        <f t="shared" si="17"/>
        <v>2024</v>
      </c>
      <c r="I41" s="643">
        <f t="shared" si="17"/>
        <v>2025</v>
      </c>
      <c r="J41" s="643">
        <f t="shared" si="17"/>
        <v>2026</v>
      </c>
      <c r="K41" s="643">
        <f t="shared" si="17"/>
        <v>2027</v>
      </c>
      <c r="L41" s="643">
        <f t="shared" si="17"/>
        <v>2028</v>
      </c>
      <c r="M41" s="643">
        <f t="shared" si="17"/>
        <v>2029</v>
      </c>
      <c r="N41" s="643">
        <f t="shared" si="17"/>
        <v>2030</v>
      </c>
      <c r="O41" s="643">
        <f t="shared" si="17"/>
        <v>2031</v>
      </c>
      <c r="P41" s="643">
        <f t="shared" si="17"/>
        <v>2032</v>
      </c>
      <c r="Q41" s="643">
        <f t="shared" si="17"/>
        <v>2033</v>
      </c>
      <c r="R41" s="643">
        <f t="shared" si="17"/>
        <v>2034</v>
      </c>
      <c r="S41" s="643">
        <f t="shared" si="17"/>
        <v>2035</v>
      </c>
      <c r="T41" s="643">
        <f t="shared" si="17"/>
        <v>2036</v>
      </c>
      <c r="U41" s="643">
        <f t="shared" si="17"/>
        <v>2037</v>
      </c>
      <c r="V41" s="643">
        <f t="shared" si="17"/>
        <v>2038</v>
      </c>
      <c r="W41" s="643">
        <f t="shared" si="17"/>
        <v>2039</v>
      </c>
      <c r="X41" s="643">
        <f t="shared" si="17"/>
        <v>2040</v>
      </c>
      <c r="Y41" s="643">
        <f t="shared" si="17"/>
        <v>2041</v>
      </c>
      <c r="Z41" s="643">
        <f t="shared" si="17"/>
        <v>2042</v>
      </c>
      <c r="AA41" s="643">
        <f t="shared" si="17"/>
        <v>2043</v>
      </c>
      <c r="AB41" s="643">
        <f t="shared" si="17"/>
        <v>2044</v>
      </c>
      <c r="AC41" s="643">
        <f t="shared" si="17"/>
        <v>2045</v>
      </c>
      <c r="AD41" s="643">
        <f t="shared" si="17"/>
        <v>2046</v>
      </c>
      <c r="AE41" s="643">
        <f t="shared" si="17"/>
        <v>2047</v>
      </c>
      <c r="AF41" s="643">
        <f t="shared" si="17"/>
        <v>2048</v>
      </c>
      <c r="AG41" s="643">
        <f t="shared" si="17"/>
        <v>2049</v>
      </c>
      <c r="AH41" s="643">
        <f t="shared" si="17"/>
        <v>2050</v>
      </c>
      <c r="AI41" s="42"/>
    </row>
    <row r="42" spans="1:36">
      <c r="A42" s="27" t="s">
        <v>688</v>
      </c>
      <c r="B42" s="642"/>
      <c r="C42" s="106"/>
      <c r="D42" s="644"/>
      <c r="E42" s="658">
        <f>INDEX(DEFAULT!E124:AJ124,1,'USER INPUTS'!B4)+(((INDEX(DEFAULT!E124:AJ130,2,'USER INPUTS'!B4)-INDEX(DEFAULT!E124:AJ130,1,'USER INPUTS'!B4))/5))</f>
        <v>0.22</v>
      </c>
      <c r="F42" s="658">
        <f>E42+(((INDEX(DEFAULT!$E$124:$AJ$130,2,'USER INPUTS'!$B$4)-INDEX(DEFAULT!$E$124:$AJ$130,1,'USER INPUTS'!$B$4))/5))</f>
        <v>0.24</v>
      </c>
      <c r="G42" s="658">
        <f>F42+(((INDEX(DEFAULT!$E$124:$AJ$130,2,'USER INPUTS'!$B$4)-INDEX(DEFAULT!$E$124:$AJ$130,1,'USER INPUTS'!$B$4))/5))</f>
        <v>0.26</v>
      </c>
      <c r="H42" s="658">
        <f>G42+(((INDEX(DEFAULT!$E$124:$AJ$130,2,'USER INPUTS'!$B$4)-INDEX(DEFAULT!$E$124:$AJ$130,1,'USER INPUTS'!$B$4))/5))</f>
        <v>0.28000000000000003</v>
      </c>
      <c r="I42" s="658">
        <f>H42+(((INDEX(DEFAULT!$E$124:$AJ$130,2,'USER INPUTS'!$B$4)-INDEX(DEFAULT!$E$124:$AJ$130,1,'USER INPUTS'!$B$4))/5))</f>
        <v>0.30000000000000004</v>
      </c>
      <c r="J42" s="658">
        <f>I42+(((INDEX(DEFAULT!$E$124:$AJ$130,3,'USER INPUTS'!$B$4)-INDEX(DEFAULT!$E$124:$AJ$130,2,'USER INPUTS'!$B$4))/5))</f>
        <v>0.38</v>
      </c>
      <c r="K42" s="658">
        <f>J42+(((INDEX(DEFAULT!$E$124:$AJ$130,3,'USER INPUTS'!$B$4)-INDEX(DEFAULT!$E$124:$AJ$130,2,'USER INPUTS'!$B$4))/5))</f>
        <v>0.45999999999999996</v>
      </c>
      <c r="L42" s="658">
        <f>K42+(((INDEX(DEFAULT!$E$124:$AJ$130,3,'USER INPUTS'!$B$4)-INDEX(DEFAULT!$E$124:$AJ$130,2,'USER INPUTS'!$B$4))/5))</f>
        <v>0.53999999999999992</v>
      </c>
      <c r="M42" s="658">
        <f>L42+(((INDEX(DEFAULT!$E$124:$AJ$130,3,'USER INPUTS'!$B$4)-INDEX(DEFAULT!$E$124:$AJ$130,2,'USER INPUTS'!$B$4))/5))</f>
        <v>0.61999999999999988</v>
      </c>
      <c r="N42" s="658">
        <f>M42+(((INDEX(DEFAULT!$E$124:$AJ$130,3,'USER INPUTS'!$B$4)-INDEX(DEFAULT!$E$124:$AJ$130,2,'USER INPUTS'!$B$4))/5))</f>
        <v>0.69999999999999984</v>
      </c>
      <c r="O42" s="658">
        <f>N42+(((INDEX(DEFAULT!$E$124:$AJ$130,4,'USER INPUTS'!$B$4)-INDEX(DEFAULT!$E$124:$AJ$130,3,'USER INPUTS'!$B$4))/5))</f>
        <v>0.7599999999999999</v>
      </c>
      <c r="P42" s="658">
        <f>O42+(((INDEX(DEFAULT!$E$124:$AJ$130,4,'USER INPUTS'!$B$4)-INDEX(DEFAULT!$E$124:$AJ$130,3,'USER INPUTS'!$B$4))/5))</f>
        <v>0.82</v>
      </c>
      <c r="Q42" s="658">
        <f>P42+(((INDEX(DEFAULT!$E$124:$AJ$130,4,'USER INPUTS'!$B$4)-INDEX(DEFAULT!$E$124:$AJ$130,3,'USER INPUTS'!$B$4))/5))</f>
        <v>0.88</v>
      </c>
      <c r="R42" s="658">
        <f>Q42+(((INDEX(DEFAULT!$E$124:$AJ$130,4,'USER INPUTS'!$B$4)-INDEX(DEFAULT!$E$124:$AJ$130,3,'USER INPUTS'!$B$4))/5))</f>
        <v>0.94000000000000006</v>
      </c>
      <c r="S42" s="658">
        <f>R42+(((INDEX(DEFAULT!$E$124:$AJ$130,4,'USER INPUTS'!$B$4)-INDEX(DEFAULT!$E$124:$AJ$130,3,'USER INPUTS'!$B$4))/5))</f>
        <v>1</v>
      </c>
      <c r="T42" s="658">
        <f>S42+(((INDEX(DEFAULT!$E$124:$AJ$130,5,'USER INPUTS'!$B$4)-INDEX(DEFAULT!$E$124:$AJ$130,4,'USER INPUTS'!$B$4))/5))</f>
        <v>1.06</v>
      </c>
      <c r="U42" s="658">
        <f>T42+(((INDEX(DEFAULT!$E$124:$AJ$130,5,'USER INPUTS'!$B$4)-INDEX(DEFAULT!$E$124:$AJ$130,4,'USER INPUTS'!$B$4))/5))</f>
        <v>1.1200000000000001</v>
      </c>
      <c r="V42" s="658">
        <f>U42+(((INDEX(DEFAULT!$E$124:$AJ$130,5,'USER INPUTS'!$B$4)-INDEX(DEFAULT!$E$124:$AJ$130,4,'USER INPUTS'!$B$4))/5))</f>
        <v>1.1800000000000002</v>
      </c>
      <c r="W42" s="658">
        <f>V42+(((INDEX(DEFAULT!$E$124:$AJ$130,5,'USER INPUTS'!$B$4)-INDEX(DEFAULT!$E$124:$AJ$130,4,'USER INPUTS'!$B$4))/5))</f>
        <v>1.2400000000000002</v>
      </c>
      <c r="X42" s="658">
        <f>W42+(((INDEX(DEFAULT!$E$124:$AJ$130,5,'USER INPUTS'!$B$4)-INDEX(DEFAULT!$E$124:$AJ$130,4,'USER INPUTS'!$B$4))/5))</f>
        <v>1.3000000000000003</v>
      </c>
      <c r="Y42" s="658">
        <f>X42+(((INDEX(DEFAULT!$E$124:$AJ$130,6,'USER INPUTS'!$B$4)-INDEX(DEFAULT!$E$124:$AJ$130,5,'USER INPUTS'!$B$4))/5))</f>
        <v>1.3600000000000003</v>
      </c>
      <c r="Z42" s="658">
        <f>Y42+(((INDEX(DEFAULT!$E$124:$AJ$130,6,'USER INPUTS'!$B$4)-INDEX(DEFAULT!$E$124:$AJ$130,5,'USER INPUTS'!$B$4))/5))</f>
        <v>1.4200000000000004</v>
      </c>
      <c r="AA42" s="658">
        <f>Z42+(((INDEX(DEFAULT!$E$124:$AJ$130,6,'USER INPUTS'!$B$4)-INDEX(DEFAULT!$E$124:$AJ$130,5,'USER INPUTS'!$B$4))/5))</f>
        <v>1.4800000000000004</v>
      </c>
      <c r="AB42" s="658">
        <f>AA42+(((INDEX(DEFAULT!$E$124:$AJ$130,6,'USER INPUTS'!$B$4)-INDEX(DEFAULT!$E$124:$AJ$130,5,'USER INPUTS'!$B$4))/5))</f>
        <v>1.5400000000000005</v>
      </c>
      <c r="AC42" s="658">
        <f>AB42+(((INDEX(DEFAULT!$E$124:$AJ$130,6,'USER INPUTS'!$B$4)-INDEX(DEFAULT!$E$124:$AJ$130,5,'USER INPUTS'!$B$4))/5))</f>
        <v>1.6000000000000005</v>
      </c>
      <c r="AD42" s="658">
        <f>AC42+(((INDEX(DEFAULT!$E$124:$AJ$130,7,'USER INPUTS'!$B$4)-INDEX(DEFAULT!$E$124:$AJ$130,6,'USER INPUTS'!$B$4))/5))</f>
        <v>1.6600000000000006</v>
      </c>
      <c r="AE42" s="658">
        <f>AD42+(((INDEX(DEFAULT!$E$124:$AJ$130,7,'USER INPUTS'!$B$4)-INDEX(DEFAULT!$E$124:$AJ$130,6,'USER INPUTS'!$B$4))/5))</f>
        <v>1.7200000000000006</v>
      </c>
      <c r="AF42" s="658">
        <f>AE42+(((INDEX(DEFAULT!$E$124:$AJ$130,7,'USER INPUTS'!$B$4)-INDEX(DEFAULT!$E$124:$AJ$130,6,'USER INPUTS'!$B$4))/5))</f>
        <v>1.7800000000000007</v>
      </c>
      <c r="AG42" s="658">
        <f>AF42+(((INDEX(DEFAULT!$E$124:$AJ$130,7,'USER INPUTS'!$B$4)-INDEX(DEFAULT!$E$124:$AJ$130,6,'USER INPUTS'!$B$4))/5))</f>
        <v>1.8400000000000007</v>
      </c>
      <c r="AH42" s="658">
        <f>AG42+(((INDEX(DEFAULT!$E$124:$AJ$130,7,'USER INPUTS'!$B$4)-INDEX(DEFAULT!$E$124:$AJ$130,6,'USER INPUTS'!$B$4))/5))</f>
        <v>1.9000000000000008</v>
      </c>
      <c r="AI42" s="42"/>
    </row>
    <row r="43" spans="1:36">
      <c r="A43" s="13"/>
      <c r="B43" s="642"/>
      <c r="C43" s="106"/>
      <c r="D43" s="644"/>
      <c r="E43" s="642"/>
      <c r="F43" s="642"/>
      <c r="G43" s="642"/>
      <c r="H43" s="642"/>
      <c r="I43" s="642"/>
      <c r="J43" s="642"/>
      <c r="K43" s="642"/>
      <c r="L43" s="642"/>
      <c r="M43" s="642"/>
      <c r="N43" s="642"/>
      <c r="O43" s="642"/>
      <c r="P43" s="642"/>
      <c r="Q43" s="642"/>
      <c r="R43" s="642"/>
      <c r="S43" s="642"/>
      <c r="T43" s="642"/>
      <c r="U43" s="642"/>
      <c r="V43" s="642"/>
      <c r="W43" s="642"/>
      <c r="X43" s="642"/>
      <c r="Y43" s="642"/>
      <c r="Z43" s="642"/>
      <c r="AA43" s="642"/>
      <c r="AB43" s="642"/>
      <c r="AC43" s="642"/>
      <c r="AD43" s="642"/>
      <c r="AE43" s="642"/>
      <c r="AF43" s="642"/>
      <c r="AG43" s="642"/>
      <c r="AH43" s="642"/>
      <c r="AI43" s="42"/>
    </row>
    <row r="44" spans="1:36">
      <c r="A44" s="43" t="s">
        <v>689</v>
      </c>
      <c r="B44" s="388"/>
      <c r="C44" s="388"/>
      <c r="D44" s="389"/>
      <c r="E44" s="388" t="s">
        <v>0</v>
      </c>
      <c r="F44" s="388"/>
      <c r="G44" s="388"/>
      <c r="H44" s="388"/>
      <c r="I44" s="388"/>
      <c r="J44" s="388"/>
      <c r="K44" s="388"/>
      <c r="L44" s="388"/>
      <c r="M44" s="388"/>
      <c r="N44" s="388"/>
      <c r="O44" s="388"/>
      <c r="P44" s="388"/>
      <c r="Q44" s="388"/>
      <c r="R44" s="388"/>
      <c r="S44" s="388"/>
      <c r="T44" s="388"/>
      <c r="U44" s="388"/>
      <c r="V44" s="388"/>
      <c r="W44" s="388"/>
      <c r="X44" s="388"/>
      <c r="Y44" s="388"/>
      <c r="Z44" s="388"/>
      <c r="AA44" s="388"/>
      <c r="AB44" s="388"/>
      <c r="AC44" s="388"/>
      <c r="AD44" s="388"/>
      <c r="AE44" s="388"/>
      <c r="AF44" s="388"/>
      <c r="AG44" s="388"/>
      <c r="AH44" s="388"/>
      <c r="AI44" s="42"/>
    </row>
    <row r="45" spans="1:36">
      <c r="A45" s="63" t="s">
        <v>109</v>
      </c>
      <c r="B45" s="387" t="s">
        <v>187</v>
      </c>
      <c r="C45" s="387" t="s">
        <v>584</v>
      </c>
      <c r="D45" s="77" t="s">
        <v>583</v>
      </c>
      <c r="E45" s="387">
        <v>2021</v>
      </c>
      <c r="F45" s="387">
        <f t="shared" ref="F45:AH45" si="18">E45+1</f>
        <v>2022</v>
      </c>
      <c r="G45" s="387">
        <f t="shared" si="18"/>
        <v>2023</v>
      </c>
      <c r="H45" s="387">
        <f t="shared" si="18"/>
        <v>2024</v>
      </c>
      <c r="I45" s="387">
        <f t="shared" si="18"/>
        <v>2025</v>
      </c>
      <c r="J45" s="387">
        <f t="shared" si="18"/>
        <v>2026</v>
      </c>
      <c r="K45" s="387">
        <f t="shared" si="18"/>
        <v>2027</v>
      </c>
      <c r="L45" s="387">
        <f t="shared" si="18"/>
        <v>2028</v>
      </c>
      <c r="M45" s="387">
        <f t="shared" si="18"/>
        <v>2029</v>
      </c>
      <c r="N45" s="387">
        <f t="shared" si="18"/>
        <v>2030</v>
      </c>
      <c r="O45" s="387">
        <f t="shared" si="18"/>
        <v>2031</v>
      </c>
      <c r="P45" s="387">
        <f t="shared" si="18"/>
        <v>2032</v>
      </c>
      <c r="Q45" s="387">
        <f t="shared" si="18"/>
        <v>2033</v>
      </c>
      <c r="R45" s="387">
        <f t="shared" si="18"/>
        <v>2034</v>
      </c>
      <c r="S45" s="387">
        <f t="shared" si="18"/>
        <v>2035</v>
      </c>
      <c r="T45" s="387">
        <f t="shared" si="18"/>
        <v>2036</v>
      </c>
      <c r="U45" s="387">
        <f t="shared" si="18"/>
        <v>2037</v>
      </c>
      <c r="V45" s="387">
        <f t="shared" si="18"/>
        <v>2038</v>
      </c>
      <c r="W45" s="387">
        <f t="shared" si="18"/>
        <v>2039</v>
      </c>
      <c r="X45" s="387">
        <f t="shared" si="18"/>
        <v>2040</v>
      </c>
      <c r="Y45" s="387">
        <f t="shared" si="18"/>
        <v>2041</v>
      </c>
      <c r="Z45" s="387">
        <f t="shared" si="18"/>
        <v>2042</v>
      </c>
      <c r="AA45" s="387">
        <f t="shared" si="18"/>
        <v>2043</v>
      </c>
      <c r="AB45" s="387">
        <f t="shared" si="18"/>
        <v>2044</v>
      </c>
      <c r="AC45" s="387">
        <f t="shared" si="18"/>
        <v>2045</v>
      </c>
      <c r="AD45" s="387">
        <f t="shared" si="18"/>
        <v>2046</v>
      </c>
      <c r="AE45" s="387">
        <f t="shared" si="18"/>
        <v>2047</v>
      </c>
      <c r="AF45" s="387">
        <f t="shared" si="18"/>
        <v>2048</v>
      </c>
      <c r="AG45" s="387">
        <f t="shared" si="18"/>
        <v>2049</v>
      </c>
      <c r="AH45" s="387">
        <f t="shared" si="18"/>
        <v>2050</v>
      </c>
      <c r="AI45" s="42"/>
    </row>
    <row r="46" spans="1:36">
      <c r="A46" s="43" t="s">
        <v>191</v>
      </c>
      <c r="B46" s="387" t="s">
        <v>108</v>
      </c>
      <c r="C46" s="387" t="s">
        <v>108</v>
      </c>
      <c r="D46" s="239" t="s">
        <v>108</v>
      </c>
      <c r="E46" s="387"/>
      <c r="F46" s="387"/>
      <c r="G46" s="387"/>
      <c r="H46" s="387"/>
      <c r="I46" s="387"/>
      <c r="J46" s="387"/>
      <c r="K46" s="387"/>
      <c r="L46" s="387"/>
      <c r="M46" s="387"/>
      <c r="N46" s="387"/>
      <c r="O46" s="387"/>
      <c r="P46" s="387"/>
      <c r="Q46" s="387"/>
      <c r="R46" s="387"/>
      <c r="S46" s="387"/>
      <c r="T46" s="387"/>
      <c r="U46" s="387"/>
      <c r="V46" s="387"/>
      <c r="W46" s="387"/>
      <c r="X46" s="387"/>
      <c r="Y46" s="387"/>
      <c r="Z46" s="387"/>
      <c r="AA46" s="387"/>
      <c r="AB46" s="387"/>
      <c r="AC46" s="387"/>
      <c r="AD46" s="387"/>
      <c r="AE46" s="387"/>
      <c r="AF46" s="387"/>
      <c r="AG46" s="387"/>
      <c r="AH46" s="387"/>
      <c r="AI46" s="42"/>
    </row>
    <row r="47" spans="1:36">
      <c r="A47" s="27" t="s">
        <v>73</v>
      </c>
      <c r="B47" s="153">
        <f>DEFAULT!B107</f>
        <v>368</v>
      </c>
      <c r="C47" s="153">
        <f>DEFAULT!C107</f>
        <v>261.91600618637949</v>
      </c>
      <c r="D47" s="153">
        <f>DEFAULT!D107</f>
        <v>433.01922201480062</v>
      </c>
      <c r="E47" s="152">
        <f>INDEX(DEFAULT!$E$107:$AJ$112,1,'USER INPUTS'!$B$4)</f>
        <v>0.1</v>
      </c>
      <c r="F47" s="152">
        <f t="shared" ref="F47:AH47" si="19">E47</f>
        <v>0.1</v>
      </c>
      <c r="G47" s="152">
        <f t="shared" si="19"/>
        <v>0.1</v>
      </c>
      <c r="H47" s="152">
        <f t="shared" si="19"/>
        <v>0.1</v>
      </c>
      <c r="I47" s="152">
        <f t="shared" si="19"/>
        <v>0.1</v>
      </c>
      <c r="J47" s="152">
        <f t="shared" si="19"/>
        <v>0.1</v>
      </c>
      <c r="K47" s="152">
        <f t="shared" si="19"/>
        <v>0.1</v>
      </c>
      <c r="L47" s="152">
        <f t="shared" si="19"/>
        <v>0.1</v>
      </c>
      <c r="M47" s="152">
        <f t="shared" si="19"/>
        <v>0.1</v>
      </c>
      <c r="N47" s="152">
        <f t="shared" si="19"/>
        <v>0.1</v>
      </c>
      <c r="O47" s="152">
        <f t="shared" si="19"/>
        <v>0.1</v>
      </c>
      <c r="P47" s="152">
        <f t="shared" si="19"/>
        <v>0.1</v>
      </c>
      <c r="Q47" s="152">
        <f t="shared" si="19"/>
        <v>0.1</v>
      </c>
      <c r="R47" s="152">
        <f t="shared" si="19"/>
        <v>0.1</v>
      </c>
      <c r="S47" s="152">
        <f t="shared" si="19"/>
        <v>0.1</v>
      </c>
      <c r="T47" s="152">
        <f t="shared" si="19"/>
        <v>0.1</v>
      </c>
      <c r="U47" s="152">
        <f t="shared" si="19"/>
        <v>0.1</v>
      </c>
      <c r="V47" s="152">
        <f t="shared" si="19"/>
        <v>0.1</v>
      </c>
      <c r="W47" s="152">
        <f t="shared" si="19"/>
        <v>0.1</v>
      </c>
      <c r="X47" s="152">
        <f t="shared" si="19"/>
        <v>0.1</v>
      </c>
      <c r="Y47" s="152">
        <f t="shared" si="19"/>
        <v>0.1</v>
      </c>
      <c r="Z47" s="152">
        <f t="shared" si="19"/>
        <v>0.1</v>
      </c>
      <c r="AA47" s="152">
        <f t="shared" si="19"/>
        <v>0.1</v>
      </c>
      <c r="AB47" s="152">
        <f t="shared" si="19"/>
        <v>0.1</v>
      </c>
      <c r="AC47" s="152">
        <f t="shared" si="19"/>
        <v>0.1</v>
      </c>
      <c r="AD47" s="152">
        <f t="shared" si="19"/>
        <v>0.1</v>
      </c>
      <c r="AE47" s="152">
        <f t="shared" si="19"/>
        <v>0.1</v>
      </c>
      <c r="AF47" s="152">
        <f t="shared" si="19"/>
        <v>0.1</v>
      </c>
      <c r="AG47" s="152">
        <f t="shared" si="19"/>
        <v>0.1</v>
      </c>
      <c r="AH47" s="152">
        <f t="shared" si="19"/>
        <v>0.1</v>
      </c>
      <c r="AI47" s="42"/>
      <c r="AJ47" s="76"/>
    </row>
    <row r="48" spans="1:36">
      <c r="A48" s="27" t="s">
        <v>40</v>
      </c>
      <c r="B48" s="153">
        <f>DEFAULT!B108</f>
        <v>400</v>
      </c>
      <c r="C48" s="153">
        <f>DEFAULT!C108</f>
        <v>284.69131107215162</v>
      </c>
      <c r="D48" s="153">
        <f>DEFAULT!D108</f>
        <v>470.67306740739195</v>
      </c>
      <c r="E48" s="152">
        <f>INDEX(DEFAULT!$E$107:$AJ$112,2,'USER INPUTS'!$B$4)</f>
        <v>0</v>
      </c>
      <c r="F48" s="151">
        <f t="shared" ref="F48:AH48" si="20">E48</f>
        <v>0</v>
      </c>
      <c r="G48" s="151">
        <f t="shared" si="20"/>
        <v>0</v>
      </c>
      <c r="H48" s="151">
        <f t="shared" si="20"/>
        <v>0</v>
      </c>
      <c r="I48" s="151">
        <f t="shared" si="20"/>
        <v>0</v>
      </c>
      <c r="J48" s="151">
        <f t="shared" si="20"/>
        <v>0</v>
      </c>
      <c r="K48" s="151">
        <f t="shared" si="20"/>
        <v>0</v>
      </c>
      <c r="L48" s="151">
        <f t="shared" si="20"/>
        <v>0</v>
      </c>
      <c r="M48" s="151">
        <f t="shared" si="20"/>
        <v>0</v>
      </c>
      <c r="N48" s="151">
        <f t="shared" si="20"/>
        <v>0</v>
      </c>
      <c r="O48" s="151">
        <f t="shared" si="20"/>
        <v>0</v>
      </c>
      <c r="P48" s="151">
        <f t="shared" si="20"/>
        <v>0</v>
      </c>
      <c r="Q48" s="151">
        <f t="shared" si="20"/>
        <v>0</v>
      </c>
      <c r="R48" s="151">
        <f t="shared" si="20"/>
        <v>0</v>
      </c>
      <c r="S48" s="151">
        <f t="shared" si="20"/>
        <v>0</v>
      </c>
      <c r="T48" s="151">
        <f t="shared" si="20"/>
        <v>0</v>
      </c>
      <c r="U48" s="151">
        <f t="shared" si="20"/>
        <v>0</v>
      </c>
      <c r="V48" s="151">
        <f t="shared" si="20"/>
        <v>0</v>
      </c>
      <c r="W48" s="151">
        <f t="shared" si="20"/>
        <v>0</v>
      </c>
      <c r="X48" s="151">
        <f t="shared" si="20"/>
        <v>0</v>
      </c>
      <c r="Y48" s="151">
        <f t="shared" si="20"/>
        <v>0</v>
      </c>
      <c r="Z48" s="151">
        <f t="shared" si="20"/>
        <v>0</v>
      </c>
      <c r="AA48" s="151">
        <f t="shared" si="20"/>
        <v>0</v>
      </c>
      <c r="AB48" s="151">
        <f t="shared" si="20"/>
        <v>0</v>
      </c>
      <c r="AC48" s="151">
        <f t="shared" si="20"/>
        <v>0</v>
      </c>
      <c r="AD48" s="151">
        <f t="shared" si="20"/>
        <v>0</v>
      </c>
      <c r="AE48" s="151">
        <f t="shared" si="20"/>
        <v>0</v>
      </c>
      <c r="AF48" s="151">
        <f t="shared" si="20"/>
        <v>0</v>
      </c>
      <c r="AG48" s="151">
        <f t="shared" si="20"/>
        <v>0</v>
      </c>
      <c r="AH48" s="151">
        <f t="shared" si="20"/>
        <v>0</v>
      </c>
      <c r="AI48" s="42"/>
      <c r="AJ48" s="76"/>
    </row>
    <row r="49" spans="1:36">
      <c r="A49" s="27" t="s">
        <v>3</v>
      </c>
      <c r="B49" s="153">
        <f>DEFAULT!B109</f>
        <v>368.3</v>
      </c>
      <c r="C49" s="153">
        <f>DEFAULT!C109</f>
        <v>262.12952466968363</v>
      </c>
      <c r="D49" s="153">
        <f>DEFAULT!D109</f>
        <v>433.37222681535616</v>
      </c>
      <c r="E49" s="268">
        <f>100-(E47+E48+E50+E52)</f>
        <v>99.68</v>
      </c>
      <c r="F49" s="151">
        <f>100-(F47+F48+F50+F52)</f>
        <v>99.66</v>
      </c>
      <c r="G49" s="151">
        <f t="shared" ref="G49:AH49" si="21">100-(G47+G48+G50+G52)</f>
        <v>99.64</v>
      </c>
      <c r="H49" s="151">
        <f t="shared" si="21"/>
        <v>99.62</v>
      </c>
      <c r="I49" s="151">
        <f t="shared" si="21"/>
        <v>99.6</v>
      </c>
      <c r="J49" s="151">
        <f t="shared" si="21"/>
        <v>99.52</v>
      </c>
      <c r="K49" s="151">
        <f t="shared" si="21"/>
        <v>99.44</v>
      </c>
      <c r="L49" s="151">
        <f t="shared" si="21"/>
        <v>99.36</v>
      </c>
      <c r="M49" s="151">
        <f t="shared" si="21"/>
        <v>99.28</v>
      </c>
      <c r="N49" s="151">
        <f t="shared" si="21"/>
        <v>99.2</v>
      </c>
      <c r="O49" s="151">
        <f t="shared" si="21"/>
        <v>99.14</v>
      </c>
      <c r="P49" s="151">
        <f t="shared" si="21"/>
        <v>99.08</v>
      </c>
      <c r="Q49" s="151">
        <f t="shared" si="21"/>
        <v>99.02</v>
      </c>
      <c r="R49" s="151">
        <f t="shared" si="21"/>
        <v>98.96</v>
      </c>
      <c r="S49" s="151">
        <f t="shared" si="21"/>
        <v>98.9</v>
      </c>
      <c r="T49" s="151">
        <f t="shared" si="21"/>
        <v>98.84</v>
      </c>
      <c r="U49" s="151">
        <f t="shared" si="21"/>
        <v>98.78</v>
      </c>
      <c r="V49" s="151">
        <f t="shared" si="21"/>
        <v>98.72</v>
      </c>
      <c r="W49" s="151">
        <f t="shared" si="21"/>
        <v>98.66</v>
      </c>
      <c r="X49" s="151">
        <f t="shared" si="21"/>
        <v>98.6</v>
      </c>
      <c r="Y49" s="151">
        <f t="shared" si="21"/>
        <v>98.54</v>
      </c>
      <c r="Z49" s="151">
        <f t="shared" si="21"/>
        <v>98.48</v>
      </c>
      <c r="AA49" s="151">
        <f t="shared" si="21"/>
        <v>98.42</v>
      </c>
      <c r="AB49" s="151">
        <f t="shared" si="21"/>
        <v>98.36</v>
      </c>
      <c r="AC49" s="151">
        <f t="shared" si="21"/>
        <v>98.3</v>
      </c>
      <c r="AD49" s="151">
        <f t="shared" si="21"/>
        <v>98.24</v>
      </c>
      <c r="AE49" s="151">
        <f t="shared" si="21"/>
        <v>98.179999999999993</v>
      </c>
      <c r="AF49" s="151">
        <f t="shared" si="21"/>
        <v>98.12</v>
      </c>
      <c r="AG49" s="151">
        <f t="shared" si="21"/>
        <v>98.06</v>
      </c>
      <c r="AH49" s="151">
        <f t="shared" si="21"/>
        <v>98</v>
      </c>
      <c r="AI49" s="42"/>
      <c r="AJ49" s="76"/>
    </row>
    <row r="50" spans="1:36">
      <c r="A50" s="27" t="s">
        <v>75</v>
      </c>
      <c r="B50" s="153">
        <f>DEFAULT!B110</f>
        <v>551.6</v>
      </c>
      <c r="C50" s="153">
        <f>DEFAULT!C110</f>
        <v>392.58931796849708</v>
      </c>
      <c r="D50" s="153">
        <f>DEFAULT!D110</f>
        <v>649.0581599547935</v>
      </c>
      <c r="E50" s="152">
        <f>INDEX(DEFAULT!$E$107:$AJ$112,4,'USER INPUTS'!$B$4)</f>
        <v>0</v>
      </c>
      <c r="F50" s="152">
        <f t="shared" ref="F50:AH50" si="22">E50</f>
        <v>0</v>
      </c>
      <c r="G50" s="152">
        <f t="shared" si="22"/>
        <v>0</v>
      </c>
      <c r="H50" s="152">
        <f t="shared" si="22"/>
        <v>0</v>
      </c>
      <c r="I50" s="152">
        <f t="shared" si="22"/>
        <v>0</v>
      </c>
      <c r="J50" s="152">
        <f t="shared" si="22"/>
        <v>0</v>
      </c>
      <c r="K50" s="152">
        <f t="shared" si="22"/>
        <v>0</v>
      </c>
      <c r="L50" s="152">
        <f t="shared" si="22"/>
        <v>0</v>
      </c>
      <c r="M50" s="152">
        <f t="shared" si="22"/>
        <v>0</v>
      </c>
      <c r="N50" s="152">
        <f t="shared" si="22"/>
        <v>0</v>
      </c>
      <c r="O50" s="152">
        <f t="shared" si="22"/>
        <v>0</v>
      </c>
      <c r="P50" s="152">
        <f t="shared" si="22"/>
        <v>0</v>
      </c>
      <c r="Q50" s="152">
        <f t="shared" si="22"/>
        <v>0</v>
      </c>
      <c r="R50" s="152">
        <f t="shared" si="22"/>
        <v>0</v>
      </c>
      <c r="S50" s="152">
        <f t="shared" si="22"/>
        <v>0</v>
      </c>
      <c r="T50" s="152">
        <f t="shared" si="22"/>
        <v>0</v>
      </c>
      <c r="U50" s="152">
        <f t="shared" si="22"/>
        <v>0</v>
      </c>
      <c r="V50" s="152">
        <f t="shared" si="22"/>
        <v>0</v>
      </c>
      <c r="W50" s="152">
        <f t="shared" si="22"/>
        <v>0</v>
      </c>
      <c r="X50" s="152">
        <f t="shared" si="22"/>
        <v>0</v>
      </c>
      <c r="Y50" s="152">
        <f t="shared" si="22"/>
        <v>0</v>
      </c>
      <c r="Z50" s="152">
        <f t="shared" si="22"/>
        <v>0</v>
      </c>
      <c r="AA50" s="152">
        <f t="shared" si="22"/>
        <v>0</v>
      </c>
      <c r="AB50" s="152">
        <f t="shared" si="22"/>
        <v>0</v>
      </c>
      <c r="AC50" s="152">
        <f t="shared" si="22"/>
        <v>0</v>
      </c>
      <c r="AD50" s="152">
        <f t="shared" si="22"/>
        <v>0</v>
      </c>
      <c r="AE50" s="152">
        <f t="shared" si="22"/>
        <v>0</v>
      </c>
      <c r="AF50" s="152">
        <f t="shared" si="22"/>
        <v>0</v>
      </c>
      <c r="AG50" s="152">
        <f t="shared" si="22"/>
        <v>0</v>
      </c>
      <c r="AH50" s="152">
        <f t="shared" si="22"/>
        <v>0</v>
      </c>
      <c r="AI50" s="42"/>
      <c r="AJ50" s="76"/>
    </row>
    <row r="51" spans="1:36">
      <c r="A51" s="43" t="s">
        <v>190</v>
      </c>
      <c r="B51" s="237" t="s">
        <v>192</v>
      </c>
      <c r="C51" s="388" t="s">
        <v>192</v>
      </c>
      <c r="D51" s="239" t="s">
        <v>192</v>
      </c>
      <c r="E51" s="415"/>
      <c r="F51" s="116"/>
      <c r="G51" s="415"/>
      <c r="H51" s="415"/>
      <c r="I51" s="415"/>
      <c r="J51" s="415"/>
      <c r="K51" s="415"/>
      <c r="L51" s="415"/>
      <c r="M51" s="415"/>
      <c r="N51" s="415"/>
      <c r="O51" s="415"/>
      <c r="P51" s="415"/>
      <c r="Q51" s="415"/>
      <c r="R51" s="415"/>
      <c r="S51" s="415"/>
      <c r="T51" s="415"/>
      <c r="U51" s="415"/>
      <c r="V51" s="415"/>
      <c r="W51" s="415"/>
      <c r="X51" s="415"/>
      <c r="Y51" s="415"/>
      <c r="Z51" s="415"/>
      <c r="AA51" s="415"/>
      <c r="AB51" s="415"/>
      <c r="AC51" s="415"/>
      <c r="AD51" s="415"/>
      <c r="AE51" s="415"/>
      <c r="AF51" s="415"/>
      <c r="AG51" s="415"/>
      <c r="AH51" s="415"/>
      <c r="AI51" s="42"/>
      <c r="AJ51" s="76"/>
    </row>
    <row r="52" spans="1:36">
      <c r="A52" s="63" t="s">
        <v>59</v>
      </c>
      <c r="B52" s="192">
        <f>DEFAULT!B112</f>
        <v>0.92799999999999994</v>
      </c>
      <c r="C52" s="156">
        <f>DEFAULT!C112</f>
        <v>0.96717040125065135</v>
      </c>
      <c r="D52" s="156">
        <f>DEFAULT!D112</f>
        <v>0.82209484106305364</v>
      </c>
      <c r="E52" s="268">
        <f>E42</f>
        <v>0.22</v>
      </c>
      <c r="F52" s="268">
        <f t="shared" ref="F52:AH52" si="23">F42</f>
        <v>0.24</v>
      </c>
      <c r="G52" s="268">
        <f t="shared" si="23"/>
        <v>0.26</v>
      </c>
      <c r="H52" s="268">
        <f t="shared" si="23"/>
        <v>0.28000000000000003</v>
      </c>
      <c r="I52" s="268">
        <f t="shared" si="23"/>
        <v>0.30000000000000004</v>
      </c>
      <c r="J52" s="268">
        <f t="shared" si="23"/>
        <v>0.38</v>
      </c>
      <c r="K52" s="268">
        <f t="shared" si="23"/>
        <v>0.45999999999999996</v>
      </c>
      <c r="L52" s="268">
        <f t="shared" si="23"/>
        <v>0.53999999999999992</v>
      </c>
      <c r="M52" s="268">
        <f t="shared" si="23"/>
        <v>0.61999999999999988</v>
      </c>
      <c r="N52" s="268">
        <f t="shared" si="23"/>
        <v>0.69999999999999984</v>
      </c>
      <c r="O52" s="268">
        <f t="shared" si="23"/>
        <v>0.7599999999999999</v>
      </c>
      <c r="P52" s="268">
        <f t="shared" si="23"/>
        <v>0.82</v>
      </c>
      <c r="Q52" s="268">
        <f t="shared" si="23"/>
        <v>0.88</v>
      </c>
      <c r="R52" s="268">
        <f t="shared" si="23"/>
        <v>0.94000000000000006</v>
      </c>
      <c r="S52" s="268">
        <f t="shared" si="23"/>
        <v>1</v>
      </c>
      <c r="T52" s="268">
        <f t="shared" si="23"/>
        <v>1.06</v>
      </c>
      <c r="U52" s="268">
        <f t="shared" si="23"/>
        <v>1.1200000000000001</v>
      </c>
      <c r="V52" s="268">
        <f t="shared" si="23"/>
        <v>1.1800000000000002</v>
      </c>
      <c r="W52" s="268">
        <f t="shared" si="23"/>
        <v>1.2400000000000002</v>
      </c>
      <c r="X52" s="268">
        <f t="shared" si="23"/>
        <v>1.3000000000000003</v>
      </c>
      <c r="Y52" s="268">
        <f t="shared" si="23"/>
        <v>1.3600000000000003</v>
      </c>
      <c r="Z52" s="268">
        <f t="shared" si="23"/>
        <v>1.4200000000000004</v>
      </c>
      <c r="AA52" s="268">
        <f t="shared" si="23"/>
        <v>1.4800000000000004</v>
      </c>
      <c r="AB52" s="268">
        <f t="shared" si="23"/>
        <v>1.5400000000000005</v>
      </c>
      <c r="AC52" s="268">
        <f t="shared" si="23"/>
        <v>1.6000000000000005</v>
      </c>
      <c r="AD52" s="268">
        <f t="shared" si="23"/>
        <v>1.6600000000000006</v>
      </c>
      <c r="AE52" s="268">
        <f t="shared" si="23"/>
        <v>1.7200000000000006</v>
      </c>
      <c r="AF52" s="268">
        <f t="shared" si="23"/>
        <v>1.7800000000000007</v>
      </c>
      <c r="AG52" s="268">
        <f t="shared" si="23"/>
        <v>1.8400000000000007</v>
      </c>
      <c r="AH52" s="268">
        <f t="shared" si="23"/>
        <v>1.9000000000000008</v>
      </c>
      <c r="AI52" s="42"/>
      <c r="AJ52" s="7"/>
    </row>
    <row r="53" spans="1:36" s="134" customFormat="1">
      <c r="A53" s="27" t="s">
        <v>197</v>
      </c>
      <c r="B53" s="130"/>
      <c r="C53" s="130"/>
      <c r="D53" s="130"/>
      <c r="E53" s="653">
        <f t="shared" ref="E53:AH53" si="24">(E47/100*$B$47)+(E48/100*$B$48)+(E49/100*$B$49)+(E50/100*$B$50)+(E52/100*$B$52*E14/1000)</f>
        <v>367.49015730373287</v>
      </c>
      <c r="F53" s="653">
        <f t="shared" si="24"/>
        <v>367.41656251316311</v>
      </c>
      <c r="G53" s="653">
        <f t="shared" si="24"/>
        <v>367.34296772259336</v>
      </c>
      <c r="H53" s="653">
        <f t="shared" si="24"/>
        <v>367.26937293202371</v>
      </c>
      <c r="I53" s="653">
        <f t="shared" si="24"/>
        <v>367.1957781414539</v>
      </c>
      <c r="J53" s="653">
        <f t="shared" si="24"/>
        <v>366.90139897917493</v>
      </c>
      <c r="K53" s="653">
        <f t="shared" si="24"/>
        <v>366.60701981689601</v>
      </c>
      <c r="L53" s="653">
        <f t="shared" si="24"/>
        <v>366.31264065461704</v>
      </c>
      <c r="M53" s="653">
        <f t="shared" si="24"/>
        <v>366.01826149233813</v>
      </c>
      <c r="N53" s="653">
        <f t="shared" si="24"/>
        <v>365.72388233005915</v>
      </c>
      <c r="O53" s="653">
        <f t="shared" si="24"/>
        <v>365.50309795834994</v>
      </c>
      <c r="P53" s="653">
        <f t="shared" si="24"/>
        <v>365.28231358664073</v>
      </c>
      <c r="Q53" s="653">
        <f t="shared" si="24"/>
        <v>365.06152921493145</v>
      </c>
      <c r="R53" s="653">
        <f t="shared" si="24"/>
        <v>364.84074484322224</v>
      </c>
      <c r="S53" s="653">
        <f t="shared" si="24"/>
        <v>364.61996047151308</v>
      </c>
      <c r="T53" s="653">
        <f t="shared" si="24"/>
        <v>364.39917609980387</v>
      </c>
      <c r="U53" s="653">
        <f t="shared" si="24"/>
        <v>364.1783917280946</v>
      </c>
      <c r="V53" s="653">
        <f t="shared" si="24"/>
        <v>363.95760735638538</v>
      </c>
      <c r="W53" s="653">
        <f t="shared" si="24"/>
        <v>363.73682298467617</v>
      </c>
      <c r="X53" s="653">
        <f t="shared" si="24"/>
        <v>363.51587754567419</v>
      </c>
      <c r="Y53" s="653">
        <f t="shared" si="24"/>
        <v>363.29492364196659</v>
      </c>
      <c r="Z53" s="653">
        <f t="shared" si="24"/>
        <v>363.07396186696468</v>
      </c>
      <c r="AA53" s="653">
        <f t="shared" si="24"/>
        <v>362.85299278120397</v>
      </c>
      <c r="AB53" s="653">
        <f t="shared" si="24"/>
        <v>362.63201691398518</v>
      </c>
      <c r="AC53" s="653">
        <f t="shared" si="24"/>
        <v>362.41103476493896</v>
      </c>
      <c r="AD53" s="653">
        <f t="shared" si="24"/>
        <v>362.19004680551643</v>
      </c>
      <c r="AE53" s="653">
        <f t="shared" si="24"/>
        <v>361.9690534804094</v>
      </c>
      <c r="AF53" s="653">
        <f t="shared" si="24"/>
        <v>361.74805520890345</v>
      </c>
      <c r="AG53" s="653">
        <f t="shared" si="24"/>
        <v>361.52705238616619</v>
      </c>
      <c r="AH53" s="653">
        <f t="shared" si="24"/>
        <v>361.30604538447534</v>
      </c>
      <c r="AI53" s="132"/>
      <c r="AJ53" s="133"/>
    </row>
    <row r="54" spans="1:36" s="134" customFormat="1">
      <c r="A54" s="27" t="s">
        <v>580</v>
      </c>
      <c r="B54" s="130"/>
      <c r="C54" s="404"/>
      <c r="D54" s="414"/>
      <c r="E54" s="653">
        <f t="shared" ref="E54:AH54" si="25">(E47/100*$C$47)+(E48/100*$C$48)+(E49/100*$C$49)+(E50/100*$C$50)+(E52/100*$C$52*E14/1000)</f>
        <v>261.55337377768041</v>
      </c>
      <c r="F54" s="653">
        <f t="shared" si="25"/>
        <v>261.50101583463311</v>
      </c>
      <c r="G54" s="653">
        <f t="shared" si="25"/>
        <v>261.44865789158587</v>
      </c>
      <c r="H54" s="653">
        <f t="shared" si="25"/>
        <v>261.39629994853857</v>
      </c>
      <c r="I54" s="653">
        <f t="shared" si="25"/>
        <v>261.34394200549133</v>
      </c>
      <c r="J54" s="653">
        <f t="shared" si="25"/>
        <v>261.13451023330231</v>
      </c>
      <c r="K54" s="653">
        <f t="shared" si="25"/>
        <v>260.92507846111323</v>
      </c>
      <c r="L54" s="653">
        <f t="shared" si="25"/>
        <v>260.71564668892415</v>
      </c>
      <c r="M54" s="653">
        <f t="shared" si="25"/>
        <v>260.50621491673513</v>
      </c>
      <c r="N54" s="653">
        <f t="shared" si="25"/>
        <v>260.29678314454605</v>
      </c>
      <c r="O54" s="653">
        <f t="shared" si="25"/>
        <v>260.13970931540422</v>
      </c>
      <c r="P54" s="653">
        <f t="shared" si="25"/>
        <v>259.98263548626244</v>
      </c>
      <c r="Q54" s="653">
        <f t="shared" si="25"/>
        <v>259.8255616571206</v>
      </c>
      <c r="R54" s="653">
        <f t="shared" si="25"/>
        <v>259.66848782797882</v>
      </c>
      <c r="S54" s="653">
        <f t="shared" si="25"/>
        <v>259.51141399883704</v>
      </c>
      <c r="T54" s="653">
        <f t="shared" si="25"/>
        <v>259.35434016969526</v>
      </c>
      <c r="U54" s="653">
        <f t="shared" si="25"/>
        <v>259.19726634055343</v>
      </c>
      <c r="V54" s="653">
        <f t="shared" si="25"/>
        <v>259.04019251141165</v>
      </c>
      <c r="W54" s="653">
        <f t="shared" si="25"/>
        <v>258.88311868226981</v>
      </c>
      <c r="X54" s="653">
        <f t="shared" si="25"/>
        <v>258.72587698726795</v>
      </c>
      <c r="Y54" s="653">
        <f t="shared" si="25"/>
        <v>258.56862647026952</v>
      </c>
      <c r="Z54" s="653">
        <f t="shared" si="25"/>
        <v>258.41136774973359</v>
      </c>
      <c r="AA54" s="653">
        <f t="shared" si="25"/>
        <v>258.25410140985548</v>
      </c>
      <c r="AB54" s="653">
        <f t="shared" si="25"/>
        <v>258.09682800227745</v>
      </c>
      <c r="AC54" s="653">
        <f t="shared" si="25"/>
        <v>257.93954804771931</v>
      </c>
      <c r="AD54" s="653">
        <f t="shared" si="25"/>
        <v>257.78226203753184</v>
      </c>
      <c r="AE54" s="653">
        <f t="shared" si="25"/>
        <v>257.62497043517715</v>
      </c>
      <c r="AF54" s="653">
        <f t="shared" si="25"/>
        <v>257.46767367763852</v>
      </c>
      <c r="AG54" s="653">
        <f t="shared" si="25"/>
        <v>257.31037217676351</v>
      </c>
      <c r="AH54" s="653">
        <f t="shared" si="25"/>
        <v>257.15306632054336</v>
      </c>
      <c r="AI54" s="132"/>
      <c r="AJ54" s="133"/>
    </row>
    <row r="55" spans="1:36" s="134" customFormat="1">
      <c r="A55" s="27" t="s">
        <v>581</v>
      </c>
      <c r="B55" s="130"/>
      <c r="C55" s="404"/>
      <c r="D55" s="414"/>
      <c r="E55" s="653">
        <f t="shared" ref="E55:AH55" si="26">(E47/100*$D$47)+(E48/100*$D$48)+(E49/100*$D$49)+(E50/100*$D$50)+(E52/100*$D$52*E14/1000)</f>
        <v>432.41909035520223</v>
      </c>
      <c r="F55" s="653">
        <f t="shared" si="26"/>
        <v>432.33247367744275</v>
      </c>
      <c r="G55" s="653">
        <f t="shared" si="26"/>
        <v>432.24585699968338</v>
      </c>
      <c r="H55" s="653">
        <f t="shared" si="26"/>
        <v>432.15924032192407</v>
      </c>
      <c r="I55" s="653">
        <f t="shared" si="26"/>
        <v>432.07262364416465</v>
      </c>
      <c r="J55" s="653">
        <f t="shared" si="26"/>
        <v>431.72615693312702</v>
      </c>
      <c r="K55" s="653">
        <f t="shared" si="26"/>
        <v>431.37969022208938</v>
      </c>
      <c r="L55" s="653">
        <f t="shared" si="26"/>
        <v>431.0332235110518</v>
      </c>
      <c r="M55" s="653">
        <f t="shared" si="26"/>
        <v>430.68675680001417</v>
      </c>
      <c r="N55" s="653">
        <f t="shared" si="26"/>
        <v>430.34029008897659</v>
      </c>
      <c r="O55" s="653">
        <f t="shared" si="26"/>
        <v>430.08044005569843</v>
      </c>
      <c r="P55" s="653">
        <f t="shared" si="26"/>
        <v>429.82059002242016</v>
      </c>
      <c r="Q55" s="653">
        <f t="shared" si="26"/>
        <v>429.56073998914201</v>
      </c>
      <c r="R55" s="653">
        <f t="shared" si="26"/>
        <v>429.30088995586374</v>
      </c>
      <c r="S55" s="653">
        <f t="shared" si="26"/>
        <v>429.04103992258558</v>
      </c>
      <c r="T55" s="653">
        <f t="shared" si="26"/>
        <v>428.78118988930743</v>
      </c>
      <c r="U55" s="653">
        <f t="shared" si="26"/>
        <v>428.52133985602916</v>
      </c>
      <c r="V55" s="653">
        <f t="shared" si="26"/>
        <v>428.26148982275095</v>
      </c>
      <c r="W55" s="653">
        <f t="shared" si="26"/>
        <v>428.00163978947273</v>
      </c>
      <c r="X55" s="653">
        <f t="shared" si="26"/>
        <v>427.7416470702135</v>
      </c>
      <c r="Y55" s="653">
        <f t="shared" si="26"/>
        <v>427.48164685225714</v>
      </c>
      <c r="Z55" s="653">
        <f t="shared" si="26"/>
        <v>427.22163966129392</v>
      </c>
      <c r="AA55" s="653">
        <f t="shared" si="26"/>
        <v>426.96162599388987</v>
      </c>
      <c r="AB55" s="653">
        <f t="shared" si="26"/>
        <v>426.70160631894089</v>
      </c>
      <c r="AC55" s="653">
        <f t="shared" si="26"/>
        <v>426.44158107905878</v>
      </c>
      <c r="AD55" s="653">
        <f t="shared" si="26"/>
        <v>426.18155069189169</v>
      </c>
      <c r="AE55" s="653">
        <f t="shared" si="26"/>
        <v>425.92151555138258</v>
      </c>
      <c r="AF55" s="653">
        <f t="shared" si="26"/>
        <v>425.66147602896712</v>
      </c>
      <c r="AG55" s="653">
        <f t="shared" si="26"/>
        <v>425.40143247471559</v>
      </c>
      <c r="AH55" s="653">
        <f t="shared" si="26"/>
        <v>425.14138521842079</v>
      </c>
      <c r="AI55" s="132"/>
      <c r="AJ55" s="133"/>
    </row>
    <row r="56" spans="1:36" s="134" customFormat="1">
      <c r="A56" s="417"/>
      <c r="B56" s="252" t="s">
        <v>452</v>
      </c>
      <c r="C56" s="131"/>
      <c r="D56" s="258"/>
      <c r="E56" s="404"/>
      <c r="F56" s="404"/>
      <c r="G56" s="404"/>
      <c r="H56" s="404"/>
      <c r="I56" s="404"/>
      <c r="J56" s="404"/>
      <c r="K56" s="404"/>
      <c r="L56" s="404"/>
      <c r="M56" s="404"/>
      <c r="N56" s="404"/>
      <c r="O56" s="404"/>
      <c r="P56" s="404"/>
      <c r="Q56" s="404"/>
      <c r="R56" s="404"/>
      <c r="S56" s="404"/>
      <c r="T56" s="404"/>
      <c r="U56" s="404"/>
      <c r="V56" s="404"/>
      <c r="W56" s="404"/>
      <c r="X56" s="404"/>
      <c r="Y56" s="404"/>
      <c r="Z56" s="404"/>
      <c r="AA56" s="404"/>
      <c r="AB56" s="404"/>
      <c r="AC56" s="404"/>
      <c r="AD56" s="404"/>
      <c r="AE56" s="404"/>
      <c r="AF56" s="404"/>
      <c r="AG56" s="404"/>
      <c r="AH56" s="404"/>
      <c r="AI56" s="132"/>
      <c r="AJ56" s="133"/>
    </row>
    <row r="57" spans="1:36" s="134" customFormat="1">
      <c r="A57" s="43" t="s">
        <v>690</v>
      </c>
      <c r="B57" s="186" t="s">
        <v>200</v>
      </c>
      <c r="C57" s="756" t="s">
        <v>195</v>
      </c>
      <c r="D57" s="778"/>
      <c r="E57" s="186" t="s">
        <v>196</v>
      </c>
      <c r="F57" s="130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  <c r="AG57" s="131"/>
      <c r="AH57" s="131"/>
      <c r="AI57" s="132"/>
      <c r="AJ57" s="133"/>
    </row>
    <row r="58" spans="1:36" s="134" customFormat="1">
      <c r="A58" s="27" t="s">
        <v>202</v>
      </c>
      <c r="B58" s="252" t="s">
        <v>201</v>
      </c>
      <c r="C58" s="388" t="s">
        <v>584</v>
      </c>
      <c r="D58" s="389" t="s">
        <v>583</v>
      </c>
      <c r="E58" s="387">
        <v>2021</v>
      </c>
      <c r="F58" s="387">
        <f t="shared" ref="F58:AH58" si="27">E58+1</f>
        <v>2022</v>
      </c>
      <c r="G58" s="387">
        <f t="shared" si="27"/>
        <v>2023</v>
      </c>
      <c r="H58" s="387">
        <f t="shared" si="27"/>
        <v>2024</v>
      </c>
      <c r="I58" s="387">
        <f t="shared" si="27"/>
        <v>2025</v>
      </c>
      <c r="J58" s="387">
        <f t="shared" si="27"/>
        <v>2026</v>
      </c>
      <c r="K58" s="387">
        <f t="shared" si="27"/>
        <v>2027</v>
      </c>
      <c r="L58" s="387">
        <f t="shared" si="27"/>
        <v>2028</v>
      </c>
      <c r="M58" s="387">
        <f t="shared" si="27"/>
        <v>2029</v>
      </c>
      <c r="N58" s="387">
        <f t="shared" si="27"/>
        <v>2030</v>
      </c>
      <c r="O58" s="387">
        <f t="shared" si="27"/>
        <v>2031</v>
      </c>
      <c r="P58" s="387">
        <f t="shared" si="27"/>
        <v>2032</v>
      </c>
      <c r="Q58" s="387">
        <f t="shared" si="27"/>
        <v>2033</v>
      </c>
      <c r="R58" s="387">
        <f t="shared" si="27"/>
        <v>2034</v>
      </c>
      <c r="S58" s="387">
        <f t="shared" si="27"/>
        <v>2035</v>
      </c>
      <c r="T58" s="387">
        <f t="shared" si="27"/>
        <v>2036</v>
      </c>
      <c r="U58" s="387">
        <f t="shared" si="27"/>
        <v>2037</v>
      </c>
      <c r="V58" s="387">
        <f t="shared" si="27"/>
        <v>2038</v>
      </c>
      <c r="W58" s="387">
        <f t="shared" si="27"/>
        <v>2039</v>
      </c>
      <c r="X58" s="387">
        <f t="shared" si="27"/>
        <v>2040</v>
      </c>
      <c r="Y58" s="387">
        <f t="shared" si="27"/>
        <v>2041</v>
      </c>
      <c r="Z58" s="387">
        <f t="shared" si="27"/>
        <v>2042</v>
      </c>
      <c r="AA58" s="387">
        <f t="shared" si="27"/>
        <v>2043</v>
      </c>
      <c r="AB58" s="387">
        <f t="shared" si="27"/>
        <v>2044</v>
      </c>
      <c r="AC58" s="387">
        <f t="shared" si="27"/>
        <v>2045</v>
      </c>
      <c r="AD58" s="387">
        <f t="shared" si="27"/>
        <v>2046</v>
      </c>
      <c r="AE58" s="387">
        <f t="shared" si="27"/>
        <v>2047</v>
      </c>
      <c r="AF58" s="387">
        <f t="shared" si="27"/>
        <v>2048</v>
      </c>
      <c r="AG58" s="387">
        <f t="shared" si="27"/>
        <v>2049</v>
      </c>
      <c r="AH58" s="387">
        <f t="shared" si="27"/>
        <v>2050</v>
      </c>
      <c r="AI58" s="132"/>
      <c r="AJ58" s="133"/>
    </row>
    <row r="59" spans="1:36" s="134" customFormat="1">
      <c r="A59" s="418" t="s">
        <v>542</v>
      </c>
      <c r="B59" s="156">
        <f>'USER INPUTS'!B9/100*$E$39*1000</f>
        <v>2655.3882767968325</v>
      </c>
      <c r="C59" s="100">
        <f>100-D59</f>
        <v>0</v>
      </c>
      <c r="D59" s="192">
        <v>100</v>
      </c>
      <c r="E59" s="653">
        <f>($C$59/100*E54)+($D$59/100*E55)</f>
        <v>432.41909035520223</v>
      </c>
      <c r="F59" s="653">
        <f>($C$59/100*F54)+($D$59/100*F55)</f>
        <v>432.33247367744275</v>
      </c>
      <c r="G59" s="653">
        <f t="shared" ref="G59:AH59" si="28">($C$59/100*G54)+($D$59/100*G55)</f>
        <v>432.24585699968338</v>
      </c>
      <c r="H59" s="653">
        <f t="shared" si="28"/>
        <v>432.15924032192407</v>
      </c>
      <c r="I59" s="653">
        <f t="shared" si="28"/>
        <v>432.07262364416465</v>
      </c>
      <c r="J59" s="653">
        <f t="shared" si="28"/>
        <v>431.72615693312702</v>
      </c>
      <c r="K59" s="653">
        <f t="shared" si="28"/>
        <v>431.37969022208938</v>
      </c>
      <c r="L59" s="653">
        <f t="shared" si="28"/>
        <v>431.0332235110518</v>
      </c>
      <c r="M59" s="653">
        <f t="shared" si="28"/>
        <v>430.68675680001417</v>
      </c>
      <c r="N59" s="653">
        <f t="shared" si="28"/>
        <v>430.34029008897659</v>
      </c>
      <c r="O59" s="653">
        <f t="shared" si="28"/>
        <v>430.08044005569843</v>
      </c>
      <c r="P59" s="653">
        <f t="shared" si="28"/>
        <v>429.82059002242016</v>
      </c>
      <c r="Q59" s="653">
        <f t="shared" si="28"/>
        <v>429.56073998914201</v>
      </c>
      <c r="R59" s="653">
        <f t="shared" si="28"/>
        <v>429.30088995586374</v>
      </c>
      <c r="S59" s="653">
        <f t="shared" si="28"/>
        <v>429.04103992258558</v>
      </c>
      <c r="T59" s="653">
        <f t="shared" si="28"/>
        <v>428.78118988930743</v>
      </c>
      <c r="U59" s="653">
        <f t="shared" si="28"/>
        <v>428.52133985602916</v>
      </c>
      <c r="V59" s="653">
        <f t="shared" si="28"/>
        <v>428.26148982275095</v>
      </c>
      <c r="W59" s="653">
        <f t="shared" si="28"/>
        <v>428.00163978947273</v>
      </c>
      <c r="X59" s="653">
        <f t="shared" si="28"/>
        <v>427.7416470702135</v>
      </c>
      <c r="Y59" s="653">
        <f t="shared" si="28"/>
        <v>427.48164685225714</v>
      </c>
      <c r="Z59" s="653">
        <f t="shared" si="28"/>
        <v>427.22163966129392</v>
      </c>
      <c r="AA59" s="653">
        <f t="shared" si="28"/>
        <v>426.96162599388987</v>
      </c>
      <c r="AB59" s="653">
        <f t="shared" si="28"/>
        <v>426.70160631894089</v>
      </c>
      <c r="AC59" s="653">
        <f t="shared" si="28"/>
        <v>426.44158107905878</v>
      </c>
      <c r="AD59" s="653">
        <f t="shared" si="28"/>
        <v>426.18155069189169</v>
      </c>
      <c r="AE59" s="653">
        <f t="shared" si="28"/>
        <v>425.92151555138258</v>
      </c>
      <c r="AF59" s="653">
        <f t="shared" si="28"/>
        <v>425.66147602896712</v>
      </c>
      <c r="AG59" s="653">
        <f t="shared" si="28"/>
        <v>425.40143247471559</v>
      </c>
      <c r="AH59" s="653">
        <f t="shared" si="28"/>
        <v>425.14138521842079</v>
      </c>
      <c r="AI59" s="132"/>
      <c r="AJ59" s="133"/>
    </row>
    <row r="60" spans="1:36" s="134" customFormat="1">
      <c r="A60" s="418" t="s">
        <v>543</v>
      </c>
      <c r="B60" s="156">
        <f>'USER INPUTS'!B10/100*$E$39*1000</f>
        <v>0</v>
      </c>
      <c r="C60" s="100">
        <f>100-D60</f>
        <v>20</v>
      </c>
      <c r="D60" s="192">
        <v>80</v>
      </c>
      <c r="E60" s="653">
        <f>($C$60/100*E54)+($D$60/100*E55)</f>
        <v>398.24594703969785</v>
      </c>
      <c r="F60" s="653">
        <f t="shared" ref="F60:AH60" si="29">($C$60/100*F54)+($D$60/100*F55)</f>
        <v>398.16618210888083</v>
      </c>
      <c r="G60" s="653">
        <f t="shared" si="29"/>
        <v>398.08641717806393</v>
      </c>
      <c r="H60" s="653">
        <f t="shared" si="29"/>
        <v>398.00665224724702</v>
      </c>
      <c r="I60" s="653">
        <f t="shared" si="29"/>
        <v>397.92688731643</v>
      </c>
      <c r="J60" s="653">
        <f t="shared" si="29"/>
        <v>397.60782759316214</v>
      </c>
      <c r="K60" s="653">
        <f t="shared" si="29"/>
        <v>397.28876786989417</v>
      </c>
      <c r="L60" s="653">
        <f t="shared" si="29"/>
        <v>396.96970814662632</v>
      </c>
      <c r="M60" s="653">
        <f t="shared" si="29"/>
        <v>396.6506484233584</v>
      </c>
      <c r="N60" s="653">
        <f t="shared" si="29"/>
        <v>396.33158870009049</v>
      </c>
      <c r="O60" s="653">
        <f t="shared" si="29"/>
        <v>396.0922939076396</v>
      </c>
      <c r="P60" s="653">
        <f t="shared" si="29"/>
        <v>395.85299911518865</v>
      </c>
      <c r="Q60" s="653">
        <f t="shared" si="29"/>
        <v>395.61370432273776</v>
      </c>
      <c r="R60" s="653">
        <f t="shared" si="29"/>
        <v>395.37440953028675</v>
      </c>
      <c r="S60" s="653">
        <f t="shared" si="29"/>
        <v>395.13511473783592</v>
      </c>
      <c r="T60" s="653">
        <f t="shared" si="29"/>
        <v>394.89581994538503</v>
      </c>
      <c r="U60" s="653">
        <f t="shared" si="29"/>
        <v>394.65652515293402</v>
      </c>
      <c r="V60" s="653">
        <f t="shared" si="29"/>
        <v>394.41723036048313</v>
      </c>
      <c r="W60" s="653">
        <f t="shared" si="29"/>
        <v>394.17793556803218</v>
      </c>
      <c r="X60" s="653">
        <f t="shared" si="29"/>
        <v>393.93849305362443</v>
      </c>
      <c r="Y60" s="653">
        <f t="shared" si="29"/>
        <v>393.69904277585965</v>
      </c>
      <c r="Z60" s="653">
        <f t="shared" si="29"/>
        <v>393.45958527898188</v>
      </c>
      <c r="AA60" s="653">
        <f t="shared" si="29"/>
        <v>393.22012107708304</v>
      </c>
      <c r="AB60" s="653">
        <f t="shared" si="29"/>
        <v>392.9806506556082</v>
      </c>
      <c r="AC60" s="653">
        <f t="shared" si="29"/>
        <v>392.74117447279093</v>
      </c>
      <c r="AD60" s="653">
        <f t="shared" si="29"/>
        <v>392.50169296101973</v>
      </c>
      <c r="AE60" s="653">
        <f t="shared" si="29"/>
        <v>392.26220652814152</v>
      </c>
      <c r="AF60" s="653">
        <f t="shared" si="29"/>
        <v>392.02271555870141</v>
      </c>
      <c r="AG60" s="653">
        <f t="shared" si="29"/>
        <v>391.78322041512519</v>
      </c>
      <c r="AH60" s="653">
        <f t="shared" si="29"/>
        <v>391.54372143884535</v>
      </c>
      <c r="AI60" s="132"/>
      <c r="AJ60" s="133"/>
    </row>
    <row r="61" spans="1:36" s="134" customFormat="1">
      <c r="A61" s="418" t="s">
        <v>544</v>
      </c>
      <c r="B61" s="156">
        <f>'USER INPUTS'!B11/100*$E$39*1000</f>
        <v>0</v>
      </c>
      <c r="C61" s="100">
        <f>100-D61</f>
        <v>70</v>
      </c>
      <c r="D61" s="192">
        <v>30</v>
      </c>
      <c r="E61" s="653">
        <f>($C$61/100*E54)+($D$61/100*E55)</f>
        <v>312.81308875093691</v>
      </c>
      <c r="F61" s="653">
        <f t="shared" ref="F61:AH61" si="30">($C$61/100*F54)+($D$61/100*F55)</f>
        <v>312.75045318747596</v>
      </c>
      <c r="G61" s="653">
        <f t="shared" si="30"/>
        <v>312.68781762401511</v>
      </c>
      <c r="H61" s="653">
        <f t="shared" si="30"/>
        <v>312.62518206055421</v>
      </c>
      <c r="I61" s="653">
        <f t="shared" si="30"/>
        <v>312.56254649709331</v>
      </c>
      <c r="J61" s="653">
        <f t="shared" si="30"/>
        <v>312.3120042432497</v>
      </c>
      <c r="K61" s="653">
        <f t="shared" si="30"/>
        <v>312.0614619894061</v>
      </c>
      <c r="L61" s="653">
        <f t="shared" si="30"/>
        <v>311.81091973556244</v>
      </c>
      <c r="M61" s="653">
        <f t="shared" si="30"/>
        <v>311.56037748171883</v>
      </c>
      <c r="N61" s="653">
        <f t="shared" si="30"/>
        <v>311.30983522787517</v>
      </c>
      <c r="O61" s="653">
        <f t="shared" si="30"/>
        <v>311.12192853749247</v>
      </c>
      <c r="P61" s="653">
        <f t="shared" si="30"/>
        <v>310.93402184710976</v>
      </c>
      <c r="Q61" s="653">
        <f t="shared" si="30"/>
        <v>310.746115156727</v>
      </c>
      <c r="R61" s="653">
        <f t="shared" si="30"/>
        <v>310.5582084663443</v>
      </c>
      <c r="S61" s="653">
        <f t="shared" si="30"/>
        <v>310.37030177596159</v>
      </c>
      <c r="T61" s="653">
        <f t="shared" si="30"/>
        <v>310.18239508557889</v>
      </c>
      <c r="U61" s="653">
        <f t="shared" si="30"/>
        <v>309.99448839519613</v>
      </c>
      <c r="V61" s="653">
        <f t="shared" si="30"/>
        <v>309.80658170481342</v>
      </c>
      <c r="W61" s="653">
        <f t="shared" si="30"/>
        <v>309.61867501443066</v>
      </c>
      <c r="X61" s="653">
        <f t="shared" si="30"/>
        <v>309.43060801215159</v>
      </c>
      <c r="Y61" s="653">
        <f t="shared" si="30"/>
        <v>309.24253258486578</v>
      </c>
      <c r="Z61" s="653">
        <f t="shared" si="30"/>
        <v>309.05444932320165</v>
      </c>
      <c r="AA61" s="653">
        <f t="shared" si="30"/>
        <v>308.86635878506581</v>
      </c>
      <c r="AB61" s="653">
        <f t="shared" si="30"/>
        <v>308.67826149727648</v>
      </c>
      <c r="AC61" s="653">
        <f t="shared" si="30"/>
        <v>308.49015795712114</v>
      </c>
      <c r="AD61" s="653">
        <f t="shared" si="30"/>
        <v>308.30204863383977</v>
      </c>
      <c r="AE61" s="653">
        <f t="shared" si="30"/>
        <v>308.11393397003877</v>
      </c>
      <c r="AF61" s="653">
        <f t="shared" si="30"/>
        <v>307.92581438303711</v>
      </c>
      <c r="AG61" s="653">
        <f t="shared" si="30"/>
        <v>307.73769026614912</v>
      </c>
      <c r="AH61" s="653">
        <f t="shared" si="30"/>
        <v>307.54956198990658</v>
      </c>
      <c r="AI61" s="132"/>
      <c r="AJ61" s="133"/>
    </row>
    <row r="62" spans="1:36" s="134" customFormat="1">
      <c r="A62" s="418" t="s">
        <v>545</v>
      </c>
      <c r="B62" s="156">
        <f>'USER INPUTS'!B12/100*$E$39*1000</f>
        <v>0</v>
      </c>
      <c r="C62" s="100">
        <f>100-D62</f>
        <v>100</v>
      </c>
      <c r="D62" s="192">
        <v>0</v>
      </c>
      <c r="E62" s="653">
        <f>($C$62/100*E54)+($D$62/100*E55)</f>
        <v>261.55337377768041</v>
      </c>
      <c r="F62" s="653">
        <f t="shared" ref="F62:AH62" si="31">($C$62/100*F54)+($D$62/100*F55)</f>
        <v>261.50101583463311</v>
      </c>
      <c r="G62" s="653">
        <f t="shared" si="31"/>
        <v>261.44865789158587</v>
      </c>
      <c r="H62" s="653">
        <f t="shared" si="31"/>
        <v>261.39629994853857</v>
      </c>
      <c r="I62" s="653">
        <f t="shared" si="31"/>
        <v>261.34394200549133</v>
      </c>
      <c r="J62" s="653">
        <f t="shared" si="31"/>
        <v>261.13451023330231</v>
      </c>
      <c r="K62" s="653">
        <f t="shared" si="31"/>
        <v>260.92507846111323</v>
      </c>
      <c r="L62" s="653">
        <f t="shared" si="31"/>
        <v>260.71564668892415</v>
      </c>
      <c r="M62" s="653">
        <f t="shared" si="31"/>
        <v>260.50621491673513</v>
      </c>
      <c r="N62" s="653">
        <f t="shared" si="31"/>
        <v>260.29678314454605</v>
      </c>
      <c r="O62" s="653">
        <f t="shared" si="31"/>
        <v>260.13970931540422</v>
      </c>
      <c r="P62" s="653">
        <f t="shared" si="31"/>
        <v>259.98263548626244</v>
      </c>
      <c r="Q62" s="653">
        <f t="shared" si="31"/>
        <v>259.8255616571206</v>
      </c>
      <c r="R62" s="653">
        <f t="shared" si="31"/>
        <v>259.66848782797882</v>
      </c>
      <c r="S62" s="653">
        <f t="shared" si="31"/>
        <v>259.51141399883704</v>
      </c>
      <c r="T62" s="653">
        <f t="shared" si="31"/>
        <v>259.35434016969526</v>
      </c>
      <c r="U62" s="653">
        <f t="shared" si="31"/>
        <v>259.19726634055343</v>
      </c>
      <c r="V62" s="653">
        <f t="shared" si="31"/>
        <v>259.04019251141165</v>
      </c>
      <c r="W62" s="653">
        <f t="shared" si="31"/>
        <v>258.88311868226981</v>
      </c>
      <c r="X62" s="653">
        <f t="shared" si="31"/>
        <v>258.72587698726795</v>
      </c>
      <c r="Y62" s="653">
        <f t="shared" si="31"/>
        <v>258.56862647026952</v>
      </c>
      <c r="Z62" s="653">
        <f t="shared" si="31"/>
        <v>258.41136774973359</v>
      </c>
      <c r="AA62" s="653">
        <f t="shared" si="31"/>
        <v>258.25410140985548</v>
      </c>
      <c r="AB62" s="653">
        <f t="shared" si="31"/>
        <v>258.09682800227745</v>
      </c>
      <c r="AC62" s="653">
        <f t="shared" si="31"/>
        <v>257.93954804771931</v>
      </c>
      <c r="AD62" s="653">
        <f t="shared" si="31"/>
        <v>257.78226203753184</v>
      </c>
      <c r="AE62" s="653">
        <f t="shared" si="31"/>
        <v>257.62497043517715</v>
      </c>
      <c r="AF62" s="653">
        <f t="shared" si="31"/>
        <v>257.46767367763852</v>
      </c>
      <c r="AG62" s="653">
        <f t="shared" si="31"/>
        <v>257.31037217676351</v>
      </c>
      <c r="AH62" s="653">
        <f t="shared" si="31"/>
        <v>257.15306632054336</v>
      </c>
      <c r="AI62" s="132"/>
      <c r="AJ62" s="133"/>
    </row>
    <row r="63" spans="1:36" s="134" customFormat="1">
      <c r="A63" s="419"/>
      <c r="B63" s="241"/>
      <c r="C63" s="130"/>
      <c r="D63" s="24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32"/>
      <c r="AJ63" s="133"/>
    </row>
    <row r="64" spans="1:36" s="134" customFormat="1">
      <c r="A64" s="420"/>
      <c r="B64" s="230"/>
      <c r="C64" s="460"/>
      <c r="D64" s="230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32"/>
      <c r="AJ64" s="133"/>
    </row>
    <row r="65" spans="1:36" s="134" customFormat="1">
      <c r="A65" s="27" t="s">
        <v>204</v>
      </c>
      <c r="B65" s="421"/>
      <c r="C65" s="388"/>
      <c r="D65" s="28"/>
      <c r="E65" s="653">
        <f>($B$59/$B$66*E59)+($B$60/$B$66*E60)+($B$61/$B$66*E61)+($B$62/$B$66*E62)</f>
        <v>432.41909035520223</v>
      </c>
      <c r="F65" s="653">
        <f t="shared" ref="F65:AH65" si="32">($B$59/$B$66*F59)+($B$60/$B$66*F60)+($B$61/$B$66*F61)+($B$62/$B$66*F62)</f>
        <v>432.33247367744275</v>
      </c>
      <c r="G65" s="653">
        <f t="shared" si="32"/>
        <v>432.24585699968338</v>
      </c>
      <c r="H65" s="653">
        <f t="shared" si="32"/>
        <v>432.15924032192407</v>
      </c>
      <c r="I65" s="653">
        <f t="shared" si="32"/>
        <v>432.07262364416465</v>
      </c>
      <c r="J65" s="653">
        <f t="shared" si="32"/>
        <v>431.72615693312702</v>
      </c>
      <c r="K65" s="653">
        <f t="shared" si="32"/>
        <v>431.37969022208938</v>
      </c>
      <c r="L65" s="653">
        <f t="shared" si="32"/>
        <v>431.0332235110518</v>
      </c>
      <c r="M65" s="653">
        <f t="shared" si="32"/>
        <v>430.68675680001417</v>
      </c>
      <c r="N65" s="653">
        <f t="shared" si="32"/>
        <v>430.34029008897659</v>
      </c>
      <c r="O65" s="653">
        <f t="shared" si="32"/>
        <v>430.08044005569843</v>
      </c>
      <c r="P65" s="653">
        <f t="shared" si="32"/>
        <v>429.82059002242016</v>
      </c>
      <c r="Q65" s="653">
        <f t="shared" si="32"/>
        <v>429.56073998914201</v>
      </c>
      <c r="R65" s="653">
        <f t="shared" si="32"/>
        <v>429.30088995586374</v>
      </c>
      <c r="S65" s="653">
        <f t="shared" si="32"/>
        <v>429.04103992258558</v>
      </c>
      <c r="T65" s="653">
        <f t="shared" si="32"/>
        <v>428.78118988930743</v>
      </c>
      <c r="U65" s="653">
        <f t="shared" si="32"/>
        <v>428.52133985602916</v>
      </c>
      <c r="V65" s="653">
        <f t="shared" si="32"/>
        <v>428.26148982275095</v>
      </c>
      <c r="W65" s="653">
        <f t="shared" si="32"/>
        <v>428.00163978947273</v>
      </c>
      <c r="X65" s="653">
        <f t="shared" si="32"/>
        <v>427.7416470702135</v>
      </c>
      <c r="Y65" s="653">
        <f t="shared" si="32"/>
        <v>427.48164685225714</v>
      </c>
      <c r="Z65" s="653">
        <f t="shared" si="32"/>
        <v>427.22163966129392</v>
      </c>
      <c r="AA65" s="653">
        <f t="shared" si="32"/>
        <v>426.96162599388987</v>
      </c>
      <c r="AB65" s="653">
        <f t="shared" si="32"/>
        <v>426.70160631894089</v>
      </c>
      <c r="AC65" s="653">
        <f t="shared" si="32"/>
        <v>426.44158107905878</v>
      </c>
      <c r="AD65" s="653">
        <f t="shared" si="32"/>
        <v>426.18155069189169</v>
      </c>
      <c r="AE65" s="653">
        <f t="shared" si="32"/>
        <v>425.92151555138258</v>
      </c>
      <c r="AF65" s="653">
        <f t="shared" si="32"/>
        <v>425.66147602896712</v>
      </c>
      <c r="AG65" s="653">
        <f t="shared" si="32"/>
        <v>425.40143247471559</v>
      </c>
      <c r="AH65" s="653">
        <f t="shared" si="32"/>
        <v>425.14138521842079</v>
      </c>
      <c r="AI65" s="132"/>
      <c r="AJ65" s="133"/>
    </row>
    <row r="66" spans="1:36" s="134" customFormat="1">
      <c r="A66" s="27" t="s">
        <v>582</v>
      </c>
      <c r="B66" s="83">
        <f>SUM(B59:B62)</f>
        <v>2655.3882767968325</v>
      </c>
      <c r="C66" s="131"/>
      <c r="D66" s="470"/>
      <c r="E66" s="404"/>
      <c r="F66" s="404"/>
      <c r="G66" s="404"/>
      <c r="H66" s="404"/>
      <c r="I66" s="404"/>
      <c r="J66" s="404"/>
      <c r="K66" s="404"/>
      <c r="L66" s="404"/>
      <c r="M66" s="404"/>
      <c r="N66" s="404"/>
      <c r="O66" s="404"/>
      <c r="P66" s="404"/>
      <c r="Q66" s="404"/>
      <c r="R66" s="404"/>
      <c r="S66" s="404"/>
      <c r="T66" s="404"/>
      <c r="U66" s="404"/>
      <c r="V66" s="404"/>
      <c r="W66" s="404"/>
      <c r="X66" s="404"/>
      <c r="Y66" s="404"/>
      <c r="Z66" s="404"/>
      <c r="AA66" s="404"/>
      <c r="AB66" s="404"/>
      <c r="AC66" s="404"/>
      <c r="AD66" s="404"/>
      <c r="AE66" s="404"/>
      <c r="AF66" s="404"/>
      <c r="AG66" s="404"/>
      <c r="AH66" s="404"/>
      <c r="AI66" s="132"/>
      <c r="AJ66" s="133"/>
    </row>
    <row r="67" spans="1:36" s="134" customFormat="1">
      <c r="A67" s="27"/>
      <c r="B67" s="130"/>
      <c r="C67" s="404"/>
      <c r="D67" s="414"/>
      <c r="E67" s="404"/>
      <c r="F67" s="404"/>
      <c r="G67" s="404"/>
      <c r="H67" s="404"/>
      <c r="I67" s="404"/>
      <c r="J67" s="404"/>
      <c r="K67" s="404"/>
      <c r="L67" s="404"/>
      <c r="M67" s="404"/>
      <c r="N67" s="404"/>
      <c r="O67" s="404"/>
      <c r="P67" s="404"/>
      <c r="Q67" s="404"/>
      <c r="R67" s="404"/>
      <c r="S67" s="404"/>
      <c r="T67" s="404"/>
      <c r="U67" s="404"/>
      <c r="V67" s="404"/>
      <c r="W67" s="404"/>
      <c r="X67" s="404"/>
      <c r="Y67" s="404"/>
      <c r="Z67" s="404"/>
      <c r="AA67" s="404"/>
      <c r="AB67" s="404"/>
      <c r="AC67" s="404"/>
      <c r="AD67" s="404"/>
      <c r="AE67" s="404"/>
      <c r="AF67" s="404"/>
      <c r="AG67" s="404"/>
      <c r="AH67" s="404"/>
      <c r="AI67" s="132"/>
      <c r="AJ67" s="133"/>
    </row>
    <row r="68" spans="1:36" s="134" customFormat="1">
      <c r="A68" s="128" t="s">
        <v>691</v>
      </c>
      <c r="B68" s="245"/>
      <c r="C68" s="245"/>
      <c r="D68" s="251"/>
      <c r="E68" s="352">
        <v>2021</v>
      </c>
      <c r="F68" s="387">
        <f t="shared" ref="F68:AH68" si="33">E68+1</f>
        <v>2022</v>
      </c>
      <c r="G68" s="387">
        <f t="shared" si="33"/>
        <v>2023</v>
      </c>
      <c r="H68" s="387">
        <f t="shared" si="33"/>
        <v>2024</v>
      </c>
      <c r="I68" s="387">
        <f t="shared" si="33"/>
        <v>2025</v>
      </c>
      <c r="J68" s="387">
        <f t="shared" si="33"/>
        <v>2026</v>
      </c>
      <c r="K68" s="387">
        <f t="shared" si="33"/>
        <v>2027</v>
      </c>
      <c r="L68" s="387">
        <f t="shared" si="33"/>
        <v>2028</v>
      </c>
      <c r="M68" s="387">
        <f t="shared" si="33"/>
        <v>2029</v>
      </c>
      <c r="N68" s="387">
        <f t="shared" si="33"/>
        <v>2030</v>
      </c>
      <c r="O68" s="387">
        <f t="shared" si="33"/>
        <v>2031</v>
      </c>
      <c r="P68" s="387">
        <f t="shared" si="33"/>
        <v>2032</v>
      </c>
      <c r="Q68" s="387">
        <f t="shared" si="33"/>
        <v>2033</v>
      </c>
      <c r="R68" s="387">
        <f t="shared" si="33"/>
        <v>2034</v>
      </c>
      <c r="S68" s="387">
        <f t="shared" si="33"/>
        <v>2035</v>
      </c>
      <c r="T68" s="387">
        <f t="shared" si="33"/>
        <v>2036</v>
      </c>
      <c r="U68" s="387">
        <f t="shared" si="33"/>
        <v>2037</v>
      </c>
      <c r="V68" s="387">
        <f t="shared" si="33"/>
        <v>2038</v>
      </c>
      <c r="W68" s="387">
        <f t="shared" si="33"/>
        <v>2039</v>
      </c>
      <c r="X68" s="387">
        <f t="shared" si="33"/>
        <v>2040</v>
      </c>
      <c r="Y68" s="387">
        <f t="shared" si="33"/>
        <v>2041</v>
      </c>
      <c r="Z68" s="387">
        <f t="shared" si="33"/>
        <v>2042</v>
      </c>
      <c r="AA68" s="387">
        <f t="shared" si="33"/>
        <v>2043</v>
      </c>
      <c r="AB68" s="387">
        <f t="shared" si="33"/>
        <v>2044</v>
      </c>
      <c r="AC68" s="387">
        <f t="shared" si="33"/>
        <v>2045</v>
      </c>
      <c r="AD68" s="387">
        <f t="shared" si="33"/>
        <v>2046</v>
      </c>
      <c r="AE68" s="387">
        <f t="shared" si="33"/>
        <v>2047</v>
      </c>
      <c r="AF68" s="387">
        <f t="shared" si="33"/>
        <v>2048</v>
      </c>
      <c r="AG68" s="387">
        <f t="shared" si="33"/>
        <v>2049</v>
      </c>
      <c r="AH68" s="387">
        <f t="shared" si="33"/>
        <v>2050</v>
      </c>
      <c r="AI68" s="132"/>
      <c r="AJ68" s="133"/>
    </row>
    <row r="69" spans="1:36" s="134" customFormat="1">
      <c r="A69" s="422" t="s">
        <v>453</v>
      </c>
      <c r="B69" s="244" t="s">
        <v>676</v>
      </c>
      <c r="C69" s="130"/>
      <c r="D69" s="131"/>
      <c r="E69" s="169">
        <f>E65</f>
        <v>432.41909035520223</v>
      </c>
      <c r="F69" s="169">
        <f t="shared" ref="F69:AH69" si="34">F65</f>
        <v>432.33247367744275</v>
      </c>
      <c r="G69" s="169">
        <f t="shared" si="34"/>
        <v>432.24585699968338</v>
      </c>
      <c r="H69" s="169">
        <f t="shared" si="34"/>
        <v>432.15924032192407</v>
      </c>
      <c r="I69" s="169">
        <f t="shared" si="34"/>
        <v>432.07262364416465</v>
      </c>
      <c r="J69" s="169">
        <f t="shared" si="34"/>
        <v>431.72615693312702</v>
      </c>
      <c r="K69" s="169">
        <f t="shared" si="34"/>
        <v>431.37969022208938</v>
      </c>
      <c r="L69" s="169">
        <f t="shared" si="34"/>
        <v>431.0332235110518</v>
      </c>
      <c r="M69" s="169">
        <f t="shared" si="34"/>
        <v>430.68675680001417</v>
      </c>
      <c r="N69" s="169">
        <f t="shared" si="34"/>
        <v>430.34029008897659</v>
      </c>
      <c r="O69" s="169">
        <f t="shared" si="34"/>
        <v>430.08044005569843</v>
      </c>
      <c r="P69" s="169">
        <f t="shared" si="34"/>
        <v>429.82059002242016</v>
      </c>
      <c r="Q69" s="169">
        <f t="shared" si="34"/>
        <v>429.56073998914201</v>
      </c>
      <c r="R69" s="169">
        <f t="shared" si="34"/>
        <v>429.30088995586374</v>
      </c>
      <c r="S69" s="169">
        <f t="shared" si="34"/>
        <v>429.04103992258558</v>
      </c>
      <c r="T69" s="169">
        <f t="shared" si="34"/>
        <v>428.78118988930743</v>
      </c>
      <c r="U69" s="169">
        <f t="shared" si="34"/>
        <v>428.52133985602916</v>
      </c>
      <c r="V69" s="169">
        <f t="shared" si="34"/>
        <v>428.26148982275095</v>
      </c>
      <c r="W69" s="169">
        <f t="shared" si="34"/>
        <v>428.00163978947273</v>
      </c>
      <c r="X69" s="169">
        <f t="shared" si="34"/>
        <v>427.7416470702135</v>
      </c>
      <c r="Y69" s="169">
        <f t="shared" si="34"/>
        <v>427.48164685225714</v>
      </c>
      <c r="Z69" s="169">
        <f t="shared" si="34"/>
        <v>427.22163966129392</v>
      </c>
      <c r="AA69" s="169">
        <f t="shared" si="34"/>
        <v>426.96162599388987</v>
      </c>
      <c r="AB69" s="169">
        <f t="shared" si="34"/>
        <v>426.70160631894089</v>
      </c>
      <c r="AC69" s="169">
        <f t="shared" si="34"/>
        <v>426.44158107905878</v>
      </c>
      <c r="AD69" s="169">
        <f t="shared" si="34"/>
        <v>426.18155069189169</v>
      </c>
      <c r="AE69" s="169">
        <f t="shared" si="34"/>
        <v>425.92151555138258</v>
      </c>
      <c r="AF69" s="169">
        <f t="shared" si="34"/>
        <v>425.66147602896712</v>
      </c>
      <c r="AG69" s="169">
        <f t="shared" si="34"/>
        <v>425.40143247471559</v>
      </c>
      <c r="AH69" s="169">
        <f t="shared" si="34"/>
        <v>425.14138521842079</v>
      </c>
      <c r="AI69" s="132"/>
      <c r="AJ69" s="133"/>
    </row>
    <row r="70" spans="1:36" s="134" customFormat="1">
      <c r="A70" s="267" t="s">
        <v>452</v>
      </c>
      <c r="B70" s="386" t="s">
        <v>77</v>
      </c>
      <c r="C70" s="250"/>
      <c r="D70" s="246"/>
      <c r="E70" s="165">
        <f>E39</f>
        <v>2.6553882767968324</v>
      </c>
      <c r="F70" s="254">
        <f>F39</f>
        <v>2.6739759947344108</v>
      </c>
      <c r="G70" s="254">
        <f t="shared" ref="G70:AH70" si="35">G39</f>
        <v>2.6846718987133484</v>
      </c>
      <c r="H70" s="254">
        <f t="shared" si="35"/>
        <v>2.7007799301056283</v>
      </c>
      <c r="I70" s="254">
        <f t="shared" si="35"/>
        <v>2.716984609686262</v>
      </c>
      <c r="J70" s="254">
        <f t="shared" si="35"/>
        <v>2.7224185789056343</v>
      </c>
      <c r="K70" s="254">
        <f t="shared" si="35"/>
        <v>2.7632548575892186</v>
      </c>
      <c r="L70" s="254">
        <f t="shared" si="35"/>
        <v>2.7715446221619859</v>
      </c>
      <c r="M70" s="254">
        <f t="shared" si="35"/>
        <v>2.7909454345171198</v>
      </c>
      <c r="N70" s="254">
        <f t="shared" si="35"/>
        <v>2.8076911071242225</v>
      </c>
      <c r="O70" s="254">
        <f t="shared" si="35"/>
        <v>2.8161141804455951</v>
      </c>
      <c r="P70" s="254">
        <f t="shared" si="35"/>
        <v>2.8414592080696059</v>
      </c>
      <c r="Q70" s="254">
        <f t="shared" si="35"/>
        <v>2.8613494225260934</v>
      </c>
      <c r="R70" s="254">
        <f t="shared" si="35"/>
        <v>2.8813788684837767</v>
      </c>
      <c r="S70" s="254">
        <f t="shared" si="35"/>
        <v>2.8871416262207443</v>
      </c>
      <c r="T70" s="254">
        <f t="shared" si="35"/>
        <v>2.9102387592305106</v>
      </c>
      <c r="U70" s="254">
        <f t="shared" si="35"/>
        <v>2.9393411468228154</v>
      </c>
      <c r="V70" s="254">
        <f t="shared" si="35"/>
        <v>2.9540378525569291</v>
      </c>
      <c r="W70" s="254">
        <f t="shared" si="35"/>
        <v>2.9569918904094856</v>
      </c>
      <c r="X70" s="254">
        <f t="shared" si="35"/>
        <v>2.9569918904094856</v>
      </c>
      <c r="Y70" s="254">
        <f t="shared" si="35"/>
        <v>2.9569918904094856</v>
      </c>
      <c r="Z70" s="254">
        <f t="shared" si="35"/>
        <v>2.9569918904094856</v>
      </c>
      <c r="AA70" s="254">
        <f t="shared" si="35"/>
        <v>2.9569918904094856</v>
      </c>
      <c r="AB70" s="254">
        <f t="shared" si="35"/>
        <v>2.9569918904094856</v>
      </c>
      <c r="AC70" s="254">
        <f t="shared" si="35"/>
        <v>2.9569918904094856</v>
      </c>
      <c r="AD70" s="254">
        <f t="shared" si="35"/>
        <v>2.9569918904094856</v>
      </c>
      <c r="AE70" s="254">
        <f t="shared" si="35"/>
        <v>2.9569918904094856</v>
      </c>
      <c r="AF70" s="254">
        <f t="shared" si="35"/>
        <v>2.9569918904094856</v>
      </c>
      <c r="AG70" s="254">
        <f t="shared" si="35"/>
        <v>2.9569918904094856</v>
      </c>
      <c r="AH70" s="254">
        <f t="shared" si="35"/>
        <v>2.9569918904094856</v>
      </c>
      <c r="AI70" s="132"/>
      <c r="AJ70" s="133"/>
    </row>
    <row r="71" spans="1:36">
      <c r="A71" s="629" t="s">
        <v>523</v>
      </c>
      <c r="B71" s="665" t="s">
        <v>198</v>
      </c>
      <c r="C71" s="249"/>
      <c r="D71" s="416"/>
      <c r="E71" s="471">
        <f>E69*E70</f>
        <v>1148.2405831923543</v>
      </c>
      <c r="F71" s="471">
        <f t="shared" ref="F71:AH71" si="36">F69*F70</f>
        <v>1156.0466563576285</v>
      </c>
      <c r="G71" s="471">
        <f t="shared" si="36"/>
        <v>1160.4383056223185</v>
      </c>
      <c r="H71" s="471">
        <f t="shared" si="36"/>
        <v>1167.1670028711476</v>
      </c>
      <c r="I71" s="471">
        <f t="shared" si="36"/>
        <v>1173.9346687079599</v>
      </c>
      <c r="J71" s="471">
        <f t="shared" si="36"/>
        <v>1175.3393106342746</v>
      </c>
      <c r="K71" s="471">
        <f t="shared" si="36"/>
        <v>1192.0120244715208</v>
      </c>
      <c r="L71" s="471">
        <f t="shared" si="36"/>
        <v>1194.6278125952008</v>
      </c>
      <c r="M71" s="471">
        <f t="shared" si="36"/>
        <v>1202.0232375979847</v>
      </c>
      <c r="N71" s="471">
        <f t="shared" si="36"/>
        <v>1208.2626055200778</v>
      </c>
      <c r="O71" s="471">
        <f t="shared" si="36"/>
        <v>1211.1556259731342</v>
      </c>
      <c r="P71" s="471">
        <f t="shared" si="36"/>
        <v>1221.3176733371167</v>
      </c>
      <c r="Q71" s="471">
        <f t="shared" si="36"/>
        <v>1229.1233753078129</v>
      </c>
      <c r="R71" s="471">
        <f t="shared" si="36"/>
        <v>1236.9785125401049</v>
      </c>
      <c r="S71" s="471">
        <f t="shared" si="36"/>
        <v>1238.7022457175331</v>
      </c>
      <c r="T71" s="471">
        <f t="shared" si="36"/>
        <v>1247.8556380448399</v>
      </c>
      <c r="U71" s="471">
        <f t="shared" si="36"/>
        <v>1259.5704065304701</v>
      </c>
      <c r="V71" s="471">
        <f t="shared" si="36"/>
        <v>1265.1006517288304</v>
      </c>
      <c r="W71" s="471">
        <f t="shared" si="36"/>
        <v>1265.5973779394326</v>
      </c>
      <c r="X71" s="471">
        <f t="shared" si="36"/>
        <v>1264.8285815770175</v>
      </c>
      <c r="Y71" s="471">
        <f t="shared" si="36"/>
        <v>1264.0597630410159</v>
      </c>
      <c r="Z71" s="471">
        <f t="shared" si="36"/>
        <v>1263.2909238858897</v>
      </c>
      <c r="AA71" s="471">
        <f t="shared" si="36"/>
        <v>1262.5220655799801</v>
      </c>
      <c r="AB71" s="471">
        <f t="shared" si="36"/>
        <v>1261.7531895098091</v>
      </c>
      <c r="AC71" s="471">
        <f t="shared" si="36"/>
        <v>1260.9842969841759</v>
      </c>
      <c r="AD71" s="471">
        <f t="shared" si="36"/>
        <v>1260.2153892380629</v>
      </c>
      <c r="AE71" s="471">
        <f t="shared" si="36"/>
        <v>1259.446467436356</v>
      </c>
      <c r="AF71" s="471">
        <f t="shared" si="36"/>
        <v>1258.6775326773875</v>
      </c>
      <c r="AG71" s="471">
        <f t="shared" si="36"/>
        <v>1257.9085859963125</v>
      </c>
      <c r="AH71" s="471">
        <f t="shared" si="36"/>
        <v>1257.1396283683255</v>
      </c>
      <c r="AI71" s="42"/>
    </row>
    <row r="72" spans="1:36" ht="15.75" thickBot="1">
      <c r="A72" s="55"/>
      <c r="B72" s="423"/>
      <c r="C72" s="424"/>
      <c r="D72" s="425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1"/>
      <c r="AH72" s="52"/>
      <c r="AI72" s="53"/>
    </row>
    <row r="73" spans="1:36" ht="15.75" thickBot="1">
      <c r="B73" s="7"/>
      <c r="C73" s="7"/>
      <c r="D73" s="7"/>
      <c r="E73" s="144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H73" s="7"/>
    </row>
    <row r="74" spans="1:36" ht="19.5" thickBot="1">
      <c r="A74" s="775" t="s">
        <v>454</v>
      </c>
      <c r="B74" s="770"/>
      <c r="C74" s="770"/>
      <c r="D74" s="770"/>
      <c r="E74" s="770"/>
      <c r="F74" s="770"/>
      <c r="G74" s="770"/>
      <c r="H74" s="770"/>
      <c r="I74" s="770"/>
      <c r="J74" s="770"/>
      <c r="K74" s="770"/>
      <c r="L74" s="770"/>
      <c r="M74" s="770"/>
      <c r="N74" s="770"/>
      <c r="O74" s="770"/>
      <c r="P74" s="770"/>
      <c r="Q74" s="770"/>
      <c r="R74" s="770"/>
      <c r="S74" s="770"/>
      <c r="T74" s="770"/>
      <c r="U74" s="770"/>
      <c r="V74" s="770"/>
      <c r="W74" s="770"/>
      <c r="X74" s="770"/>
      <c r="Y74" s="770"/>
      <c r="Z74" s="770"/>
      <c r="AA74" s="770"/>
      <c r="AB74" s="770"/>
      <c r="AC74" s="770"/>
      <c r="AD74" s="770"/>
      <c r="AE74" s="770"/>
      <c r="AF74" s="770"/>
      <c r="AG74" s="770"/>
      <c r="AH74" s="770"/>
      <c r="AI74" s="771"/>
    </row>
    <row r="75" spans="1:36">
      <c r="A75" s="24" t="s">
        <v>455</v>
      </c>
      <c r="B75" s="25"/>
      <c r="C75" s="65"/>
      <c r="D75" s="256"/>
      <c r="E75" s="692">
        <f>IF('USER INPUTS'!B13=0,1,(('USER INPUTS'!B9/100*DEFAULT!E67)+('USER INPUTS'!B10/100*DEFAULT!F67)+('USER INPUTS'!B11/100*DEFAULT!G67)+('USER INPUTS'!B12/100*DEFAULT!H67)))</f>
        <v>1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58"/>
      <c r="AH75" s="25"/>
      <c r="AI75" s="26"/>
    </row>
    <row r="76" spans="1:36">
      <c r="A76" s="63" t="s">
        <v>103</v>
      </c>
      <c r="B76" s="64"/>
      <c r="C76" s="135"/>
      <c r="D76" s="77"/>
      <c r="E76" s="64">
        <v>2021</v>
      </c>
      <c r="F76" s="64">
        <f t="shared" ref="F76:AH76" si="37">E76+1</f>
        <v>2022</v>
      </c>
      <c r="G76" s="64">
        <f t="shared" si="37"/>
        <v>2023</v>
      </c>
      <c r="H76" s="64">
        <f t="shared" si="37"/>
        <v>2024</v>
      </c>
      <c r="I76" s="64">
        <f t="shared" si="37"/>
        <v>2025</v>
      </c>
      <c r="J76" s="64">
        <f t="shared" si="37"/>
        <v>2026</v>
      </c>
      <c r="K76" s="64">
        <f t="shared" si="37"/>
        <v>2027</v>
      </c>
      <c r="L76" s="64">
        <f t="shared" si="37"/>
        <v>2028</v>
      </c>
      <c r="M76" s="64">
        <f t="shared" si="37"/>
        <v>2029</v>
      </c>
      <c r="N76" s="64">
        <f t="shared" si="37"/>
        <v>2030</v>
      </c>
      <c r="O76" s="64">
        <f t="shared" si="37"/>
        <v>2031</v>
      </c>
      <c r="P76" s="64">
        <f t="shared" si="37"/>
        <v>2032</v>
      </c>
      <c r="Q76" s="64">
        <f t="shared" si="37"/>
        <v>2033</v>
      </c>
      <c r="R76" s="64">
        <f t="shared" si="37"/>
        <v>2034</v>
      </c>
      <c r="S76" s="64">
        <f t="shared" si="37"/>
        <v>2035</v>
      </c>
      <c r="T76" s="64">
        <f t="shared" si="37"/>
        <v>2036</v>
      </c>
      <c r="U76" s="64">
        <f t="shared" si="37"/>
        <v>2037</v>
      </c>
      <c r="V76" s="64">
        <f t="shared" si="37"/>
        <v>2038</v>
      </c>
      <c r="W76" s="64">
        <f t="shared" si="37"/>
        <v>2039</v>
      </c>
      <c r="X76" s="64">
        <f t="shared" si="37"/>
        <v>2040</v>
      </c>
      <c r="Y76" s="64">
        <f t="shared" si="37"/>
        <v>2041</v>
      </c>
      <c r="Z76" s="64">
        <f t="shared" si="37"/>
        <v>2042</v>
      </c>
      <c r="AA76" s="64">
        <f t="shared" si="37"/>
        <v>2043</v>
      </c>
      <c r="AB76" s="64">
        <f t="shared" si="37"/>
        <v>2044</v>
      </c>
      <c r="AC76" s="64">
        <f t="shared" si="37"/>
        <v>2045</v>
      </c>
      <c r="AD76" s="64">
        <f t="shared" si="37"/>
        <v>2046</v>
      </c>
      <c r="AE76" s="64">
        <f t="shared" si="37"/>
        <v>2047</v>
      </c>
      <c r="AF76" s="64">
        <f t="shared" si="37"/>
        <v>2048</v>
      </c>
      <c r="AG76" s="64">
        <f t="shared" si="37"/>
        <v>2049</v>
      </c>
      <c r="AH76" s="64">
        <f t="shared" si="37"/>
        <v>2050</v>
      </c>
      <c r="AI76" s="42"/>
    </row>
    <row r="77" spans="1:36">
      <c r="A77" s="27" t="s">
        <v>677</v>
      </c>
      <c r="B77" s="41"/>
      <c r="C77" s="106"/>
      <c r="D77" s="691" t="s">
        <v>683</v>
      </c>
      <c r="E77" s="690">
        <f>DEFAULT!E139*E10/1000000*IF('USER INPUTS'!B13=0,1,(('USER INPUTS'!B9/100*DEFAULT!E67)+('USER INPUTS'!B10/100*DEFAULT!F67)+('USER INPUTS'!B11/100*DEFAULT!G67)+('USER INPUTS'!B12/100*DEFAULT!H67)))</f>
        <v>134.55062718786363</v>
      </c>
      <c r="F77" s="653">
        <f>E77*((100+INDEX(DEFAULT!$E$151:$AJ$153,1,'USER INPUTS'!$B$4))/100)</f>
        <v>136.97253847724517</v>
      </c>
      <c r="G77" s="653">
        <f>F77*((100+INDEX(DEFAULT!$E$151:$AJ$153,1,'USER INPUTS'!$B$4))/100)</f>
        <v>139.43804416983559</v>
      </c>
      <c r="H77" s="653">
        <f>G77*((100+INDEX(DEFAULT!$E$151:$AJ$153,1,'USER INPUTS'!$B$4))/100)</f>
        <v>141.94792896489264</v>
      </c>
      <c r="I77" s="653">
        <f>H77*((100+INDEX(DEFAULT!$E$151:$AJ$153,1,'USER INPUTS'!$B$4))/100)</f>
        <v>144.50299168626071</v>
      </c>
      <c r="J77" s="653">
        <f>I77*((100+INDEX(DEFAULT!$E$151:$AJ$153,1,'USER INPUTS'!$B$4))/100)</f>
        <v>147.1040455366134</v>
      </c>
      <c r="K77" s="653">
        <f>J77*((100+INDEX(DEFAULT!$E$151:$AJ$153,1,'USER INPUTS'!$B$4))/100)</f>
        <v>149.75191835627245</v>
      </c>
      <c r="L77" s="653">
        <f>K77*((100+INDEX(DEFAULT!$E$151:$AJ$153,1,'USER INPUTS'!$B$4))/100)</f>
        <v>152.44745288668537</v>
      </c>
      <c r="M77" s="653">
        <f>L77*((100+INDEX(DEFAULT!$E$151:$AJ$153,1,'USER INPUTS'!$B$4))/100)</f>
        <v>155.19150703864571</v>
      </c>
      <c r="N77" s="653">
        <f>M77*((100+INDEX(DEFAULT!$E$151:$AJ$153,1,'USER INPUTS'!$B$4))/100)</f>
        <v>157.98495416534135</v>
      </c>
      <c r="O77" s="653">
        <f>N77*((100+INDEX(DEFAULT!$E$151:$AJ$153,1,'USER INPUTS'!$B$4))/100)</f>
        <v>160.8286833403175</v>
      </c>
      <c r="P77" s="653">
        <f>O77*((100+INDEX(DEFAULT!$E$151:$AJ$153,1,'USER INPUTS'!$B$4))/100)</f>
        <v>163.72359964044321</v>
      </c>
      <c r="Q77" s="653">
        <f>P77*((100+INDEX(DEFAULT!$E$151:$AJ$153,1,'USER INPUTS'!$B$4))/100)</f>
        <v>166.6706244339712</v>
      </c>
      <c r="R77" s="653">
        <f>Q77*((100+INDEX(DEFAULT!$E$151:$AJ$153,1,'USER INPUTS'!$B$4))/100)</f>
        <v>169.67069567378269</v>
      </c>
      <c r="S77" s="653">
        <f>R77*((100+INDEX(DEFAULT!$E$151:$AJ$153,1,'USER INPUTS'!$B$4))/100)</f>
        <v>172.72476819591077</v>
      </c>
      <c r="T77" s="653">
        <f>S77*((100+INDEX(DEFAULT!$E$151:$AJ$153,1,'USER INPUTS'!$B$4))/100)</f>
        <v>175.83381402343716</v>
      </c>
      <c r="U77" s="653">
        <f>T77*((100+INDEX(DEFAULT!$E$151:$AJ$153,1,'USER INPUTS'!$B$4))/100)</f>
        <v>178.99882267585903</v>
      </c>
      <c r="V77" s="653">
        <f>U77*((100+INDEX(DEFAULT!$E$151:$AJ$153,1,'USER INPUTS'!$B$4))/100)</f>
        <v>182.22080148402449</v>
      </c>
      <c r="W77" s="653">
        <f>V77*((100+INDEX(DEFAULT!$E$151:$AJ$153,1,'USER INPUTS'!$B$4))/100)</f>
        <v>185.50077591073693</v>
      </c>
      <c r="X77" s="653">
        <f>W77*((100+INDEX(DEFAULT!$E$151:$AJ$153,1,'USER INPUTS'!$B$4))/100)</f>
        <v>188.83978987713022</v>
      </c>
      <c r="Y77" s="653">
        <f>X77*((100+INDEX(DEFAULT!$E$151:$AJ$153,1,'USER INPUTS'!$B$4))/100)</f>
        <v>192.23890609491858</v>
      </c>
      <c r="Z77" s="653">
        <f>Y77*((100+INDEX(DEFAULT!$E$151:$AJ$153,1,'USER INPUTS'!$B$4))/100)</f>
        <v>195.69920640462712</v>
      </c>
      <c r="AA77" s="653">
        <f>Z77*((100+INDEX(DEFAULT!$E$151:$AJ$153,1,'USER INPUTS'!$B$4))/100)</f>
        <v>199.22179211991042</v>
      </c>
      <c r="AB77" s="653">
        <f>AA77*((100+INDEX(DEFAULT!$E$151:$AJ$153,1,'USER INPUTS'!$B$4))/100)</f>
        <v>202.80778437806882</v>
      </c>
      <c r="AC77" s="653">
        <f>AB77*((100+INDEX(DEFAULT!$E$151:$AJ$153,1,'USER INPUTS'!$B$4))/100)</f>
        <v>206.45832449687407</v>
      </c>
      <c r="AD77" s="653">
        <f>AC77*((100+INDEX(DEFAULT!$E$151:$AJ$153,1,'USER INPUTS'!$B$4))/100)</f>
        <v>210.1745743378178</v>
      </c>
      <c r="AE77" s="653">
        <f>AD77*((100+INDEX(DEFAULT!$E$151:$AJ$153,1,'USER INPUTS'!$B$4))/100)</f>
        <v>213.95771667589852</v>
      </c>
      <c r="AF77" s="653">
        <f>AE77*((100+INDEX(DEFAULT!$E$151:$AJ$153,1,'USER INPUTS'!$B$4))/100)</f>
        <v>217.8089555760647</v>
      </c>
      <c r="AG77" s="653">
        <f>AF77*((100+INDEX(DEFAULT!$E$151:$AJ$153,1,'USER INPUTS'!$B$4))/100)</f>
        <v>221.72951677643388</v>
      </c>
      <c r="AH77" s="653">
        <f>AG77*((100+INDEX(DEFAULT!$E$151:$AJ$153,1,'USER INPUTS'!$B$4))/100)</f>
        <v>225.72064807840971</v>
      </c>
      <c r="AI77" s="42"/>
    </row>
    <row r="78" spans="1:36">
      <c r="A78" s="63" t="s">
        <v>119</v>
      </c>
      <c r="B78" s="64"/>
      <c r="C78" s="135"/>
      <c r="D78" s="77"/>
      <c r="E78" s="255">
        <f>INDEX(DEFAULT!E159:AJ159,1,'USER INPUTS'!$B$4)</f>
        <v>1.5</v>
      </c>
      <c r="F78" s="152">
        <f>E78</f>
        <v>1.5</v>
      </c>
      <c r="G78" s="152">
        <f t="shared" ref="G78:AH78" si="38">F78</f>
        <v>1.5</v>
      </c>
      <c r="H78" s="152">
        <f t="shared" si="38"/>
        <v>1.5</v>
      </c>
      <c r="I78" s="152">
        <f t="shared" si="38"/>
        <v>1.5</v>
      </c>
      <c r="J78" s="152">
        <f t="shared" si="38"/>
        <v>1.5</v>
      </c>
      <c r="K78" s="152">
        <f t="shared" si="38"/>
        <v>1.5</v>
      </c>
      <c r="L78" s="152">
        <f t="shared" si="38"/>
        <v>1.5</v>
      </c>
      <c r="M78" s="152">
        <f t="shared" si="38"/>
        <v>1.5</v>
      </c>
      <c r="N78" s="152">
        <f t="shared" si="38"/>
        <v>1.5</v>
      </c>
      <c r="O78" s="152">
        <f t="shared" si="38"/>
        <v>1.5</v>
      </c>
      <c r="P78" s="152">
        <f t="shared" si="38"/>
        <v>1.5</v>
      </c>
      <c r="Q78" s="152">
        <f t="shared" si="38"/>
        <v>1.5</v>
      </c>
      <c r="R78" s="152">
        <f t="shared" si="38"/>
        <v>1.5</v>
      </c>
      <c r="S78" s="152">
        <f t="shared" si="38"/>
        <v>1.5</v>
      </c>
      <c r="T78" s="152">
        <f t="shared" si="38"/>
        <v>1.5</v>
      </c>
      <c r="U78" s="152">
        <f t="shared" si="38"/>
        <v>1.5</v>
      </c>
      <c r="V78" s="152">
        <f t="shared" si="38"/>
        <v>1.5</v>
      </c>
      <c r="W78" s="152">
        <f t="shared" si="38"/>
        <v>1.5</v>
      </c>
      <c r="X78" s="152">
        <f t="shared" si="38"/>
        <v>1.5</v>
      </c>
      <c r="Y78" s="152">
        <f t="shared" si="38"/>
        <v>1.5</v>
      </c>
      <c r="Z78" s="152">
        <f t="shared" si="38"/>
        <v>1.5</v>
      </c>
      <c r="AA78" s="152">
        <f t="shared" si="38"/>
        <v>1.5</v>
      </c>
      <c r="AB78" s="152">
        <f t="shared" si="38"/>
        <v>1.5</v>
      </c>
      <c r="AC78" s="152">
        <f t="shared" si="38"/>
        <v>1.5</v>
      </c>
      <c r="AD78" s="152">
        <f t="shared" si="38"/>
        <v>1.5</v>
      </c>
      <c r="AE78" s="152">
        <f t="shared" si="38"/>
        <v>1.5</v>
      </c>
      <c r="AF78" s="152">
        <f t="shared" si="38"/>
        <v>1.5</v>
      </c>
      <c r="AG78" s="152">
        <f t="shared" si="38"/>
        <v>1.5</v>
      </c>
      <c r="AH78" s="152">
        <f t="shared" si="38"/>
        <v>1.5</v>
      </c>
      <c r="AI78" s="42"/>
      <c r="AJ78" s="105"/>
    </row>
    <row r="79" spans="1:36">
      <c r="A79" s="43" t="s">
        <v>717</v>
      </c>
      <c r="B79" s="41"/>
      <c r="C79" s="106"/>
      <c r="D79" s="69"/>
      <c r="E79" s="690">
        <f>E77/E78</f>
        <v>89.700418125242422</v>
      </c>
      <c r="F79" s="690">
        <f t="shared" ref="F79:AH79" si="39">F77/F78</f>
        <v>91.315025651496782</v>
      </c>
      <c r="G79" s="690">
        <f t="shared" si="39"/>
        <v>92.958696113223724</v>
      </c>
      <c r="H79" s="690">
        <f t="shared" si="39"/>
        <v>94.631952643261755</v>
      </c>
      <c r="I79" s="690">
        <f t="shared" si="39"/>
        <v>96.335327790840481</v>
      </c>
      <c r="J79" s="690">
        <f t="shared" si="39"/>
        <v>98.069363691075594</v>
      </c>
      <c r="K79" s="690">
        <f t="shared" si="39"/>
        <v>99.834612237514975</v>
      </c>
      <c r="L79" s="690">
        <f t="shared" si="39"/>
        <v>101.63163525779025</v>
      </c>
      <c r="M79" s="690">
        <f t="shared" si="39"/>
        <v>103.46100469243048</v>
      </c>
      <c r="N79" s="690">
        <f t="shared" si="39"/>
        <v>105.32330277689424</v>
      </c>
      <c r="O79" s="690">
        <f t="shared" si="39"/>
        <v>107.21912222687833</v>
      </c>
      <c r="P79" s="690">
        <f t="shared" si="39"/>
        <v>109.14906642696214</v>
      </c>
      <c r="Q79" s="690">
        <f t="shared" si="39"/>
        <v>111.11374962264746</v>
      </c>
      <c r="R79" s="690">
        <f t="shared" si="39"/>
        <v>113.11379711585512</v>
      </c>
      <c r="S79" s="690">
        <f t="shared" si="39"/>
        <v>115.14984546394051</v>
      </c>
      <c r="T79" s="690">
        <f t="shared" si="39"/>
        <v>117.22254268229143</v>
      </c>
      <c r="U79" s="690">
        <f t="shared" si="39"/>
        <v>119.33254845057269</v>
      </c>
      <c r="V79" s="690">
        <f t="shared" si="39"/>
        <v>121.480534322683</v>
      </c>
      <c r="W79" s="690">
        <f t="shared" si="39"/>
        <v>123.66718394049128</v>
      </c>
      <c r="X79" s="690">
        <f t="shared" si="39"/>
        <v>125.89319325142014</v>
      </c>
      <c r="Y79" s="690">
        <f t="shared" si="39"/>
        <v>128.15927072994572</v>
      </c>
      <c r="Z79" s="690">
        <f t="shared" si="39"/>
        <v>130.46613760308475</v>
      </c>
      <c r="AA79" s="690">
        <f t="shared" si="39"/>
        <v>132.81452807994029</v>
      </c>
      <c r="AB79" s="690">
        <f t="shared" si="39"/>
        <v>135.2051895853792</v>
      </c>
      <c r="AC79" s="690">
        <f t="shared" si="39"/>
        <v>137.63888299791606</v>
      </c>
      <c r="AD79" s="690">
        <f t="shared" si="39"/>
        <v>140.11638289187854</v>
      </c>
      <c r="AE79" s="690">
        <f t="shared" si="39"/>
        <v>142.63847778393236</v>
      </c>
      <c r="AF79" s="690">
        <f t="shared" si="39"/>
        <v>145.20597038404313</v>
      </c>
      <c r="AG79" s="690">
        <f t="shared" si="39"/>
        <v>147.81967785095591</v>
      </c>
      <c r="AH79" s="690">
        <f t="shared" si="39"/>
        <v>150.48043205227313</v>
      </c>
      <c r="AI79" s="42"/>
    </row>
    <row r="80" spans="1:36">
      <c r="A80" s="43"/>
      <c r="B80" s="41"/>
      <c r="C80" s="106"/>
      <c r="D80" s="69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2"/>
    </row>
    <row r="81" spans="1:35">
      <c r="A81" s="43" t="s">
        <v>616</v>
      </c>
      <c r="B81" s="174"/>
      <c r="C81" s="174"/>
      <c r="D81" s="257"/>
      <c r="E81" s="186" t="s">
        <v>194</v>
      </c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2"/>
    </row>
    <row r="82" spans="1:35">
      <c r="A82" s="63" t="s">
        <v>109</v>
      </c>
      <c r="B82" s="225" t="s">
        <v>187</v>
      </c>
      <c r="C82" s="225" t="s">
        <v>584</v>
      </c>
      <c r="D82" s="77" t="s">
        <v>583</v>
      </c>
      <c r="E82" s="64">
        <v>2021</v>
      </c>
      <c r="F82" s="64">
        <f t="shared" ref="F82:AH82" si="40">E82+1</f>
        <v>2022</v>
      </c>
      <c r="G82" s="64">
        <f t="shared" si="40"/>
        <v>2023</v>
      </c>
      <c r="H82" s="64">
        <f t="shared" si="40"/>
        <v>2024</v>
      </c>
      <c r="I82" s="64">
        <f t="shared" si="40"/>
        <v>2025</v>
      </c>
      <c r="J82" s="64">
        <f t="shared" si="40"/>
        <v>2026</v>
      </c>
      <c r="K82" s="64">
        <f t="shared" si="40"/>
        <v>2027</v>
      </c>
      <c r="L82" s="64">
        <f t="shared" si="40"/>
        <v>2028</v>
      </c>
      <c r="M82" s="64">
        <f t="shared" si="40"/>
        <v>2029</v>
      </c>
      <c r="N82" s="64">
        <f t="shared" si="40"/>
        <v>2030</v>
      </c>
      <c r="O82" s="64">
        <f t="shared" si="40"/>
        <v>2031</v>
      </c>
      <c r="P82" s="64">
        <f t="shared" si="40"/>
        <v>2032</v>
      </c>
      <c r="Q82" s="64">
        <f t="shared" si="40"/>
        <v>2033</v>
      </c>
      <c r="R82" s="64">
        <f t="shared" si="40"/>
        <v>2034</v>
      </c>
      <c r="S82" s="64">
        <f t="shared" si="40"/>
        <v>2035</v>
      </c>
      <c r="T82" s="64">
        <f t="shared" si="40"/>
        <v>2036</v>
      </c>
      <c r="U82" s="64">
        <f t="shared" si="40"/>
        <v>2037</v>
      </c>
      <c r="V82" s="64">
        <f t="shared" si="40"/>
        <v>2038</v>
      </c>
      <c r="W82" s="64">
        <f t="shared" si="40"/>
        <v>2039</v>
      </c>
      <c r="X82" s="64">
        <f t="shared" si="40"/>
        <v>2040</v>
      </c>
      <c r="Y82" s="64">
        <f t="shared" si="40"/>
        <v>2041</v>
      </c>
      <c r="Z82" s="64">
        <f t="shared" si="40"/>
        <v>2042</v>
      </c>
      <c r="AA82" s="64">
        <f t="shared" si="40"/>
        <v>2043</v>
      </c>
      <c r="AB82" s="64">
        <f t="shared" si="40"/>
        <v>2044</v>
      </c>
      <c r="AC82" s="64">
        <f t="shared" si="40"/>
        <v>2045</v>
      </c>
      <c r="AD82" s="64">
        <f t="shared" si="40"/>
        <v>2046</v>
      </c>
      <c r="AE82" s="64">
        <f t="shared" si="40"/>
        <v>2047</v>
      </c>
      <c r="AF82" s="64">
        <f t="shared" si="40"/>
        <v>2048</v>
      </c>
      <c r="AG82" s="64">
        <f t="shared" si="40"/>
        <v>2049</v>
      </c>
      <c r="AH82" s="64">
        <f t="shared" si="40"/>
        <v>2050</v>
      </c>
      <c r="AI82" s="42"/>
    </row>
    <row r="83" spans="1:35">
      <c r="A83" s="174" t="s">
        <v>191</v>
      </c>
      <c r="B83" s="225" t="s">
        <v>108</v>
      </c>
      <c r="C83" s="225" t="s">
        <v>108</v>
      </c>
      <c r="D83" s="239" t="s">
        <v>108</v>
      </c>
      <c r="E83" s="225"/>
      <c r="F83" s="225"/>
      <c r="G83" s="225"/>
      <c r="H83" s="225"/>
      <c r="I83" s="225"/>
      <c r="J83" s="225"/>
      <c r="K83" s="225"/>
      <c r="L83" s="225"/>
      <c r="M83" s="225"/>
      <c r="N83" s="225"/>
      <c r="O83" s="225"/>
      <c r="P83" s="225"/>
      <c r="Q83" s="225"/>
      <c r="R83" s="225"/>
      <c r="S83" s="225"/>
      <c r="T83" s="225"/>
      <c r="U83" s="225"/>
      <c r="V83" s="225"/>
      <c r="W83" s="225"/>
      <c r="X83" s="225"/>
      <c r="Y83" s="225"/>
      <c r="Z83" s="225"/>
      <c r="AA83" s="225"/>
      <c r="AB83" s="225"/>
      <c r="AC83" s="225"/>
      <c r="AD83" s="225"/>
      <c r="AE83" s="225"/>
      <c r="AF83" s="225"/>
      <c r="AG83" s="225"/>
      <c r="AH83" s="225"/>
      <c r="AI83" s="42"/>
    </row>
    <row r="84" spans="1:35">
      <c r="A84" s="37" t="str">
        <f>DEFAULT!A187</f>
        <v>Liquefied Petroleum Gas LPG</v>
      </c>
      <c r="B84" s="153">
        <f>DEFAULT!B187</f>
        <v>198.28</v>
      </c>
      <c r="C84" s="153">
        <f>DEFAULT!C187</f>
        <v>175.08124000000001</v>
      </c>
      <c r="D84" s="153">
        <f>DEFAULT!D187</f>
        <v>261.13475999999997</v>
      </c>
      <c r="E84" s="151">
        <f>INDEX(DEFAULT!E$187:AL$204,1,'USER INPUTS'!$B$4)</f>
        <v>0</v>
      </c>
      <c r="F84" s="151">
        <f t="shared" ref="F84:F97" si="41">E84</f>
        <v>0</v>
      </c>
      <c r="G84" s="151">
        <f t="shared" ref="G84:AH92" si="42">F84</f>
        <v>0</v>
      </c>
      <c r="H84" s="151">
        <f t="shared" si="42"/>
        <v>0</v>
      </c>
      <c r="I84" s="151">
        <f t="shared" si="42"/>
        <v>0</v>
      </c>
      <c r="J84" s="151">
        <f t="shared" si="42"/>
        <v>0</v>
      </c>
      <c r="K84" s="151">
        <f t="shared" si="42"/>
        <v>0</v>
      </c>
      <c r="L84" s="151">
        <f t="shared" si="42"/>
        <v>0</v>
      </c>
      <c r="M84" s="151">
        <f t="shared" si="42"/>
        <v>0</v>
      </c>
      <c r="N84" s="151">
        <f t="shared" si="42"/>
        <v>0</v>
      </c>
      <c r="O84" s="151">
        <f t="shared" si="42"/>
        <v>0</v>
      </c>
      <c r="P84" s="151">
        <f t="shared" si="42"/>
        <v>0</v>
      </c>
      <c r="Q84" s="151">
        <f t="shared" si="42"/>
        <v>0</v>
      </c>
      <c r="R84" s="151">
        <f t="shared" si="42"/>
        <v>0</v>
      </c>
      <c r="S84" s="151">
        <f t="shared" si="42"/>
        <v>0</v>
      </c>
      <c r="T84" s="151">
        <f t="shared" si="42"/>
        <v>0</v>
      </c>
      <c r="U84" s="151">
        <f t="shared" si="42"/>
        <v>0</v>
      </c>
      <c r="V84" s="151">
        <f t="shared" si="42"/>
        <v>0</v>
      </c>
      <c r="W84" s="151">
        <f t="shared" si="42"/>
        <v>0</v>
      </c>
      <c r="X84" s="151">
        <f t="shared" si="42"/>
        <v>0</v>
      </c>
      <c r="Y84" s="151">
        <f t="shared" si="42"/>
        <v>0</v>
      </c>
      <c r="Z84" s="151">
        <f t="shared" si="42"/>
        <v>0</v>
      </c>
      <c r="AA84" s="151">
        <f t="shared" si="42"/>
        <v>0</v>
      </c>
      <c r="AB84" s="151">
        <f t="shared" si="42"/>
        <v>0</v>
      </c>
      <c r="AC84" s="151">
        <f t="shared" si="42"/>
        <v>0</v>
      </c>
      <c r="AD84" s="151">
        <f t="shared" si="42"/>
        <v>0</v>
      </c>
      <c r="AE84" s="151">
        <f t="shared" si="42"/>
        <v>0</v>
      </c>
      <c r="AF84" s="151">
        <f t="shared" si="42"/>
        <v>0</v>
      </c>
      <c r="AG84" s="151">
        <f t="shared" si="42"/>
        <v>0</v>
      </c>
      <c r="AH84" s="151">
        <f t="shared" si="42"/>
        <v>0</v>
      </c>
      <c r="AI84" s="42"/>
    </row>
    <row r="85" spans="1:35">
      <c r="A85" s="37" t="str">
        <f>DEFAULT!A188</f>
        <v>Natural Gas CNG</v>
      </c>
      <c r="B85" s="153">
        <f>DEFAULT!B188</f>
        <v>176.24</v>
      </c>
      <c r="C85" s="153">
        <f>DEFAULT!C188</f>
        <v>60.4</v>
      </c>
      <c r="D85" s="153">
        <f>DEFAULT!D188</f>
        <v>96.5</v>
      </c>
      <c r="E85" s="151">
        <f>INDEX(DEFAULT!E$187:AL$204,2,'USER INPUTS'!$B$4)</f>
        <v>0</v>
      </c>
      <c r="F85" s="151">
        <f t="shared" si="41"/>
        <v>0</v>
      </c>
      <c r="G85" s="151">
        <f t="shared" ref="G85:U85" si="43">F85</f>
        <v>0</v>
      </c>
      <c r="H85" s="151">
        <f t="shared" si="43"/>
        <v>0</v>
      </c>
      <c r="I85" s="151">
        <f t="shared" si="43"/>
        <v>0</v>
      </c>
      <c r="J85" s="151">
        <f t="shared" si="43"/>
        <v>0</v>
      </c>
      <c r="K85" s="151">
        <f t="shared" si="43"/>
        <v>0</v>
      </c>
      <c r="L85" s="151">
        <f t="shared" si="43"/>
        <v>0</v>
      </c>
      <c r="M85" s="151">
        <f t="shared" si="43"/>
        <v>0</v>
      </c>
      <c r="N85" s="151">
        <f t="shared" si="43"/>
        <v>0</v>
      </c>
      <c r="O85" s="151">
        <f t="shared" si="43"/>
        <v>0</v>
      </c>
      <c r="P85" s="151">
        <f t="shared" si="43"/>
        <v>0</v>
      </c>
      <c r="Q85" s="151">
        <f t="shared" si="43"/>
        <v>0</v>
      </c>
      <c r="R85" s="151">
        <f t="shared" si="43"/>
        <v>0</v>
      </c>
      <c r="S85" s="151">
        <f t="shared" si="43"/>
        <v>0</v>
      </c>
      <c r="T85" s="151">
        <f t="shared" si="43"/>
        <v>0</v>
      </c>
      <c r="U85" s="151">
        <f t="shared" si="43"/>
        <v>0</v>
      </c>
      <c r="V85" s="151">
        <f t="shared" si="42"/>
        <v>0</v>
      </c>
      <c r="W85" s="151">
        <f t="shared" si="42"/>
        <v>0</v>
      </c>
      <c r="X85" s="151">
        <f t="shared" si="42"/>
        <v>0</v>
      </c>
      <c r="Y85" s="151">
        <f t="shared" si="42"/>
        <v>0</v>
      </c>
      <c r="Z85" s="151">
        <f t="shared" si="42"/>
        <v>0</v>
      </c>
      <c r="AA85" s="151">
        <f t="shared" si="42"/>
        <v>0</v>
      </c>
      <c r="AB85" s="151">
        <f t="shared" si="42"/>
        <v>0</v>
      </c>
      <c r="AC85" s="151">
        <f t="shared" si="42"/>
        <v>0</v>
      </c>
      <c r="AD85" s="151">
        <f t="shared" si="42"/>
        <v>0</v>
      </c>
      <c r="AE85" s="151">
        <f t="shared" si="42"/>
        <v>0</v>
      </c>
      <c r="AF85" s="151">
        <f t="shared" si="42"/>
        <v>0</v>
      </c>
      <c r="AG85" s="151">
        <f t="shared" si="42"/>
        <v>0</v>
      </c>
      <c r="AH85" s="151">
        <f t="shared" si="42"/>
        <v>0</v>
      </c>
      <c r="AI85" s="42"/>
    </row>
    <row r="86" spans="1:35">
      <c r="A86" s="37" t="str">
        <f>DEFAULT!A189</f>
        <v>Alternative Energy / biomethane NGV</v>
      </c>
      <c r="B86" s="153">
        <f>DEFAULT!B189</f>
        <v>48</v>
      </c>
      <c r="C86" s="153">
        <f>DEFAULT!C189</f>
        <v>42.384</v>
      </c>
      <c r="D86" s="153">
        <f>DEFAULT!D189</f>
        <v>63.215999999999994</v>
      </c>
      <c r="E86" s="151">
        <f>INDEX(DEFAULT!E$187:AL$204,3,'USER INPUTS'!$B$4)</f>
        <v>3.1069255412930827</v>
      </c>
      <c r="F86" s="151">
        <f t="shared" si="41"/>
        <v>3.1069255412930827</v>
      </c>
      <c r="G86" s="151">
        <f t="shared" si="42"/>
        <v>3.1069255412930827</v>
      </c>
      <c r="H86" s="151">
        <f t="shared" si="42"/>
        <v>3.1069255412930827</v>
      </c>
      <c r="I86" s="151">
        <f t="shared" si="42"/>
        <v>3.1069255412930827</v>
      </c>
      <c r="J86" s="151">
        <f t="shared" si="42"/>
        <v>3.1069255412930827</v>
      </c>
      <c r="K86" s="151">
        <f t="shared" si="42"/>
        <v>3.1069255412930827</v>
      </c>
      <c r="L86" s="151">
        <f t="shared" si="42"/>
        <v>3.1069255412930827</v>
      </c>
      <c r="M86" s="151">
        <f t="shared" si="42"/>
        <v>3.1069255412930827</v>
      </c>
      <c r="N86" s="151">
        <f t="shared" si="42"/>
        <v>3.1069255412930827</v>
      </c>
      <c r="O86" s="151">
        <f t="shared" si="42"/>
        <v>3.1069255412930827</v>
      </c>
      <c r="P86" s="151">
        <f t="shared" si="42"/>
        <v>3.1069255412930827</v>
      </c>
      <c r="Q86" s="151">
        <f t="shared" si="42"/>
        <v>3.1069255412930827</v>
      </c>
      <c r="R86" s="151">
        <f t="shared" si="42"/>
        <v>3.1069255412930827</v>
      </c>
      <c r="S86" s="151">
        <f t="shared" si="42"/>
        <v>3.1069255412930827</v>
      </c>
      <c r="T86" s="151">
        <f t="shared" si="42"/>
        <v>3.1069255412930827</v>
      </c>
      <c r="U86" s="151">
        <f t="shared" si="42"/>
        <v>3.1069255412930827</v>
      </c>
      <c r="V86" s="151">
        <f t="shared" si="42"/>
        <v>3.1069255412930827</v>
      </c>
      <c r="W86" s="151">
        <f t="shared" si="42"/>
        <v>3.1069255412930827</v>
      </c>
      <c r="X86" s="151">
        <f t="shared" si="42"/>
        <v>3.1069255412930827</v>
      </c>
      <c r="Y86" s="151">
        <f t="shared" si="42"/>
        <v>3.1069255412930827</v>
      </c>
      <c r="Z86" s="151">
        <f t="shared" si="42"/>
        <v>3.1069255412930827</v>
      </c>
      <c r="AA86" s="151">
        <f t="shared" si="42"/>
        <v>3.1069255412930827</v>
      </c>
      <c r="AB86" s="151">
        <f t="shared" si="42"/>
        <v>3.1069255412930827</v>
      </c>
      <c r="AC86" s="151">
        <f t="shared" si="42"/>
        <v>3.1069255412930827</v>
      </c>
      <c r="AD86" s="151">
        <f t="shared" si="42"/>
        <v>3.1069255412930827</v>
      </c>
      <c r="AE86" s="151">
        <f t="shared" si="42"/>
        <v>3.1069255412930827</v>
      </c>
      <c r="AF86" s="151">
        <f t="shared" si="42"/>
        <v>3.1069255412930827</v>
      </c>
      <c r="AG86" s="151">
        <f t="shared" si="42"/>
        <v>3.1069255412930827</v>
      </c>
      <c r="AH86" s="151">
        <f t="shared" si="42"/>
        <v>3.1069255412930827</v>
      </c>
      <c r="AI86" s="42"/>
    </row>
    <row r="87" spans="1:35">
      <c r="A87" s="37" t="str">
        <f>DEFAULT!A190</f>
        <v>Petrol, according to country selection</v>
      </c>
      <c r="B87" s="153">
        <f>DEFAULT!B190</f>
        <v>164.5888263509548</v>
      </c>
      <c r="C87" s="153">
        <f>DEFAULT!C190</f>
        <v>145.33193366789308</v>
      </c>
      <c r="D87" s="153">
        <f>DEFAULT!D190</f>
        <v>216.76348430420748</v>
      </c>
      <c r="E87" s="151">
        <f>INDEX(DEFAULT!E$187:AL$204,4,'USER INPUTS'!$B$4)</f>
        <v>38.101872755810703</v>
      </c>
      <c r="F87" s="151">
        <f>(E87/(E87+E90))*(100-(F84+F85+F86+F88+F91+F93+F94+F95+F96+F97+F99+F100+F101))</f>
        <v>38.138188988173852</v>
      </c>
      <c r="G87" s="151">
        <f t="shared" ref="G87:AH87" si="44">(F87/(F87+F90))*(100-(G84+G85+G86+G88+G91+G93+G94+G95+G96+G97+G99+G100+G101))</f>
        <v>38.130063721661564</v>
      </c>
      <c r="H87" s="151">
        <f t="shared" si="44"/>
        <v>38.121938455149255</v>
      </c>
      <c r="I87" s="151">
        <f t="shared" si="44"/>
        <v>38.113813188636961</v>
      </c>
      <c r="J87" s="151">
        <f t="shared" si="44"/>
        <v>38.113813188636961</v>
      </c>
      <c r="K87" s="151">
        <f t="shared" si="44"/>
        <v>38.113813188636961</v>
      </c>
      <c r="L87" s="151">
        <f t="shared" si="44"/>
        <v>38.113813188636961</v>
      </c>
      <c r="M87" s="151">
        <f t="shared" si="44"/>
        <v>38.113813188636961</v>
      </c>
      <c r="N87" s="151">
        <f t="shared" si="44"/>
        <v>38.113813188636961</v>
      </c>
      <c r="O87" s="151">
        <f t="shared" si="44"/>
        <v>38.113813188636961</v>
      </c>
      <c r="P87" s="151">
        <f t="shared" si="44"/>
        <v>38.113813188636961</v>
      </c>
      <c r="Q87" s="151">
        <f t="shared" si="44"/>
        <v>38.113813188636961</v>
      </c>
      <c r="R87" s="151">
        <f t="shared" si="44"/>
        <v>38.113813188636961</v>
      </c>
      <c r="S87" s="151">
        <f t="shared" si="44"/>
        <v>38.113813188636961</v>
      </c>
      <c r="T87" s="151">
        <f t="shared" si="44"/>
        <v>38.113813188636961</v>
      </c>
      <c r="U87" s="151">
        <f t="shared" si="44"/>
        <v>38.113813188636961</v>
      </c>
      <c r="V87" s="151">
        <f t="shared" si="44"/>
        <v>38.113813188636961</v>
      </c>
      <c r="W87" s="151">
        <f t="shared" si="44"/>
        <v>38.113813188636961</v>
      </c>
      <c r="X87" s="151">
        <f t="shared" si="44"/>
        <v>38.113813188636961</v>
      </c>
      <c r="Y87" s="151">
        <f t="shared" si="44"/>
        <v>38.113813188636961</v>
      </c>
      <c r="Z87" s="151">
        <f t="shared" si="44"/>
        <v>38.113813188636961</v>
      </c>
      <c r="AA87" s="151">
        <f t="shared" si="44"/>
        <v>38.113813188636961</v>
      </c>
      <c r="AB87" s="151">
        <f t="shared" si="44"/>
        <v>38.113813188636961</v>
      </c>
      <c r="AC87" s="151">
        <f t="shared" si="44"/>
        <v>38.113813188636961</v>
      </c>
      <c r="AD87" s="151">
        <f t="shared" si="44"/>
        <v>38.113813188636961</v>
      </c>
      <c r="AE87" s="151">
        <f t="shared" si="44"/>
        <v>38.113813188636961</v>
      </c>
      <c r="AF87" s="151">
        <f t="shared" si="44"/>
        <v>38.113813188636961</v>
      </c>
      <c r="AG87" s="151">
        <f t="shared" si="44"/>
        <v>38.113813188636961</v>
      </c>
      <c r="AH87" s="151">
        <f t="shared" si="44"/>
        <v>38.113813188636961</v>
      </c>
      <c r="AI87" s="42"/>
    </row>
    <row r="88" spans="1:35">
      <c r="A88" s="37" t="str">
        <f>DEFAULT!A191</f>
        <v>Hybrid electric-petrol</v>
      </c>
      <c r="B88" s="153">
        <f>DEFAULT!B191</f>
        <v>119.52</v>
      </c>
      <c r="C88" s="153">
        <f>DEFAULT!C191</f>
        <v>105.53616</v>
      </c>
      <c r="D88" s="153">
        <f>DEFAULT!D191</f>
        <v>157.40783999999999</v>
      </c>
      <c r="E88" s="151">
        <f>INDEX(DEFAULT!E$187:AL$204,5,'USER INPUTS'!$B$4)</f>
        <v>0</v>
      </c>
      <c r="F88" s="151">
        <f t="shared" si="41"/>
        <v>0</v>
      </c>
      <c r="G88" s="151">
        <f t="shared" si="42"/>
        <v>0</v>
      </c>
      <c r="H88" s="151">
        <f t="shared" si="42"/>
        <v>0</v>
      </c>
      <c r="I88" s="151">
        <f t="shared" si="42"/>
        <v>0</v>
      </c>
      <c r="J88" s="151">
        <f t="shared" si="42"/>
        <v>0</v>
      </c>
      <c r="K88" s="151">
        <f t="shared" si="42"/>
        <v>0</v>
      </c>
      <c r="L88" s="151">
        <f t="shared" si="42"/>
        <v>0</v>
      </c>
      <c r="M88" s="151">
        <f t="shared" si="42"/>
        <v>0</v>
      </c>
      <c r="N88" s="151">
        <f t="shared" si="42"/>
        <v>0</v>
      </c>
      <c r="O88" s="151">
        <f t="shared" si="42"/>
        <v>0</v>
      </c>
      <c r="P88" s="151">
        <f t="shared" si="42"/>
        <v>0</v>
      </c>
      <c r="Q88" s="151">
        <f t="shared" si="42"/>
        <v>0</v>
      </c>
      <c r="R88" s="151">
        <f t="shared" si="42"/>
        <v>0</v>
      </c>
      <c r="S88" s="151">
        <f t="shared" si="42"/>
        <v>0</v>
      </c>
      <c r="T88" s="151">
        <f t="shared" si="42"/>
        <v>0</v>
      </c>
      <c r="U88" s="151">
        <f t="shared" si="42"/>
        <v>0</v>
      </c>
      <c r="V88" s="151">
        <f t="shared" si="42"/>
        <v>0</v>
      </c>
      <c r="W88" s="151">
        <f t="shared" si="42"/>
        <v>0</v>
      </c>
      <c r="X88" s="151">
        <f t="shared" si="42"/>
        <v>0</v>
      </c>
      <c r="Y88" s="151">
        <f t="shared" si="42"/>
        <v>0</v>
      </c>
      <c r="Z88" s="151">
        <f t="shared" si="42"/>
        <v>0</v>
      </c>
      <c r="AA88" s="151">
        <f t="shared" si="42"/>
        <v>0</v>
      </c>
      <c r="AB88" s="151">
        <f t="shared" si="42"/>
        <v>0</v>
      </c>
      <c r="AC88" s="151">
        <f t="shared" si="42"/>
        <v>0</v>
      </c>
      <c r="AD88" s="151">
        <f t="shared" si="42"/>
        <v>0</v>
      </c>
      <c r="AE88" s="151">
        <f t="shared" si="42"/>
        <v>0</v>
      </c>
      <c r="AF88" s="151">
        <f t="shared" si="42"/>
        <v>0</v>
      </c>
      <c r="AG88" s="151">
        <f t="shared" si="42"/>
        <v>0</v>
      </c>
      <c r="AH88" s="151">
        <f t="shared" si="42"/>
        <v>0</v>
      </c>
      <c r="AI88" s="42"/>
    </row>
    <row r="89" spans="1:35">
      <c r="A89" s="403" t="str">
        <f>DEFAULT!A192</f>
        <v>Plug-in hybrid petrol-electric PHEV</v>
      </c>
      <c r="B89" s="719">
        <f>DEFAULT!B192</f>
        <v>0</v>
      </c>
      <c r="C89" s="719">
        <f>DEFAULT!C192</f>
        <v>0</v>
      </c>
      <c r="D89" s="719">
        <f>DEFAULT!D192</f>
        <v>0</v>
      </c>
      <c r="E89" s="721">
        <f>INDEX(DEFAULT!E$187:AL$204,6,'USER INPUTS'!$B$4)</f>
        <v>0</v>
      </c>
      <c r="F89" s="721">
        <f t="shared" si="41"/>
        <v>0</v>
      </c>
      <c r="G89" s="721">
        <f t="shared" si="42"/>
        <v>0</v>
      </c>
      <c r="H89" s="721">
        <f t="shared" si="42"/>
        <v>0</v>
      </c>
      <c r="I89" s="721">
        <f t="shared" si="42"/>
        <v>0</v>
      </c>
      <c r="J89" s="721">
        <f t="shared" si="42"/>
        <v>0</v>
      </c>
      <c r="K89" s="721">
        <f t="shared" si="42"/>
        <v>0</v>
      </c>
      <c r="L89" s="721">
        <f t="shared" si="42"/>
        <v>0</v>
      </c>
      <c r="M89" s="721">
        <f t="shared" si="42"/>
        <v>0</v>
      </c>
      <c r="N89" s="721">
        <f t="shared" si="42"/>
        <v>0</v>
      </c>
      <c r="O89" s="721">
        <f t="shared" si="42"/>
        <v>0</v>
      </c>
      <c r="P89" s="721">
        <f t="shared" si="42"/>
        <v>0</v>
      </c>
      <c r="Q89" s="721">
        <f t="shared" si="42"/>
        <v>0</v>
      </c>
      <c r="R89" s="721">
        <f t="shared" si="42"/>
        <v>0</v>
      </c>
      <c r="S89" s="721">
        <f t="shared" si="42"/>
        <v>0</v>
      </c>
      <c r="T89" s="721">
        <f t="shared" si="42"/>
        <v>0</v>
      </c>
      <c r="U89" s="721">
        <f t="shared" si="42"/>
        <v>0</v>
      </c>
      <c r="V89" s="721">
        <f t="shared" si="42"/>
        <v>0</v>
      </c>
      <c r="W89" s="721">
        <f t="shared" si="42"/>
        <v>0</v>
      </c>
      <c r="X89" s="721">
        <f t="shared" si="42"/>
        <v>0</v>
      </c>
      <c r="Y89" s="721">
        <f t="shared" si="42"/>
        <v>0</v>
      </c>
      <c r="Z89" s="721">
        <f t="shared" si="42"/>
        <v>0</v>
      </c>
      <c r="AA89" s="721">
        <f t="shared" si="42"/>
        <v>0</v>
      </c>
      <c r="AB89" s="721">
        <f t="shared" si="42"/>
        <v>0</v>
      </c>
      <c r="AC89" s="721">
        <f t="shared" si="42"/>
        <v>0</v>
      </c>
      <c r="AD89" s="721">
        <f t="shared" si="42"/>
        <v>0</v>
      </c>
      <c r="AE89" s="721">
        <f t="shared" si="42"/>
        <v>0</v>
      </c>
      <c r="AF89" s="721">
        <f t="shared" si="42"/>
        <v>0</v>
      </c>
      <c r="AG89" s="721">
        <f t="shared" si="42"/>
        <v>0</v>
      </c>
      <c r="AH89" s="721">
        <f t="shared" si="42"/>
        <v>0</v>
      </c>
      <c r="AI89" s="42"/>
    </row>
    <row r="90" spans="1:35">
      <c r="A90" s="37" t="str">
        <f>DEFAULT!A193</f>
        <v>Diesel, according to country selection</v>
      </c>
      <c r="B90" s="153">
        <f>DEFAULT!B193</f>
        <v>172.41435895653785</v>
      </c>
      <c r="C90" s="153">
        <f>DEFAULT!C193</f>
        <v>148.10393434366603</v>
      </c>
      <c r="D90" s="153">
        <f>DEFAULT!D193</f>
        <v>238.27664407793529</v>
      </c>
      <c r="E90" s="151">
        <f>INDEX(DEFAULT!E$187:AL$204,7,'USER INPUTS'!$B$4)</f>
        <v>55.68427616160313</v>
      </c>
      <c r="F90" s="151">
        <f>(E90/(E87+E90))*(100-(F84+F85+F86+F88+F91+F93+F94+F95+F96+F97+F99+F100+F101))</f>
        <v>55.737350799824164</v>
      </c>
      <c r="G90" s="151">
        <f t="shared" ref="G90:AH90" si="45">(F90/(F87+F90))*(100-(G84+G85+G86+G88+G91+G93+G94+G95+G96+G97+G99+G100+G101))</f>
        <v>55.725476066336476</v>
      </c>
      <c r="H90" s="151">
        <f t="shared" si="45"/>
        <v>55.713601332848761</v>
      </c>
      <c r="I90" s="151">
        <f t="shared" si="45"/>
        <v>55.701726599361059</v>
      </c>
      <c r="J90" s="151">
        <f t="shared" si="45"/>
        <v>55.701726599361059</v>
      </c>
      <c r="K90" s="151">
        <f t="shared" si="45"/>
        <v>55.701726599361059</v>
      </c>
      <c r="L90" s="151">
        <f t="shared" si="45"/>
        <v>55.701726599361059</v>
      </c>
      <c r="M90" s="151">
        <f t="shared" si="45"/>
        <v>55.701726599361059</v>
      </c>
      <c r="N90" s="151">
        <f t="shared" si="45"/>
        <v>55.701726599361059</v>
      </c>
      <c r="O90" s="151">
        <f t="shared" si="45"/>
        <v>55.701726599361059</v>
      </c>
      <c r="P90" s="151">
        <f t="shared" si="45"/>
        <v>55.701726599361059</v>
      </c>
      <c r="Q90" s="151">
        <f t="shared" si="45"/>
        <v>55.701726599361059</v>
      </c>
      <c r="R90" s="151">
        <f t="shared" si="45"/>
        <v>55.701726599361059</v>
      </c>
      <c r="S90" s="151">
        <f t="shared" si="45"/>
        <v>55.701726599361059</v>
      </c>
      <c r="T90" s="151">
        <f t="shared" si="45"/>
        <v>55.701726599361059</v>
      </c>
      <c r="U90" s="151">
        <f t="shared" si="45"/>
        <v>55.701726599361059</v>
      </c>
      <c r="V90" s="151">
        <f t="shared" si="45"/>
        <v>55.701726599361059</v>
      </c>
      <c r="W90" s="151">
        <f t="shared" si="45"/>
        <v>55.701726599361059</v>
      </c>
      <c r="X90" s="151">
        <f t="shared" si="45"/>
        <v>55.701726599361059</v>
      </c>
      <c r="Y90" s="151">
        <f t="shared" si="45"/>
        <v>55.701726599361059</v>
      </c>
      <c r="Z90" s="151">
        <f t="shared" si="45"/>
        <v>55.701726599361059</v>
      </c>
      <c r="AA90" s="151">
        <f t="shared" si="45"/>
        <v>55.701726599361059</v>
      </c>
      <c r="AB90" s="151">
        <f t="shared" si="45"/>
        <v>55.701726599361059</v>
      </c>
      <c r="AC90" s="151">
        <f t="shared" si="45"/>
        <v>55.701726599361059</v>
      </c>
      <c r="AD90" s="151">
        <f t="shared" si="45"/>
        <v>55.701726599361059</v>
      </c>
      <c r="AE90" s="151">
        <f t="shared" si="45"/>
        <v>55.701726599361059</v>
      </c>
      <c r="AF90" s="151">
        <f t="shared" si="45"/>
        <v>55.701726599361059</v>
      </c>
      <c r="AG90" s="151">
        <f t="shared" si="45"/>
        <v>55.701726599361059</v>
      </c>
      <c r="AH90" s="151">
        <f t="shared" si="45"/>
        <v>55.701726599361059</v>
      </c>
      <c r="AI90" s="42"/>
    </row>
    <row r="91" spans="1:35">
      <c r="A91" s="37" t="str">
        <f>DEFAULT!A194</f>
        <v>Hybrid diesel-electric</v>
      </c>
      <c r="B91" s="153">
        <f>DEFAULT!B194</f>
        <v>119.52</v>
      </c>
      <c r="C91" s="153">
        <f>DEFAULT!C194</f>
        <v>102.66767999999999</v>
      </c>
      <c r="D91" s="153">
        <f>DEFAULT!D194</f>
        <v>165.17663999999999</v>
      </c>
      <c r="E91" s="151">
        <f>INDEX(DEFAULT!E$187:AL$204,8,'USER INPUTS'!$B$4)</f>
        <v>0</v>
      </c>
      <c r="F91" s="151">
        <f t="shared" si="41"/>
        <v>0</v>
      </c>
      <c r="G91" s="151">
        <f t="shared" si="42"/>
        <v>0</v>
      </c>
      <c r="H91" s="151">
        <f t="shared" si="42"/>
        <v>0</v>
      </c>
      <c r="I91" s="151">
        <f t="shared" si="42"/>
        <v>0</v>
      </c>
      <c r="J91" s="151">
        <f t="shared" si="42"/>
        <v>0</v>
      </c>
      <c r="K91" s="151">
        <f t="shared" si="42"/>
        <v>0</v>
      </c>
      <c r="L91" s="151">
        <f t="shared" si="42"/>
        <v>0</v>
      </c>
      <c r="M91" s="151">
        <f t="shared" si="42"/>
        <v>0</v>
      </c>
      <c r="N91" s="151">
        <f t="shared" si="42"/>
        <v>0</v>
      </c>
      <c r="O91" s="151">
        <f t="shared" si="42"/>
        <v>0</v>
      </c>
      <c r="P91" s="151">
        <f t="shared" si="42"/>
        <v>0</v>
      </c>
      <c r="Q91" s="151">
        <f t="shared" si="42"/>
        <v>0</v>
      </c>
      <c r="R91" s="151">
        <f t="shared" si="42"/>
        <v>0</v>
      </c>
      <c r="S91" s="151">
        <f t="shared" si="42"/>
        <v>0</v>
      </c>
      <c r="T91" s="151">
        <f t="shared" si="42"/>
        <v>0</v>
      </c>
      <c r="U91" s="151">
        <f t="shared" si="42"/>
        <v>0</v>
      </c>
      <c r="V91" s="151">
        <f t="shared" si="42"/>
        <v>0</v>
      </c>
      <c r="W91" s="151">
        <f t="shared" si="42"/>
        <v>0</v>
      </c>
      <c r="X91" s="151">
        <f t="shared" si="42"/>
        <v>0</v>
      </c>
      <c r="Y91" s="151">
        <f t="shared" si="42"/>
        <v>0</v>
      </c>
      <c r="Z91" s="151">
        <f t="shared" si="42"/>
        <v>0</v>
      </c>
      <c r="AA91" s="151">
        <f t="shared" si="42"/>
        <v>0</v>
      </c>
      <c r="AB91" s="151">
        <f t="shared" si="42"/>
        <v>0</v>
      </c>
      <c r="AC91" s="151">
        <f t="shared" si="42"/>
        <v>0</v>
      </c>
      <c r="AD91" s="151">
        <f t="shared" si="42"/>
        <v>0</v>
      </c>
      <c r="AE91" s="151">
        <f t="shared" si="42"/>
        <v>0</v>
      </c>
      <c r="AF91" s="151">
        <f t="shared" si="42"/>
        <v>0</v>
      </c>
      <c r="AG91" s="151">
        <f t="shared" si="42"/>
        <v>0</v>
      </c>
      <c r="AH91" s="151">
        <f t="shared" si="42"/>
        <v>0</v>
      </c>
      <c r="AI91" s="42"/>
    </row>
    <row r="92" spans="1:35">
      <c r="A92" s="403" t="str">
        <f>DEFAULT!A195</f>
        <v>Plug-in hybrid diesel-electric PHEV</v>
      </c>
      <c r="B92" s="719">
        <f>DEFAULT!B195</f>
        <v>0</v>
      </c>
      <c r="C92" s="719">
        <f>DEFAULT!C195</f>
        <v>0</v>
      </c>
      <c r="D92" s="719">
        <f>DEFAULT!D195</f>
        <v>0</v>
      </c>
      <c r="E92" s="721">
        <f>INDEX(DEFAULT!E$187:AL$204,9,'USER INPUTS'!$B$4)</f>
        <v>0</v>
      </c>
      <c r="F92" s="721">
        <f t="shared" si="41"/>
        <v>0</v>
      </c>
      <c r="G92" s="721">
        <f t="shared" si="42"/>
        <v>0</v>
      </c>
      <c r="H92" s="721">
        <f t="shared" si="42"/>
        <v>0</v>
      </c>
      <c r="I92" s="721">
        <f t="shared" si="42"/>
        <v>0</v>
      </c>
      <c r="J92" s="721">
        <f t="shared" si="42"/>
        <v>0</v>
      </c>
      <c r="K92" s="721">
        <f t="shared" si="42"/>
        <v>0</v>
      </c>
      <c r="L92" s="721">
        <f t="shared" si="42"/>
        <v>0</v>
      </c>
      <c r="M92" s="721">
        <f t="shared" si="42"/>
        <v>0</v>
      </c>
      <c r="N92" s="721">
        <f t="shared" si="42"/>
        <v>0</v>
      </c>
      <c r="O92" s="721">
        <f t="shared" si="42"/>
        <v>0</v>
      </c>
      <c r="P92" s="721">
        <f t="shared" si="42"/>
        <v>0</v>
      </c>
      <c r="Q92" s="721">
        <f t="shared" si="42"/>
        <v>0</v>
      </c>
      <c r="R92" s="721">
        <f t="shared" si="42"/>
        <v>0</v>
      </c>
      <c r="S92" s="721">
        <f t="shared" si="42"/>
        <v>0</v>
      </c>
      <c r="T92" s="721">
        <f t="shared" si="42"/>
        <v>0</v>
      </c>
      <c r="U92" s="721">
        <f t="shared" si="42"/>
        <v>0</v>
      </c>
      <c r="V92" s="721">
        <f t="shared" si="42"/>
        <v>0</v>
      </c>
      <c r="W92" s="721">
        <f t="shared" si="42"/>
        <v>0</v>
      </c>
      <c r="X92" s="721">
        <f t="shared" si="42"/>
        <v>0</v>
      </c>
      <c r="Y92" s="721">
        <f t="shared" ref="G92:AH97" si="46">X92</f>
        <v>0</v>
      </c>
      <c r="Z92" s="721">
        <f t="shared" si="46"/>
        <v>0</v>
      </c>
      <c r="AA92" s="721">
        <f t="shared" si="46"/>
        <v>0</v>
      </c>
      <c r="AB92" s="721">
        <f t="shared" si="46"/>
        <v>0</v>
      </c>
      <c r="AC92" s="721">
        <f t="shared" si="46"/>
        <v>0</v>
      </c>
      <c r="AD92" s="721">
        <f t="shared" si="46"/>
        <v>0</v>
      </c>
      <c r="AE92" s="721">
        <f t="shared" si="46"/>
        <v>0</v>
      </c>
      <c r="AF92" s="721">
        <f t="shared" si="46"/>
        <v>0</v>
      </c>
      <c r="AG92" s="721">
        <f t="shared" si="46"/>
        <v>0</v>
      </c>
      <c r="AH92" s="721">
        <f t="shared" si="46"/>
        <v>0</v>
      </c>
      <c r="AI92" s="42"/>
    </row>
    <row r="93" spans="1:35">
      <c r="A93" s="37" t="str">
        <f>DEFAULT!A196</f>
        <v>Hydrogen and fuel cells</v>
      </c>
      <c r="B93" s="153">
        <f>DEFAULT!B196</f>
        <v>0</v>
      </c>
      <c r="C93" s="153">
        <f>DEFAULT!C196</f>
        <v>0</v>
      </c>
      <c r="D93" s="153">
        <f>DEFAULT!D196</f>
        <v>0</v>
      </c>
      <c r="E93" s="151">
        <f>INDEX(DEFAULT!E$187:AL$204,10,'USER INPUTS'!$B$4)</f>
        <v>0</v>
      </c>
      <c r="F93" s="151">
        <f t="shared" si="41"/>
        <v>0</v>
      </c>
      <c r="G93" s="151">
        <f t="shared" si="46"/>
        <v>0</v>
      </c>
      <c r="H93" s="151">
        <f t="shared" si="46"/>
        <v>0</v>
      </c>
      <c r="I93" s="151">
        <f t="shared" si="46"/>
        <v>0</v>
      </c>
      <c r="J93" s="151">
        <f t="shared" si="46"/>
        <v>0</v>
      </c>
      <c r="K93" s="151">
        <f t="shared" si="46"/>
        <v>0</v>
      </c>
      <c r="L93" s="151">
        <f t="shared" si="46"/>
        <v>0</v>
      </c>
      <c r="M93" s="151">
        <f t="shared" si="46"/>
        <v>0</v>
      </c>
      <c r="N93" s="151">
        <f t="shared" si="46"/>
        <v>0</v>
      </c>
      <c r="O93" s="151">
        <f t="shared" si="46"/>
        <v>0</v>
      </c>
      <c r="P93" s="151">
        <f t="shared" si="46"/>
        <v>0</v>
      </c>
      <c r="Q93" s="151">
        <f t="shared" si="46"/>
        <v>0</v>
      </c>
      <c r="R93" s="151">
        <f t="shared" si="46"/>
        <v>0</v>
      </c>
      <c r="S93" s="151">
        <f t="shared" si="46"/>
        <v>0</v>
      </c>
      <c r="T93" s="151">
        <f t="shared" si="46"/>
        <v>0</v>
      </c>
      <c r="U93" s="151">
        <f t="shared" si="46"/>
        <v>0</v>
      </c>
      <c r="V93" s="151">
        <f t="shared" si="46"/>
        <v>0</v>
      </c>
      <c r="W93" s="151">
        <f t="shared" si="46"/>
        <v>0</v>
      </c>
      <c r="X93" s="151">
        <f t="shared" si="46"/>
        <v>0</v>
      </c>
      <c r="Y93" s="151">
        <f t="shared" si="46"/>
        <v>0</v>
      </c>
      <c r="Z93" s="151">
        <f t="shared" si="46"/>
        <v>0</v>
      </c>
      <c r="AA93" s="151">
        <f t="shared" si="46"/>
        <v>0</v>
      </c>
      <c r="AB93" s="151">
        <f t="shared" si="46"/>
        <v>0</v>
      </c>
      <c r="AC93" s="151">
        <f t="shared" si="46"/>
        <v>0</v>
      </c>
      <c r="AD93" s="151">
        <f t="shared" si="46"/>
        <v>0</v>
      </c>
      <c r="AE93" s="151">
        <f t="shared" si="46"/>
        <v>0</v>
      </c>
      <c r="AF93" s="151">
        <f t="shared" si="46"/>
        <v>0</v>
      </c>
      <c r="AG93" s="151">
        <f t="shared" si="46"/>
        <v>0</v>
      </c>
      <c r="AH93" s="151">
        <f t="shared" si="46"/>
        <v>0</v>
      </c>
      <c r="AI93" s="42"/>
    </row>
    <row r="94" spans="1:35">
      <c r="A94" s="37" t="str">
        <f>DEFAULT!A197</f>
        <v>Bioethanol</v>
      </c>
      <c r="B94" s="153">
        <f>DEFAULT!B197</f>
        <v>5</v>
      </c>
      <c r="C94" s="153">
        <f>DEFAULT!C197</f>
        <v>4.415</v>
      </c>
      <c r="D94" s="153">
        <f>DEFAULT!D197</f>
        <v>6.585</v>
      </c>
      <c r="E94" s="151">
        <f>INDEX(DEFAULT!E$187:AL$204,11,'USER INPUTS'!$B$4)</f>
        <v>0</v>
      </c>
      <c r="F94" s="151">
        <f t="shared" si="41"/>
        <v>0</v>
      </c>
      <c r="G94" s="151">
        <f t="shared" si="46"/>
        <v>0</v>
      </c>
      <c r="H94" s="151">
        <f t="shared" si="46"/>
        <v>0</v>
      </c>
      <c r="I94" s="151">
        <f t="shared" si="46"/>
        <v>0</v>
      </c>
      <c r="J94" s="151">
        <f t="shared" si="46"/>
        <v>0</v>
      </c>
      <c r="K94" s="151">
        <f t="shared" si="46"/>
        <v>0</v>
      </c>
      <c r="L94" s="151">
        <f t="shared" si="46"/>
        <v>0</v>
      </c>
      <c r="M94" s="151">
        <f t="shared" si="46"/>
        <v>0</v>
      </c>
      <c r="N94" s="151">
        <f t="shared" si="46"/>
        <v>0</v>
      </c>
      <c r="O94" s="151">
        <f t="shared" si="46"/>
        <v>0</v>
      </c>
      <c r="P94" s="151">
        <f t="shared" si="46"/>
        <v>0</v>
      </c>
      <c r="Q94" s="151">
        <f t="shared" si="46"/>
        <v>0</v>
      </c>
      <c r="R94" s="151">
        <f t="shared" si="46"/>
        <v>0</v>
      </c>
      <c r="S94" s="151">
        <f t="shared" si="46"/>
        <v>0</v>
      </c>
      <c r="T94" s="151">
        <f t="shared" si="46"/>
        <v>0</v>
      </c>
      <c r="U94" s="151">
        <f t="shared" si="46"/>
        <v>0</v>
      </c>
      <c r="V94" s="151">
        <f t="shared" si="46"/>
        <v>0</v>
      </c>
      <c r="W94" s="151">
        <f t="shared" si="46"/>
        <v>0</v>
      </c>
      <c r="X94" s="151">
        <f t="shared" si="46"/>
        <v>0</v>
      </c>
      <c r="Y94" s="151">
        <f t="shared" si="46"/>
        <v>0</v>
      </c>
      <c r="Z94" s="151">
        <f t="shared" si="46"/>
        <v>0</v>
      </c>
      <c r="AA94" s="151">
        <f t="shared" si="46"/>
        <v>0</v>
      </c>
      <c r="AB94" s="151">
        <f t="shared" si="46"/>
        <v>0</v>
      </c>
      <c r="AC94" s="151">
        <f t="shared" si="46"/>
        <v>0</v>
      </c>
      <c r="AD94" s="151">
        <f t="shared" si="46"/>
        <v>0</v>
      </c>
      <c r="AE94" s="151">
        <f t="shared" si="46"/>
        <v>0</v>
      </c>
      <c r="AF94" s="151">
        <f t="shared" si="46"/>
        <v>0</v>
      </c>
      <c r="AG94" s="151">
        <f t="shared" si="46"/>
        <v>0</v>
      </c>
      <c r="AH94" s="151">
        <f t="shared" si="46"/>
        <v>0</v>
      </c>
      <c r="AI94" s="42"/>
    </row>
    <row r="95" spans="1:35">
      <c r="A95" s="37" t="str">
        <f>DEFAULT!A198</f>
        <v>Bio-diesel</v>
      </c>
      <c r="B95" s="153">
        <f>DEFAULT!B198</f>
        <v>1</v>
      </c>
      <c r="C95" s="153">
        <f>DEFAULT!C198</f>
        <v>0.88300000000000001</v>
      </c>
      <c r="D95" s="153">
        <f>DEFAULT!D198</f>
        <v>1.3169999999999999</v>
      </c>
      <c r="E95" s="151">
        <f>INDEX(DEFAULT!E$187:AL$204,12,'USER INPUTS'!$B$4)</f>
        <v>0</v>
      </c>
      <c r="F95" s="151">
        <f t="shared" si="41"/>
        <v>0</v>
      </c>
      <c r="G95" s="151">
        <f t="shared" si="46"/>
        <v>0</v>
      </c>
      <c r="H95" s="151">
        <f t="shared" si="46"/>
        <v>0</v>
      </c>
      <c r="I95" s="151">
        <f t="shared" si="46"/>
        <v>0</v>
      </c>
      <c r="J95" s="151">
        <f t="shared" si="46"/>
        <v>0</v>
      </c>
      <c r="K95" s="151">
        <f t="shared" si="46"/>
        <v>0</v>
      </c>
      <c r="L95" s="151">
        <f t="shared" si="46"/>
        <v>0</v>
      </c>
      <c r="M95" s="151">
        <f t="shared" si="46"/>
        <v>0</v>
      </c>
      <c r="N95" s="151">
        <f t="shared" si="46"/>
        <v>0</v>
      </c>
      <c r="O95" s="151">
        <f t="shared" si="46"/>
        <v>0</v>
      </c>
      <c r="P95" s="151">
        <f t="shared" si="46"/>
        <v>0</v>
      </c>
      <c r="Q95" s="151">
        <f t="shared" si="46"/>
        <v>0</v>
      </c>
      <c r="R95" s="151">
        <f t="shared" si="46"/>
        <v>0</v>
      </c>
      <c r="S95" s="151">
        <f t="shared" si="46"/>
        <v>0</v>
      </c>
      <c r="T95" s="151">
        <f t="shared" si="46"/>
        <v>0</v>
      </c>
      <c r="U95" s="151">
        <f t="shared" si="46"/>
        <v>0</v>
      </c>
      <c r="V95" s="151">
        <f t="shared" si="46"/>
        <v>0</v>
      </c>
      <c r="W95" s="151">
        <f t="shared" si="46"/>
        <v>0</v>
      </c>
      <c r="X95" s="151">
        <f t="shared" si="46"/>
        <v>0</v>
      </c>
      <c r="Y95" s="151">
        <f t="shared" si="46"/>
        <v>0</v>
      </c>
      <c r="Z95" s="151">
        <f t="shared" si="46"/>
        <v>0</v>
      </c>
      <c r="AA95" s="151">
        <f t="shared" si="46"/>
        <v>0</v>
      </c>
      <c r="AB95" s="151">
        <f t="shared" si="46"/>
        <v>0</v>
      </c>
      <c r="AC95" s="151">
        <f t="shared" si="46"/>
        <v>0</v>
      </c>
      <c r="AD95" s="151">
        <f t="shared" si="46"/>
        <v>0</v>
      </c>
      <c r="AE95" s="151">
        <f t="shared" si="46"/>
        <v>0</v>
      </c>
      <c r="AF95" s="151">
        <f t="shared" si="46"/>
        <v>0</v>
      </c>
      <c r="AG95" s="151">
        <f t="shared" si="46"/>
        <v>0</v>
      </c>
      <c r="AH95" s="151">
        <f t="shared" si="46"/>
        <v>0</v>
      </c>
      <c r="AI95" s="42"/>
    </row>
    <row r="96" spans="1:35">
      <c r="A96" s="37" t="str">
        <f>DEFAULT!A199</f>
        <v>Bi-fuel</v>
      </c>
      <c r="B96" s="153">
        <f>DEFAULT!B199</f>
        <v>30</v>
      </c>
      <c r="C96" s="153">
        <f>DEFAULT!C199</f>
        <v>27</v>
      </c>
      <c r="D96" s="153">
        <f>DEFAULT!D199</f>
        <v>38</v>
      </c>
      <c r="E96" s="151">
        <f>INDEX(DEFAULT!E$187:AL$204,13,'USER INPUTS'!$B$4)</f>
        <v>0</v>
      </c>
      <c r="F96" s="151">
        <f t="shared" si="41"/>
        <v>0</v>
      </c>
      <c r="G96" s="151">
        <f t="shared" si="46"/>
        <v>0</v>
      </c>
      <c r="H96" s="151">
        <f t="shared" si="46"/>
        <v>0</v>
      </c>
      <c r="I96" s="151">
        <f t="shared" si="46"/>
        <v>0</v>
      </c>
      <c r="J96" s="151">
        <f t="shared" si="46"/>
        <v>0</v>
      </c>
      <c r="K96" s="151">
        <f t="shared" si="46"/>
        <v>0</v>
      </c>
      <c r="L96" s="151">
        <f t="shared" si="46"/>
        <v>0</v>
      </c>
      <c r="M96" s="151">
        <f t="shared" si="46"/>
        <v>0</v>
      </c>
      <c r="N96" s="151">
        <f t="shared" si="46"/>
        <v>0</v>
      </c>
      <c r="O96" s="151">
        <f t="shared" si="46"/>
        <v>0</v>
      </c>
      <c r="P96" s="151">
        <f t="shared" si="46"/>
        <v>0</v>
      </c>
      <c r="Q96" s="151">
        <f t="shared" si="46"/>
        <v>0</v>
      </c>
      <c r="R96" s="151">
        <f t="shared" si="46"/>
        <v>0</v>
      </c>
      <c r="S96" s="151">
        <f t="shared" si="46"/>
        <v>0</v>
      </c>
      <c r="T96" s="151">
        <f>S96</f>
        <v>0</v>
      </c>
      <c r="U96" s="151">
        <f t="shared" si="46"/>
        <v>0</v>
      </c>
      <c r="V96" s="151">
        <f t="shared" si="46"/>
        <v>0</v>
      </c>
      <c r="W96" s="151">
        <f t="shared" si="46"/>
        <v>0</v>
      </c>
      <c r="X96" s="151">
        <f t="shared" si="46"/>
        <v>0</v>
      </c>
      <c r="Y96" s="151">
        <f t="shared" si="46"/>
        <v>0</v>
      </c>
      <c r="Z96" s="151">
        <f t="shared" si="46"/>
        <v>0</v>
      </c>
      <c r="AA96" s="151">
        <f t="shared" si="46"/>
        <v>0</v>
      </c>
      <c r="AB96" s="151">
        <f t="shared" si="46"/>
        <v>0</v>
      </c>
      <c r="AC96" s="151">
        <f t="shared" si="46"/>
        <v>0</v>
      </c>
      <c r="AD96" s="151">
        <f t="shared" si="46"/>
        <v>0</v>
      </c>
      <c r="AE96" s="151">
        <f t="shared" si="46"/>
        <v>0</v>
      </c>
      <c r="AF96" s="151">
        <f t="shared" si="46"/>
        <v>0</v>
      </c>
      <c r="AG96" s="151">
        <f t="shared" si="46"/>
        <v>0</v>
      </c>
      <c r="AH96" s="151">
        <f t="shared" si="46"/>
        <v>0</v>
      </c>
      <c r="AI96" s="42"/>
    </row>
    <row r="97" spans="1:36">
      <c r="A97" s="37" t="str">
        <f>DEFAULT!A200</f>
        <v>Other (unknown)</v>
      </c>
      <c r="B97" s="153">
        <f>DEFAULT!B200</f>
        <v>171.48</v>
      </c>
      <c r="C97" s="153">
        <f>DEFAULT!C200</f>
        <v>151.41683999999998</v>
      </c>
      <c r="D97" s="153">
        <f>DEFAULT!D200</f>
        <v>225.83915999999996</v>
      </c>
      <c r="E97" s="151">
        <f>INDEX(DEFAULT!E$187:AL$204,14,'USER INPUTS'!$B$4)</f>
        <v>2.7375346707088952</v>
      </c>
      <c r="F97" s="151">
        <f t="shared" si="41"/>
        <v>2.7375346707088952</v>
      </c>
      <c r="G97" s="151">
        <f t="shared" si="46"/>
        <v>2.7375346707088952</v>
      </c>
      <c r="H97" s="151">
        <f t="shared" si="46"/>
        <v>2.7375346707088952</v>
      </c>
      <c r="I97" s="151">
        <f t="shared" si="46"/>
        <v>2.7375346707088952</v>
      </c>
      <c r="J97" s="151">
        <f t="shared" si="46"/>
        <v>2.7375346707088952</v>
      </c>
      <c r="K97" s="151">
        <f>J97</f>
        <v>2.7375346707088952</v>
      </c>
      <c r="L97" s="151">
        <f t="shared" si="46"/>
        <v>2.7375346707088952</v>
      </c>
      <c r="M97" s="151">
        <f t="shared" si="46"/>
        <v>2.7375346707088952</v>
      </c>
      <c r="N97" s="151">
        <f t="shared" si="46"/>
        <v>2.7375346707088952</v>
      </c>
      <c r="O97" s="151">
        <f t="shared" si="46"/>
        <v>2.7375346707088952</v>
      </c>
      <c r="P97" s="151">
        <f t="shared" si="46"/>
        <v>2.7375346707088952</v>
      </c>
      <c r="Q97" s="151">
        <f t="shared" si="46"/>
        <v>2.7375346707088952</v>
      </c>
      <c r="R97" s="151">
        <f t="shared" si="46"/>
        <v>2.7375346707088952</v>
      </c>
      <c r="S97" s="151">
        <f t="shared" si="46"/>
        <v>2.7375346707088952</v>
      </c>
      <c r="T97" s="151">
        <f t="shared" si="46"/>
        <v>2.7375346707088952</v>
      </c>
      <c r="U97" s="151">
        <f t="shared" si="46"/>
        <v>2.7375346707088952</v>
      </c>
      <c r="V97" s="151">
        <f t="shared" si="46"/>
        <v>2.7375346707088952</v>
      </c>
      <c r="W97" s="151">
        <f t="shared" si="46"/>
        <v>2.7375346707088952</v>
      </c>
      <c r="X97" s="151">
        <f t="shared" si="46"/>
        <v>2.7375346707088952</v>
      </c>
      <c r="Y97" s="151">
        <f t="shared" si="46"/>
        <v>2.7375346707088952</v>
      </c>
      <c r="Z97" s="151">
        <f t="shared" si="46"/>
        <v>2.7375346707088952</v>
      </c>
      <c r="AA97" s="151">
        <f t="shared" si="46"/>
        <v>2.7375346707088952</v>
      </c>
      <c r="AB97" s="151">
        <f t="shared" si="46"/>
        <v>2.7375346707088952</v>
      </c>
      <c r="AC97" s="151">
        <f t="shared" si="46"/>
        <v>2.7375346707088952</v>
      </c>
      <c r="AD97" s="151">
        <f t="shared" si="46"/>
        <v>2.7375346707088952</v>
      </c>
      <c r="AE97" s="151">
        <f t="shared" si="46"/>
        <v>2.7375346707088952</v>
      </c>
      <c r="AF97" s="151">
        <f t="shared" si="46"/>
        <v>2.7375346707088952</v>
      </c>
      <c r="AG97" s="151">
        <f t="shared" si="46"/>
        <v>2.7375346707088952</v>
      </c>
      <c r="AH97" s="151">
        <f t="shared" si="46"/>
        <v>2.7375346707088952</v>
      </c>
      <c r="AI97" s="42"/>
    </row>
    <row r="98" spans="1:36">
      <c r="A98" s="174" t="s">
        <v>190</v>
      </c>
      <c r="B98" s="237" t="s">
        <v>192</v>
      </c>
      <c r="C98" s="41" t="s">
        <v>192</v>
      </c>
      <c r="D98" s="239" t="s">
        <v>192</v>
      </c>
      <c r="E98" s="404"/>
      <c r="F98" s="404"/>
      <c r="G98" s="404"/>
      <c r="H98" s="404"/>
      <c r="I98" s="404"/>
      <c r="J98" s="404"/>
      <c r="K98" s="404"/>
      <c r="L98" s="404"/>
      <c r="M98" s="404"/>
      <c r="N98" s="404"/>
      <c r="O98" s="404"/>
      <c r="P98" s="404"/>
      <c r="Q98" s="404"/>
      <c r="R98" s="404"/>
      <c r="S98" s="404"/>
      <c r="T98" s="404"/>
      <c r="U98" s="404"/>
      <c r="V98" s="404"/>
      <c r="W98" s="404"/>
      <c r="X98" s="404"/>
      <c r="Y98" s="404"/>
      <c r="Z98" s="404"/>
      <c r="AA98" s="404"/>
      <c r="AB98" s="404"/>
      <c r="AC98" s="404"/>
      <c r="AD98" s="404"/>
      <c r="AE98" s="404"/>
      <c r="AF98" s="404"/>
      <c r="AG98" s="404"/>
      <c r="AH98" s="404"/>
      <c r="AI98" s="42"/>
    </row>
    <row r="99" spans="1:36">
      <c r="A99" s="458" t="str">
        <f>DEFAULT!A202</f>
        <v>Plug-in hybrid petrol-electric PHEV</v>
      </c>
      <c r="B99" s="156">
        <f>DEFAULT!B202</f>
        <v>0.23070000000000002</v>
      </c>
      <c r="C99" s="156">
        <f>DEFAULT!C202</f>
        <v>0.24043772798332469</v>
      </c>
      <c r="D99" s="156">
        <f>DEFAULT!D202</f>
        <v>0.20437206878582598</v>
      </c>
      <c r="E99" s="723">
        <f>((INDEX(DEFAULT!E$187:AL$204,16,'USER INPUTS'!$B$4)/(INDEX(DEFAULT!E$187:AL$204,16,'USER INPUTS'!$B$4)+INDEX(DEFAULT!E$187:AL$204,17,'USER INPUTS'!$B$4)+INDEX(DEFAULT!E$187:AL$204,18,'USER INPUTS'!$B$4))*((INDEX(DEFAULT!$E$220:$AJ$220,1,'USER INPUTS'!$B$4))))+(INDEX(DEFAULT!E220:AJ221,2,'USER INPUTS'!$B$4)-INDEX(DEFAULT!E220:AJ221,1,'USER INPUTS'!$B$4))/5)</f>
        <v>1.9999999999999997E-2</v>
      </c>
      <c r="F99" s="723">
        <f>E99+((INDEX(DEFAULT!$E$220:$AJ$221,2,'USER INPUTS'!$B$4)-INDEX(DEFAULT!$E$220:$AJ$221,1,'USER INPUTS'!$B$4))/5)</f>
        <v>3.9999999999999994E-2</v>
      </c>
      <c r="G99" s="165">
        <f>F99+((INDEX(DEFAULT!$E$220:$AJ$221,2,'USER INPUTS'!$B$4)-INDEX(DEFAULT!$E$220:$AJ$221,1,'USER INPUTS'!$B$4))/5)</f>
        <v>5.9999999999999991E-2</v>
      </c>
      <c r="H99" s="165">
        <f>G99+((INDEX(DEFAULT!$E$220:$AJ$221,2,'USER INPUTS'!$B$4)-INDEX(DEFAULT!$E$220:$AJ$221,1,'USER INPUTS'!$B$4))/5)</f>
        <v>7.9999999999999988E-2</v>
      </c>
      <c r="I99" s="165">
        <f>H99+((INDEX(DEFAULT!$E$220:$AJ$221,2,'USER INPUTS'!$B$4)-INDEX(DEFAULT!$E$220:$AJ$221,1,'USER INPUTS'!$B$4))/5)</f>
        <v>9.9999999999999978E-2</v>
      </c>
      <c r="J99" s="151">
        <f t="shared" ref="J99:AH99" si="47">I99</f>
        <v>9.9999999999999978E-2</v>
      </c>
      <c r="K99" s="151">
        <f t="shared" si="47"/>
        <v>9.9999999999999978E-2</v>
      </c>
      <c r="L99" s="151">
        <f t="shared" si="47"/>
        <v>9.9999999999999978E-2</v>
      </c>
      <c r="M99" s="151">
        <f t="shared" si="47"/>
        <v>9.9999999999999978E-2</v>
      </c>
      <c r="N99" s="151">
        <f t="shared" si="47"/>
        <v>9.9999999999999978E-2</v>
      </c>
      <c r="O99" s="151">
        <f t="shared" si="47"/>
        <v>9.9999999999999978E-2</v>
      </c>
      <c r="P99" s="151">
        <f t="shared" si="47"/>
        <v>9.9999999999999978E-2</v>
      </c>
      <c r="Q99" s="151">
        <f t="shared" si="47"/>
        <v>9.9999999999999978E-2</v>
      </c>
      <c r="R99" s="151">
        <f t="shared" si="47"/>
        <v>9.9999999999999978E-2</v>
      </c>
      <c r="S99" s="151">
        <f t="shared" si="47"/>
        <v>9.9999999999999978E-2</v>
      </c>
      <c r="T99" s="151">
        <f t="shared" si="47"/>
        <v>9.9999999999999978E-2</v>
      </c>
      <c r="U99" s="151">
        <f t="shared" si="47"/>
        <v>9.9999999999999978E-2</v>
      </c>
      <c r="V99" s="151">
        <f t="shared" si="47"/>
        <v>9.9999999999999978E-2</v>
      </c>
      <c r="W99" s="151">
        <f t="shared" si="47"/>
        <v>9.9999999999999978E-2</v>
      </c>
      <c r="X99" s="151">
        <f t="shared" si="47"/>
        <v>9.9999999999999978E-2</v>
      </c>
      <c r="Y99" s="151">
        <f t="shared" si="47"/>
        <v>9.9999999999999978E-2</v>
      </c>
      <c r="Z99" s="151">
        <f t="shared" si="47"/>
        <v>9.9999999999999978E-2</v>
      </c>
      <c r="AA99" s="151">
        <f t="shared" si="47"/>
        <v>9.9999999999999978E-2</v>
      </c>
      <c r="AB99" s="151">
        <f t="shared" si="47"/>
        <v>9.9999999999999978E-2</v>
      </c>
      <c r="AC99" s="151">
        <f t="shared" si="47"/>
        <v>9.9999999999999978E-2</v>
      </c>
      <c r="AD99" s="151">
        <f t="shared" si="47"/>
        <v>9.9999999999999978E-2</v>
      </c>
      <c r="AE99" s="151">
        <f t="shared" si="47"/>
        <v>9.9999999999999978E-2</v>
      </c>
      <c r="AF99" s="151">
        <f t="shared" si="47"/>
        <v>9.9999999999999978E-2</v>
      </c>
      <c r="AG99" s="151">
        <f t="shared" si="47"/>
        <v>9.9999999999999978E-2</v>
      </c>
      <c r="AH99" s="151">
        <f t="shared" si="47"/>
        <v>9.9999999999999978E-2</v>
      </c>
      <c r="AI99" s="42"/>
    </row>
    <row r="100" spans="1:36">
      <c r="A100" s="458" t="str">
        <f>DEFAULT!A203</f>
        <v>Plug-in hybrid diesel-electric PHEV</v>
      </c>
      <c r="B100" s="156">
        <f>DEFAULT!B203</f>
        <v>0.23530000000000001</v>
      </c>
      <c r="C100" s="156">
        <f>DEFAULT!C203</f>
        <v>0.24523189161021366</v>
      </c>
      <c r="D100" s="156">
        <f>DEFAULT!D203</f>
        <v>0.20844710786868162</v>
      </c>
      <c r="E100" s="723">
        <f>(INDEX(DEFAULT!E$187:AL$204,17,'USER INPUTS'!$B$4)/(INDEX(DEFAULT!E$187:AL$204,16,'USER INPUTS'!$B$4)+INDEX(DEFAULT!E$187:AL$204,17,'USER INPUTS'!$B$4)+INDEX(DEFAULT!E$187:AL$204,18,'USER INPUTS'!$B$4))*(INDEX(DEFAULT!$E$220:$AJ$220,1,'USER INPUTS'!$B$4)))</f>
        <v>0</v>
      </c>
      <c r="F100" s="724">
        <f>E100+((INDEX(DEFAULT!$E$220:$AJ$221,2,'USER INPUTS'!$B$4)-INDEX(DEFAULT!$E$220:$AJ$221,1,'USER INPUTS'!$B$4))/5)</f>
        <v>1.9999999999999997E-2</v>
      </c>
      <c r="G100" s="151">
        <f t="shared" ref="G100:AH100" si="48">F100</f>
        <v>1.9999999999999997E-2</v>
      </c>
      <c r="H100" s="151">
        <f t="shared" si="48"/>
        <v>1.9999999999999997E-2</v>
      </c>
      <c r="I100" s="151">
        <f t="shared" si="48"/>
        <v>1.9999999999999997E-2</v>
      </c>
      <c r="J100" s="151">
        <f t="shared" si="48"/>
        <v>1.9999999999999997E-2</v>
      </c>
      <c r="K100" s="151">
        <f t="shared" si="48"/>
        <v>1.9999999999999997E-2</v>
      </c>
      <c r="L100" s="151">
        <f t="shared" si="48"/>
        <v>1.9999999999999997E-2</v>
      </c>
      <c r="M100" s="151">
        <f t="shared" si="48"/>
        <v>1.9999999999999997E-2</v>
      </c>
      <c r="N100" s="151">
        <f t="shared" si="48"/>
        <v>1.9999999999999997E-2</v>
      </c>
      <c r="O100" s="151">
        <f t="shared" si="48"/>
        <v>1.9999999999999997E-2</v>
      </c>
      <c r="P100" s="151">
        <f t="shared" si="48"/>
        <v>1.9999999999999997E-2</v>
      </c>
      <c r="Q100" s="151">
        <f t="shared" si="48"/>
        <v>1.9999999999999997E-2</v>
      </c>
      <c r="R100" s="151">
        <f t="shared" si="48"/>
        <v>1.9999999999999997E-2</v>
      </c>
      <c r="S100" s="151">
        <f t="shared" si="48"/>
        <v>1.9999999999999997E-2</v>
      </c>
      <c r="T100" s="151">
        <f t="shared" si="48"/>
        <v>1.9999999999999997E-2</v>
      </c>
      <c r="U100" s="151">
        <f t="shared" si="48"/>
        <v>1.9999999999999997E-2</v>
      </c>
      <c r="V100" s="151">
        <f t="shared" si="48"/>
        <v>1.9999999999999997E-2</v>
      </c>
      <c r="W100" s="151">
        <f t="shared" si="48"/>
        <v>1.9999999999999997E-2</v>
      </c>
      <c r="X100" s="151">
        <f t="shared" si="48"/>
        <v>1.9999999999999997E-2</v>
      </c>
      <c r="Y100" s="151">
        <f t="shared" si="48"/>
        <v>1.9999999999999997E-2</v>
      </c>
      <c r="Z100" s="151">
        <f t="shared" si="48"/>
        <v>1.9999999999999997E-2</v>
      </c>
      <c r="AA100" s="151">
        <f t="shared" si="48"/>
        <v>1.9999999999999997E-2</v>
      </c>
      <c r="AB100" s="151">
        <f t="shared" si="48"/>
        <v>1.9999999999999997E-2</v>
      </c>
      <c r="AC100" s="151">
        <f t="shared" si="48"/>
        <v>1.9999999999999997E-2</v>
      </c>
      <c r="AD100" s="151">
        <f t="shared" si="48"/>
        <v>1.9999999999999997E-2</v>
      </c>
      <c r="AE100" s="151">
        <f t="shared" si="48"/>
        <v>1.9999999999999997E-2</v>
      </c>
      <c r="AF100" s="151">
        <f t="shared" si="48"/>
        <v>1.9999999999999997E-2</v>
      </c>
      <c r="AG100" s="151">
        <f t="shared" si="48"/>
        <v>1.9999999999999997E-2</v>
      </c>
      <c r="AH100" s="151">
        <f t="shared" si="48"/>
        <v>1.9999999999999997E-2</v>
      </c>
      <c r="AI100" s="42"/>
    </row>
    <row r="101" spans="1:36" ht="15.75" thickBot="1">
      <c r="A101" s="459" t="str">
        <f>DEFAULT!A204</f>
        <v>Electricity BEV</v>
      </c>
      <c r="B101" s="231">
        <f>DEFAULT!B204</f>
        <v>0.22719999999999999</v>
      </c>
      <c r="C101" s="231">
        <f>DEFAULT!C204</f>
        <v>0.23678999478895257</v>
      </c>
      <c r="D101" s="231">
        <f>DEFAULT!D204</f>
        <v>0.20127149557060969</v>
      </c>
      <c r="E101" s="725">
        <f>(INDEX(DEFAULT!E$187:AL$204,18,'USER INPUTS'!$B$4)/(INDEX(DEFAULT!E$187:AL$204,16,'USER INPUTS'!$B$4)+INDEX(DEFAULT!E$187:AL$204,17,'USER INPUTS'!$B$4)+INDEX(DEFAULT!E$187:AL$204,18,'USER INPUTS'!$B$4))*(INDEX(DEFAULT!$E$220:$AJ$220,1,'USER INPUTS'!$B$4)))</f>
        <v>0.2</v>
      </c>
      <c r="F101" s="726">
        <f>E101+((INDEX(DEFAULT!$E$220:$AJ$221,2,'USER INPUTS'!$B$4)-INDEX(DEFAULT!$E$220:$AJ$221,1,'USER INPUTS'!$B$4))/5)</f>
        <v>0.22</v>
      </c>
      <c r="G101" s="722">
        <f t="shared" ref="G101:AH101" si="49">F101</f>
        <v>0.22</v>
      </c>
      <c r="H101" s="722">
        <f t="shared" si="49"/>
        <v>0.22</v>
      </c>
      <c r="I101" s="722">
        <f t="shared" si="49"/>
        <v>0.22</v>
      </c>
      <c r="J101" s="722">
        <f t="shared" si="49"/>
        <v>0.22</v>
      </c>
      <c r="K101" s="722">
        <f t="shared" si="49"/>
        <v>0.22</v>
      </c>
      <c r="L101" s="722">
        <f t="shared" si="49"/>
        <v>0.22</v>
      </c>
      <c r="M101" s="722">
        <f t="shared" si="49"/>
        <v>0.22</v>
      </c>
      <c r="N101" s="722">
        <f t="shared" si="49"/>
        <v>0.22</v>
      </c>
      <c r="O101" s="722">
        <f t="shared" si="49"/>
        <v>0.22</v>
      </c>
      <c r="P101" s="722">
        <f t="shared" si="49"/>
        <v>0.22</v>
      </c>
      <c r="Q101" s="722">
        <f t="shared" si="49"/>
        <v>0.22</v>
      </c>
      <c r="R101" s="722">
        <f t="shared" si="49"/>
        <v>0.22</v>
      </c>
      <c r="S101" s="722">
        <f t="shared" si="49"/>
        <v>0.22</v>
      </c>
      <c r="T101" s="722">
        <f t="shared" si="49"/>
        <v>0.22</v>
      </c>
      <c r="U101" s="722">
        <f t="shared" si="49"/>
        <v>0.22</v>
      </c>
      <c r="V101" s="722">
        <f t="shared" si="49"/>
        <v>0.22</v>
      </c>
      <c r="W101" s="722">
        <f t="shared" si="49"/>
        <v>0.22</v>
      </c>
      <c r="X101" s="722">
        <f t="shared" si="49"/>
        <v>0.22</v>
      </c>
      <c r="Y101" s="722">
        <f t="shared" si="49"/>
        <v>0.22</v>
      </c>
      <c r="Z101" s="722">
        <f t="shared" si="49"/>
        <v>0.22</v>
      </c>
      <c r="AA101" s="722">
        <f t="shared" si="49"/>
        <v>0.22</v>
      </c>
      <c r="AB101" s="722">
        <f t="shared" si="49"/>
        <v>0.22</v>
      </c>
      <c r="AC101" s="722">
        <f t="shared" si="49"/>
        <v>0.22</v>
      </c>
      <c r="AD101" s="722">
        <f t="shared" si="49"/>
        <v>0.22</v>
      </c>
      <c r="AE101" s="722">
        <f t="shared" si="49"/>
        <v>0.22</v>
      </c>
      <c r="AF101" s="722">
        <f t="shared" si="49"/>
        <v>0.22</v>
      </c>
      <c r="AG101" s="722">
        <f t="shared" si="49"/>
        <v>0.22</v>
      </c>
      <c r="AH101" s="722">
        <f t="shared" si="49"/>
        <v>0.22</v>
      </c>
      <c r="AI101" s="42"/>
    </row>
    <row r="102" spans="1:36" s="134" customFormat="1">
      <c r="A102" s="37" t="s">
        <v>718</v>
      </c>
      <c r="B102" s="131"/>
      <c r="C102" s="131"/>
      <c r="D102" s="131"/>
      <c r="E102" s="718">
        <f t="shared" ref="E102:AH102" si="50">(E84/100*$B$84)+(E85/100*$B$85)+(E86/100*$B$86)+(E87/100*$B$87)+(E88/100*$B$88)+(E89/100*$B$89)+(E90/100*$B$90)+(E91/100*$B$91)+(E92/100*$B$92)+(E93/100*$B$93)+(E94/100*$B$94)+(E95/100*$B$95)+(E96/100*$B$96)+(E97/100*$B$97)+(E99/100*$B$99*E14/1000)+(E100/100*$B$100*E14/1000)+(E101/100*$B$101*E14/1000)</f>
        <v>164.90493754497382</v>
      </c>
      <c r="F102" s="718">
        <f t="shared" si="50"/>
        <v>165.05626701317257</v>
      </c>
      <c r="G102" s="718">
        <f t="shared" si="50"/>
        <v>165.02243619776968</v>
      </c>
      <c r="H102" s="718">
        <f t="shared" si="50"/>
        <v>164.98860538236667</v>
      </c>
      <c r="I102" s="718">
        <f t="shared" si="50"/>
        <v>164.95477456696375</v>
      </c>
      <c r="J102" s="718">
        <f t="shared" si="50"/>
        <v>164.95477456696375</v>
      </c>
      <c r="K102" s="718">
        <f t="shared" si="50"/>
        <v>164.95477456696375</v>
      </c>
      <c r="L102" s="718">
        <f t="shared" si="50"/>
        <v>164.95477456696375</v>
      </c>
      <c r="M102" s="718">
        <f t="shared" si="50"/>
        <v>164.95477456696375</v>
      </c>
      <c r="N102" s="718">
        <f t="shared" si="50"/>
        <v>164.95477456696375</v>
      </c>
      <c r="O102" s="718">
        <f t="shared" si="50"/>
        <v>164.95477456696375</v>
      </c>
      <c r="P102" s="718">
        <f t="shared" si="50"/>
        <v>164.95477456696375</v>
      </c>
      <c r="Q102" s="718">
        <f t="shared" si="50"/>
        <v>164.95477456696375</v>
      </c>
      <c r="R102" s="718">
        <f t="shared" si="50"/>
        <v>164.95477456696375</v>
      </c>
      <c r="S102" s="718">
        <f t="shared" si="50"/>
        <v>164.95477456696375</v>
      </c>
      <c r="T102" s="718">
        <f t="shared" si="50"/>
        <v>164.95477456696375</v>
      </c>
      <c r="U102" s="718">
        <f t="shared" si="50"/>
        <v>164.95477456696375</v>
      </c>
      <c r="V102" s="718">
        <f t="shared" si="50"/>
        <v>164.95477456696375</v>
      </c>
      <c r="W102" s="718">
        <f t="shared" si="50"/>
        <v>164.95477456696375</v>
      </c>
      <c r="X102" s="718">
        <f t="shared" si="50"/>
        <v>164.95476418517276</v>
      </c>
      <c r="Y102" s="718">
        <f t="shared" si="50"/>
        <v>164.9547541978898</v>
      </c>
      <c r="Z102" s="718">
        <f t="shared" si="50"/>
        <v>164.9547445901236</v>
      </c>
      <c r="AA102" s="718">
        <f t="shared" si="50"/>
        <v>164.9547353474525</v>
      </c>
      <c r="AB102" s="718">
        <f t="shared" si="50"/>
        <v>164.95472645600293</v>
      </c>
      <c r="AC102" s="718">
        <f t="shared" si="50"/>
        <v>164.9547179024284</v>
      </c>
      <c r="AD102" s="718">
        <f t="shared" si="50"/>
        <v>164.95470967388974</v>
      </c>
      <c r="AE102" s="718">
        <f t="shared" si="50"/>
        <v>164.95470175803555</v>
      </c>
      <c r="AF102" s="718">
        <f t="shared" si="50"/>
        <v>164.95469414298375</v>
      </c>
      <c r="AG102" s="718">
        <f t="shared" si="50"/>
        <v>164.95468681730404</v>
      </c>
      <c r="AH102" s="718">
        <f t="shared" si="50"/>
        <v>164.95467977000004</v>
      </c>
      <c r="AI102" s="132"/>
      <c r="AJ102" s="133"/>
    </row>
    <row r="103" spans="1:36" s="134" customFormat="1">
      <c r="A103" s="37" t="s">
        <v>719</v>
      </c>
      <c r="B103" s="83"/>
      <c r="C103" s="131"/>
      <c r="D103" s="131"/>
      <c r="E103" s="153">
        <f t="shared" ref="E103:AH103" si="51">(E84/100*$C$84)+(E85/100*$C$85)+(E86/100*$C$86)+(E87/100*$C$87)+(E88/100*$C$88)+(E89/100*$C$89)+(E90/100*$C$90)+(E91/100*$C$91)+(E92/100*$C$92)+(E93/100*$C$93)+(E94/100*$C$94)+(E95/100*$C$95)+(E96/100*$C$96)+(E97/100*$C$97)+(E99/100*$C$99*E14/1000)+(E100/100*$C$100*E14/1000)+(E101/100*$C$101*E14/1000)</f>
        <v>143.30690334425282</v>
      </c>
      <c r="F103" s="153">
        <f t="shared" si="51"/>
        <v>143.4383388206831</v>
      </c>
      <c r="G103" s="153">
        <f t="shared" si="51"/>
        <v>143.40896016152348</v>
      </c>
      <c r="H103" s="153">
        <f t="shared" si="51"/>
        <v>143.37958150236378</v>
      </c>
      <c r="I103" s="153">
        <f t="shared" si="51"/>
        <v>143.35020284320413</v>
      </c>
      <c r="J103" s="153">
        <f t="shared" si="51"/>
        <v>143.35020284320413</v>
      </c>
      <c r="K103" s="153">
        <f t="shared" si="51"/>
        <v>143.35020284320413</v>
      </c>
      <c r="L103" s="153">
        <f t="shared" si="51"/>
        <v>143.35020284320413</v>
      </c>
      <c r="M103" s="153">
        <f t="shared" si="51"/>
        <v>143.35020284320413</v>
      </c>
      <c r="N103" s="153">
        <f t="shared" si="51"/>
        <v>143.35020284320413</v>
      </c>
      <c r="O103" s="153">
        <f t="shared" si="51"/>
        <v>143.35020284320413</v>
      </c>
      <c r="P103" s="153">
        <f t="shared" si="51"/>
        <v>143.35020284320413</v>
      </c>
      <c r="Q103" s="153">
        <f t="shared" si="51"/>
        <v>143.35020284320413</v>
      </c>
      <c r="R103" s="153">
        <f t="shared" si="51"/>
        <v>143.35020284320413</v>
      </c>
      <c r="S103" s="153">
        <f t="shared" si="51"/>
        <v>143.35020284320413</v>
      </c>
      <c r="T103" s="153">
        <f t="shared" si="51"/>
        <v>143.35020284320413</v>
      </c>
      <c r="U103" s="153">
        <f t="shared" si="51"/>
        <v>143.35020284320413</v>
      </c>
      <c r="V103" s="153">
        <f t="shared" si="51"/>
        <v>143.35020284320413</v>
      </c>
      <c r="W103" s="153">
        <f t="shared" si="51"/>
        <v>143.35020284320413</v>
      </c>
      <c r="X103" s="153">
        <f t="shared" si="51"/>
        <v>143.35019202320305</v>
      </c>
      <c r="Y103" s="153">
        <f t="shared" si="51"/>
        <v>143.35018161436201</v>
      </c>
      <c r="Z103" s="153">
        <f t="shared" si="51"/>
        <v>143.35017160105696</v>
      </c>
      <c r="AA103" s="153">
        <f t="shared" si="51"/>
        <v>143.35016196825748</v>
      </c>
      <c r="AB103" s="153">
        <f t="shared" si="51"/>
        <v>143.35015270150441</v>
      </c>
      <c r="AC103" s="153">
        <f t="shared" si="51"/>
        <v>143.35014378688791</v>
      </c>
      <c r="AD103" s="153">
        <f t="shared" si="51"/>
        <v>143.3501352110269</v>
      </c>
      <c r="AE103" s="153">
        <f t="shared" si="51"/>
        <v>143.35012696104857</v>
      </c>
      <c r="AF103" s="153">
        <f t="shared" si="51"/>
        <v>143.35011902456944</v>
      </c>
      <c r="AG103" s="153">
        <f t="shared" si="51"/>
        <v>143.35011138967647</v>
      </c>
      <c r="AH103" s="153">
        <f t="shared" si="51"/>
        <v>143.35010404490944</v>
      </c>
      <c r="AI103" s="132"/>
      <c r="AJ103" s="133"/>
    </row>
    <row r="104" spans="1:36" s="134" customFormat="1">
      <c r="A104" s="37" t="s">
        <v>720</v>
      </c>
      <c r="B104" s="131"/>
      <c r="C104" s="131"/>
      <c r="D104" s="131"/>
      <c r="E104" s="153">
        <f t="shared" ref="E104:AH104" si="52">(E84/100*$D$84)+(E85/100*$D$85)+(E86/100*$D$86)+(E87/100*$D$87)+(E88/100*$D$88)+(E89/100*$D$89)+(E90/100*$D$90)+(E91/100*$D$91)+(E92/100*$D$92)+(E93/100*$D$93)+(E94/100*$D$94)+(E95/100*$D$95)+(E96/100*$D$96)+(E97/100*$D$97)+(E99/100*$D$99*E14/1000)+(E100/100*$D$100*E14/1000)+(E101/100*$D$101*E14/1000)</f>
        <v>223.42022663483621</v>
      </c>
      <c r="F104" s="153">
        <f t="shared" si="52"/>
        <v>223.62545458368811</v>
      </c>
      <c r="G104" s="153">
        <f t="shared" si="52"/>
        <v>223.57956161741589</v>
      </c>
      <c r="H104" s="153">
        <f t="shared" si="52"/>
        <v>223.53366865114353</v>
      </c>
      <c r="I104" s="153">
        <f t="shared" si="52"/>
        <v>223.48777568487125</v>
      </c>
      <c r="J104" s="153">
        <f t="shared" si="52"/>
        <v>223.48777568487125</v>
      </c>
      <c r="K104" s="153">
        <f t="shared" si="52"/>
        <v>223.48777568487125</v>
      </c>
      <c r="L104" s="153">
        <f t="shared" si="52"/>
        <v>223.48777568487125</v>
      </c>
      <c r="M104" s="153">
        <f t="shared" si="52"/>
        <v>223.48777568487125</v>
      </c>
      <c r="N104" s="153">
        <f t="shared" si="52"/>
        <v>223.48777568487125</v>
      </c>
      <c r="O104" s="153">
        <f t="shared" si="52"/>
        <v>223.48777568487125</v>
      </c>
      <c r="P104" s="153">
        <f t="shared" si="52"/>
        <v>223.48777568487125</v>
      </c>
      <c r="Q104" s="153">
        <f t="shared" si="52"/>
        <v>223.48777568487125</v>
      </c>
      <c r="R104" s="153">
        <f t="shared" si="52"/>
        <v>223.48777568487125</v>
      </c>
      <c r="S104" s="153">
        <f t="shared" si="52"/>
        <v>223.48777568487125</v>
      </c>
      <c r="T104" s="153">
        <f t="shared" si="52"/>
        <v>223.48777568487125</v>
      </c>
      <c r="U104" s="153">
        <f t="shared" si="52"/>
        <v>223.48777568487125</v>
      </c>
      <c r="V104" s="153">
        <f t="shared" si="52"/>
        <v>223.48777568487125</v>
      </c>
      <c r="W104" s="153">
        <f t="shared" si="52"/>
        <v>223.48777568487125</v>
      </c>
      <c r="X104" s="153">
        <f t="shared" si="52"/>
        <v>223.48776648787035</v>
      </c>
      <c r="Y104" s="153">
        <f t="shared" si="52"/>
        <v>223.48775764035545</v>
      </c>
      <c r="Z104" s="153">
        <f t="shared" si="52"/>
        <v>223.48774912904619</v>
      </c>
      <c r="AA104" s="153">
        <f t="shared" si="52"/>
        <v>223.48774094116663</v>
      </c>
      <c r="AB104" s="153">
        <f t="shared" si="52"/>
        <v>223.48773306442649</v>
      </c>
      <c r="AC104" s="153">
        <f t="shared" si="52"/>
        <v>223.48772548700251</v>
      </c>
      <c r="AD104" s="153">
        <f t="shared" si="52"/>
        <v>223.48771819752062</v>
      </c>
      <c r="AE104" s="153">
        <f t="shared" si="52"/>
        <v>223.48771118503902</v>
      </c>
      <c r="AF104" s="153">
        <f t="shared" si="52"/>
        <v>223.48770443903175</v>
      </c>
      <c r="AG104" s="153">
        <f t="shared" si="52"/>
        <v>223.48769794937277</v>
      </c>
      <c r="AH104" s="153">
        <f t="shared" si="52"/>
        <v>223.48769170632079</v>
      </c>
      <c r="AI104" s="132"/>
      <c r="AJ104" s="133"/>
    </row>
    <row r="105" spans="1:36" s="134" customFormat="1">
      <c r="A105" s="238"/>
      <c r="B105" s="252" t="s">
        <v>452</v>
      </c>
      <c r="C105" s="131"/>
      <c r="D105" s="258"/>
      <c r="E105" s="727">
        <f>E99+E100+E101</f>
        <v>0.22</v>
      </c>
      <c r="F105" s="727">
        <f t="shared" ref="F105:I105" si="53">F99+F100+F101</f>
        <v>0.27999999999999997</v>
      </c>
      <c r="G105" s="727">
        <f t="shared" si="53"/>
        <v>0.3</v>
      </c>
      <c r="H105" s="727">
        <f t="shared" si="53"/>
        <v>0.31999999999999995</v>
      </c>
      <c r="I105" s="727">
        <f t="shared" si="53"/>
        <v>0.33999999999999997</v>
      </c>
      <c r="J105" s="720"/>
      <c r="K105" s="720"/>
      <c r="L105" s="720"/>
      <c r="M105" s="720"/>
      <c r="N105" s="720"/>
      <c r="O105" s="720"/>
      <c r="P105" s="720"/>
      <c r="Q105" s="720"/>
      <c r="R105" s="720"/>
      <c r="S105" s="720"/>
      <c r="T105" s="720"/>
      <c r="U105" s="720"/>
      <c r="V105" s="720"/>
      <c r="W105" s="720"/>
      <c r="X105" s="720"/>
      <c r="Y105" s="720"/>
      <c r="Z105" s="720"/>
      <c r="AA105" s="720"/>
      <c r="AB105" s="720"/>
      <c r="AC105" s="720"/>
      <c r="AD105" s="720"/>
      <c r="AE105" s="720"/>
      <c r="AF105" s="720"/>
      <c r="AG105" s="720"/>
      <c r="AH105" s="720"/>
      <c r="AI105" s="132"/>
      <c r="AJ105" s="133"/>
    </row>
    <row r="106" spans="1:36" s="134" customFormat="1">
      <c r="A106" s="43" t="s">
        <v>456</v>
      </c>
      <c r="B106" s="253" t="s">
        <v>200</v>
      </c>
      <c r="C106" s="756" t="s">
        <v>195</v>
      </c>
      <c r="D106" s="778"/>
      <c r="E106" s="186" t="s">
        <v>728</v>
      </c>
      <c r="F106" s="238"/>
      <c r="G106" s="131"/>
      <c r="H106" s="131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  <c r="X106" s="131"/>
      <c r="Y106" s="131"/>
      <c r="Z106" s="131"/>
      <c r="AA106" s="131"/>
      <c r="AB106" s="131"/>
      <c r="AC106" s="131"/>
      <c r="AD106" s="131"/>
      <c r="AE106" s="131"/>
      <c r="AF106" s="131"/>
      <c r="AG106" s="131"/>
      <c r="AH106" s="131"/>
      <c r="AI106" s="132"/>
      <c r="AJ106" s="133"/>
    </row>
    <row r="107" spans="1:36" s="134" customFormat="1">
      <c r="A107" s="27" t="s">
        <v>202</v>
      </c>
      <c r="B107" s="252" t="s">
        <v>201</v>
      </c>
      <c r="C107" s="240" t="s">
        <v>584</v>
      </c>
      <c r="D107" s="69" t="s">
        <v>583</v>
      </c>
      <c r="E107" s="236">
        <v>2021</v>
      </c>
      <c r="F107" s="236">
        <f t="shared" ref="F107:AH107" si="54">E107+1</f>
        <v>2022</v>
      </c>
      <c r="G107" s="236">
        <f t="shared" si="54"/>
        <v>2023</v>
      </c>
      <c r="H107" s="236">
        <f t="shared" si="54"/>
        <v>2024</v>
      </c>
      <c r="I107" s="236">
        <f t="shared" si="54"/>
        <v>2025</v>
      </c>
      <c r="J107" s="236">
        <f t="shared" si="54"/>
        <v>2026</v>
      </c>
      <c r="K107" s="236">
        <f t="shared" si="54"/>
        <v>2027</v>
      </c>
      <c r="L107" s="236">
        <f t="shared" si="54"/>
        <v>2028</v>
      </c>
      <c r="M107" s="236">
        <f t="shared" si="54"/>
        <v>2029</v>
      </c>
      <c r="N107" s="236">
        <f t="shared" si="54"/>
        <v>2030</v>
      </c>
      <c r="O107" s="236">
        <f t="shared" si="54"/>
        <v>2031</v>
      </c>
      <c r="P107" s="236">
        <f t="shared" si="54"/>
        <v>2032</v>
      </c>
      <c r="Q107" s="236">
        <f t="shared" si="54"/>
        <v>2033</v>
      </c>
      <c r="R107" s="236">
        <f t="shared" si="54"/>
        <v>2034</v>
      </c>
      <c r="S107" s="236">
        <f t="shared" si="54"/>
        <v>2035</v>
      </c>
      <c r="T107" s="236">
        <f t="shared" si="54"/>
        <v>2036</v>
      </c>
      <c r="U107" s="236">
        <f t="shared" si="54"/>
        <v>2037</v>
      </c>
      <c r="V107" s="236">
        <f t="shared" si="54"/>
        <v>2038</v>
      </c>
      <c r="W107" s="236">
        <f t="shared" si="54"/>
        <v>2039</v>
      </c>
      <c r="X107" s="236">
        <f t="shared" si="54"/>
        <v>2040</v>
      </c>
      <c r="Y107" s="236">
        <f t="shared" si="54"/>
        <v>2041</v>
      </c>
      <c r="Z107" s="236">
        <f t="shared" si="54"/>
        <v>2042</v>
      </c>
      <c r="AA107" s="236">
        <f t="shared" si="54"/>
        <v>2043</v>
      </c>
      <c r="AB107" s="236">
        <f t="shared" si="54"/>
        <v>2044</v>
      </c>
      <c r="AC107" s="236">
        <f t="shared" si="54"/>
        <v>2045</v>
      </c>
      <c r="AD107" s="236">
        <f t="shared" si="54"/>
        <v>2046</v>
      </c>
      <c r="AE107" s="236">
        <f t="shared" si="54"/>
        <v>2047</v>
      </c>
      <c r="AF107" s="236">
        <f t="shared" si="54"/>
        <v>2048</v>
      </c>
      <c r="AG107" s="236">
        <f t="shared" si="54"/>
        <v>2049</v>
      </c>
      <c r="AH107" s="236">
        <f t="shared" si="54"/>
        <v>2050</v>
      </c>
      <c r="AI107" s="132"/>
      <c r="AJ107" s="133"/>
    </row>
    <row r="108" spans="1:36" s="134" customFormat="1">
      <c r="A108" s="403" t="str">
        <f>A59</f>
        <v>CITY</v>
      </c>
      <c r="B108" s="153">
        <f>'USER INPUTS'!B9/100*'LOCAL DATASET INPUTS'!$E$79</f>
        <v>89.700418125242422</v>
      </c>
      <c r="C108" s="100">
        <f>100-D108</f>
        <v>0</v>
      </c>
      <c r="D108" s="192">
        <v>100</v>
      </c>
      <c r="E108" s="153">
        <f>($C$108/100*E$103)+($D$108/100*E$104)</f>
        <v>223.42022663483621</v>
      </c>
      <c r="F108" s="153">
        <f t="shared" ref="F108:AH108" si="55">($C$108/100*F$103)+($D$108/100*F$104)</f>
        <v>223.62545458368811</v>
      </c>
      <c r="G108" s="153">
        <f t="shared" si="55"/>
        <v>223.57956161741589</v>
      </c>
      <c r="H108" s="153">
        <f t="shared" si="55"/>
        <v>223.53366865114353</v>
      </c>
      <c r="I108" s="153">
        <f t="shared" si="55"/>
        <v>223.48777568487125</v>
      </c>
      <c r="J108" s="153">
        <f t="shared" si="55"/>
        <v>223.48777568487125</v>
      </c>
      <c r="K108" s="153">
        <f t="shared" si="55"/>
        <v>223.48777568487125</v>
      </c>
      <c r="L108" s="153">
        <f t="shared" si="55"/>
        <v>223.48777568487125</v>
      </c>
      <c r="M108" s="153">
        <f t="shared" si="55"/>
        <v>223.48777568487125</v>
      </c>
      <c r="N108" s="153">
        <f t="shared" si="55"/>
        <v>223.48777568487125</v>
      </c>
      <c r="O108" s="153">
        <f t="shared" si="55"/>
        <v>223.48777568487125</v>
      </c>
      <c r="P108" s="153">
        <f t="shared" si="55"/>
        <v>223.48777568487125</v>
      </c>
      <c r="Q108" s="153">
        <f t="shared" si="55"/>
        <v>223.48777568487125</v>
      </c>
      <c r="R108" s="153">
        <f t="shared" si="55"/>
        <v>223.48777568487125</v>
      </c>
      <c r="S108" s="153">
        <f t="shared" si="55"/>
        <v>223.48777568487125</v>
      </c>
      <c r="T108" s="153">
        <f t="shared" si="55"/>
        <v>223.48777568487125</v>
      </c>
      <c r="U108" s="153">
        <f t="shared" si="55"/>
        <v>223.48777568487125</v>
      </c>
      <c r="V108" s="153">
        <f t="shared" si="55"/>
        <v>223.48777568487125</v>
      </c>
      <c r="W108" s="153">
        <f t="shared" si="55"/>
        <v>223.48777568487125</v>
      </c>
      <c r="X108" s="153">
        <f t="shared" si="55"/>
        <v>223.48776648787035</v>
      </c>
      <c r="Y108" s="153">
        <f t="shared" si="55"/>
        <v>223.48775764035545</v>
      </c>
      <c r="Z108" s="153">
        <f t="shared" si="55"/>
        <v>223.48774912904619</v>
      </c>
      <c r="AA108" s="153">
        <f t="shared" si="55"/>
        <v>223.48774094116663</v>
      </c>
      <c r="AB108" s="153">
        <f t="shared" si="55"/>
        <v>223.48773306442649</v>
      </c>
      <c r="AC108" s="153">
        <f t="shared" si="55"/>
        <v>223.48772548700251</v>
      </c>
      <c r="AD108" s="153">
        <f t="shared" si="55"/>
        <v>223.48771819752062</v>
      </c>
      <c r="AE108" s="153">
        <f t="shared" si="55"/>
        <v>223.48771118503902</v>
      </c>
      <c r="AF108" s="153">
        <f t="shared" si="55"/>
        <v>223.48770443903175</v>
      </c>
      <c r="AG108" s="153">
        <f t="shared" si="55"/>
        <v>223.48769794937277</v>
      </c>
      <c r="AH108" s="153">
        <f t="shared" si="55"/>
        <v>223.48769170632079</v>
      </c>
      <c r="AI108" s="132"/>
      <c r="AJ108" s="133"/>
    </row>
    <row r="109" spans="1:36" s="134" customFormat="1">
      <c r="A109" s="403" t="str">
        <f>A60</f>
        <v>TOWN</v>
      </c>
      <c r="B109" s="153">
        <f>'USER INPUTS'!B10/100*'LOCAL DATASET INPUTS'!$E$79</f>
        <v>0</v>
      </c>
      <c r="C109" s="100">
        <f>100-D109</f>
        <v>20</v>
      </c>
      <c r="D109" s="192">
        <v>80</v>
      </c>
      <c r="E109" s="153">
        <f>($C$109/100*E$103)+($D$109/100*E$104)</f>
        <v>207.39756197671954</v>
      </c>
      <c r="F109" s="153">
        <f t="shared" ref="F109:AH109" si="56">($C$109/100*F$103)+($D$109/100*F$104)</f>
        <v>207.58803143108713</v>
      </c>
      <c r="G109" s="153">
        <f t="shared" si="56"/>
        <v>207.54544132623744</v>
      </c>
      <c r="H109" s="153">
        <f t="shared" si="56"/>
        <v>207.50285122138757</v>
      </c>
      <c r="I109" s="153">
        <f t="shared" si="56"/>
        <v>207.46026111653782</v>
      </c>
      <c r="J109" s="153">
        <f t="shared" si="56"/>
        <v>207.46026111653782</v>
      </c>
      <c r="K109" s="153">
        <f t="shared" si="56"/>
        <v>207.46026111653782</v>
      </c>
      <c r="L109" s="153">
        <f t="shared" si="56"/>
        <v>207.46026111653782</v>
      </c>
      <c r="M109" s="153">
        <f t="shared" si="56"/>
        <v>207.46026111653782</v>
      </c>
      <c r="N109" s="153">
        <f t="shared" si="56"/>
        <v>207.46026111653782</v>
      </c>
      <c r="O109" s="153">
        <f t="shared" si="56"/>
        <v>207.46026111653782</v>
      </c>
      <c r="P109" s="153">
        <f t="shared" si="56"/>
        <v>207.46026111653782</v>
      </c>
      <c r="Q109" s="153">
        <f t="shared" si="56"/>
        <v>207.46026111653782</v>
      </c>
      <c r="R109" s="153">
        <f t="shared" si="56"/>
        <v>207.46026111653782</v>
      </c>
      <c r="S109" s="153">
        <f t="shared" si="56"/>
        <v>207.46026111653782</v>
      </c>
      <c r="T109" s="153">
        <f t="shared" si="56"/>
        <v>207.46026111653782</v>
      </c>
      <c r="U109" s="153">
        <f t="shared" si="56"/>
        <v>207.46026111653782</v>
      </c>
      <c r="V109" s="153">
        <f t="shared" si="56"/>
        <v>207.46026111653782</v>
      </c>
      <c r="W109" s="153">
        <f t="shared" si="56"/>
        <v>207.46026111653782</v>
      </c>
      <c r="X109" s="153">
        <f t="shared" si="56"/>
        <v>207.46025159493692</v>
      </c>
      <c r="Y109" s="153">
        <f t="shared" si="56"/>
        <v>207.46024243515677</v>
      </c>
      <c r="Z109" s="153">
        <f t="shared" si="56"/>
        <v>207.46023362344835</v>
      </c>
      <c r="AA109" s="153">
        <f t="shared" si="56"/>
        <v>207.4602251465848</v>
      </c>
      <c r="AB109" s="153">
        <f t="shared" si="56"/>
        <v>207.46021699184212</v>
      </c>
      <c r="AC109" s="153">
        <f t="shared" si="56"/>
        <v>207.46020914697962</v>
      </c>
      <c r="AD109" s="153">
        <f t="shared" si="56"/>
        <v>207.46020160022189</v>
      </c>
      <c r="AE109" s="153">
        <f t="shared" si="56"/>
        <v>207.46019434024095</v>
      </c>
      <c r="AF109" s="153">
        <f t="shared" si="56"/>
        <v>207.4601873561393</v>
      </c>
      <c r="AG109" s="153">
        <f t="shared" si="56"/>
        <v>207.46018063743352</v>
      </c>
      <c r="AH109" s="153">
        <f t="shared" si="56"/>
        <v>207.46017417403854</v>
      </c>
      <c r="AI109" s="132"/>
      <c r="AJ109" s="133"/>
    </row>
    <row r="110" spans="1:36" s="134" customFormat="1">
      <c r="A110" s="403" t="str">
        <f>A61</f>
        <v>SUBURBAN</v>
      </c>
      <c r="B110" s="153">
        <f>'USER INPUTS'!B11/100*'LOCAL DATASET INPUTS'!$E$79</f>
        <v>0</v>
      </c>
      <c r="C110" s="100">
        <f>100-D110</f>
        <v>70</v>
      </c>
      <c r="D110" s="192">
        <v>30</v>
      </c>
      <c r="E110" s="153">
        <f>($C$110/100*E$103)+($D$110/100*E$104)</f>
        <v>167.3409003314278</v>
      </c>
      <c r="F110" s="153">
        <f t="shared" ref="F110:AH110" si="57">($C$110/100*F$103)+($D$110/100*F$104)</f>
        <v>167.4944735495846</v>
      </c>
      <c r="G110" s="153">
        <f t="shared" si="57"/>
        <v>167.46014059829119</v>
      </c>
      <c r="H110" s="153">
        <f t="shared" si="57"/>
        <v>167.4258076469977</v>
      </c>
      <c r="I110" s="153">
        <f t="shared" si="57"/>
        <v>167.39147469570423</v>
      </c>
      <c r="J110" s="153">
        <f t="shared" si="57"/>
        <v>167.39147469570423</v>
      </c>
      <c r="K110" s="153">
        <f t="shared" si="57"/>
        <v>167.39147469570423</v>
      </c>
      <c r="L110" s="153">
        <f t="shared" si="57"/>
        <v>167.39147469570423</v>
      </c>
      <c r="M110" s="153">
        <f t="shared" si="57"/>
        <v>167.39147469570423</v>
      </c>
      <c r="N110" s="153">
        <f t="shared" si="57"/>
        <v>167.39147469570423</v>
      </c>
      <c r="O110" s="153">
        <f t="shared" si="57"/>
        <v>167.39147469570423</v>
      </c>
      <c r="P110" s="153">
        <f t="shared" si="57"/>
        <v>167.39147469570423</v>
      </c>
      <c r="Q110" s="153">
        <f t="shared" si="57"/>
        <v>167.39147469570423</v>
      </c>
      <c r="R110" s="153">
        <f t="shared" si="57"/>
        <v>167.39147469570423</v>
      </c>
      <c r="S110" s="153">
        <f t="shared" si="57"/>
        <v>167.39147469570423</v>
      </c>
      <c r="T110" s="153">
        <f t="shared" si="57"/>
        <v>167.39147469570423</v>
      </c>
      <c r="U110" s="153">
        <f t="shared" si="57"/>
        <v>167.39147469570423</v>
      </c>
      <c r="V110" s="153">
        <f t="shared" si="57"/>
        <v>167.39147469570423</v>
      </c>
      <c r="W110" s="153">
        <f t="shared" si="57"/>
        <v>167.39147469570423</v>
      </c>
      <c r="X110" s="153">
        <f t="shared" si="57"/>
        <v>167.39146436260324</v>
      </c>
      <c r="Y110" s="153">
        <f t="shared" si="57"/>
        <v>167.39145442216005</v>
      </c>
      <c r="Z110" s="153">
        <f t="shared" si="57"/>
        <v>167.39144485945371</v>
      </c>
      <c r="AA110" s="153">
        <f t="shared" si="57"/>
        <v>167.39143566013024</v>
      </c>
      <c r="AB110" s="153">
        <f t="shared" si="57"/>
        <v>167.39142681038101</v>
      </c>
      <c r="AC110" s="153">
        <f t="shared" si="57"/>
        <v>167.39141829692227</v>
      </c>
      <c r="AD110" s="153">
        <f t="shared" si="57"/>
        <v>167.391410106975</v>
      </c>
      <c r="AE110" s="153">
        <f t="shared" si="57"/>
        <v>167.39140222824568</v>
      </c>
      <c r="AF110" s="153">
        <f t="shared" si="57"/>
        <v>167.39139464890812</v>
      </c>
      <c r="AG110" s="153">
        <f t="shared" si="57"/>
        <v>167.39138735758536</v>
      </c>
      <c r="AH110" s="153">
        <f t="shared" si="57"/>
        <v>167.39138034333286</v>
      </c>
      <c r="AI110" s="132"/>
      <c r="AJ110" s="133"/>
    </row>
    <row r="111" spans="1:36" s="134" customFormat="1">
      <c r="A111" s="403" t="str">
        <f>A62</f>
        <v xml:space="preserve">RURAL </v>
      </c>
      <c r="B111" s="153">
        <f>'USER INPUTS'!B12/100*'LOCAL DATASET INPUTS'!$E$79</f>
        <v>0</v>
      </c>
      <c r="C111" s="100">
        <f>100-D111</f>
        <v>100</v>
      </c>
      <c r="D111" s="192">
        <v>0</v>
      </c>
      <c r="E111" s="153">
        <f>($C$111/100*E$103)+($D$111/100*E$104)</f>
        <v>143.30690334425282</v>
      </c>
      <c r="F111" s="153">
        <f t="shared" ref="F111:AH111" si="58">($C$111/100*F$103)+($D$111/100*F$104)</f>
        <v>143.4383388206831</v>
      </c>
      <c r="G111" s="153">
        <f t="shared" si="58"/>
        <v>143.40896016152348</v>
      </c>
      <c r="H111" s="153">
        <f t="shared" si="58"/>
        <v>143.37958150236378</v>
      </c>
      <c r="I111" s="153">
        <f t="shared" si="58"/>
        <v>143.35020284320413</v>
      </c>
      <c r="J111" s="153">
        <f t="shared" si="58"/>
        <v>143.35020284320413</v>
      </c>
      <c r="K111" s="153">
        <f t="shared" si="58"/>
        <v>143.35020284320413</v>
      </c>
      <c r="L111" s="153">
        <f t="shared" si="58"/>
        <v>143.35020284320413</v>
      </c>
      <c r="M111" s="153">
        <f t="shared" si="58"/>
        <v>143.35020284320413</v>
      </c>
      <c r="N111" s="153">
        <f t="shared" si="58"/>
        <v>143.35020284320413</v>
      </c>
      <c r="O111" s="153">
        <f t="shared" si="58"/>
        <v>143.35020284320413</v>
      </c>
      <c r="P111" s="153">
        <f t="shared" si="58"/>
        <v>143.35020284320413</v>
      </c>
      <c r="Q111" s="153">
        <f t="shared" si="58"/>
        <v>143.35020284320413</v>
      </c>
      <c r="R111" s="153">
        <f t="shared" si="58"/>
        <v>143.35020284320413</v>
      </c>
      <c r="S111" s="153">
        <f t="shared" si="58"/>
        <v>143.35020284320413</v>
      </c>
      <c r="T111" s="153">
        <f t="shared" si="58"/>
        <v>143.35020284320413</v>
      </c>
      <c r="U111" s="153">
        <f t="shared" si="58"/>
        <v>143.35020284320413</v>
      </c>
      <c r="V111" s="153">
        <f t="shared" si="58"/>
        <v>143.35020284320413</v>
      </c>
      <c r="W111" s="153">
        <f t="shared" si="58"/>
        <v>143.35020284320413</v>
      </c>
      <c r="X111" s="153">
        <f t="shared" si="58"/>
        <v>143.35019202320305</v>
      </c>
      <c r="Y111" s="153">
        <f t="shared" si="58"/>
        <v>143.35018161436201</v>
      </c>
      <c r="Z111" s="153">
        <f t="shared" si="58"/>
        <v>143.35017160105696</v>
      </c>
      <c r="AA111" s="153">
        <f t="shared" si="58"/>
        <v>143.35016196825748</v>
      </c>
      <c r="AB111" s="153">
        <f t="shared" si="58"/>
        <v>143.35015270150441</v>
      </c>
      <c r="AC111" s="153">
        <f t="shared" si="58"/>
        <v>143.35014378688791</v>
      </c>
      <c r="AD111" s="153">
        <f t="shared" si="58"/>
        <v>143.3501352110269</v>
      </c>
      <c r="AE111" s="153">
        <f t="shared" si="58"/>
        <v>143.35012696104857</v>
      </c>
      <c r="AF111" s="153">
        <f t="shared" si="58"/>
        <v>143.35011902456944</v>
      </c>
      <c r="AG111" s="153">
        <f t="shared" si="58"/>
        <v>143.35011138967647</v>
      </c>
      <c r="AH111" s="153">
        <f t="shared" si="58"/>
        <v>143.35010404490944</v>
      </c>
      <c r="AI111" s="132"/>
      <c r="AJ111" s="133"/>
    </row>
    <row r="112" spans="1:36" s="134" customFormat="1">
      <c r="A112" s="130"/>
      <c r="B112" s="241"/>
      <c r="C112" s="130"/>
      <c r="D112" s="241"/>
      <c r="E112" s="730"/>
      <c r="F112" s="730"/>
      <c r="G112" s="730"/>
      <c r="H112" s="730"/>
      <c r="I112" s="730"/>
      <c r="J112" s="730"/>
      <c r="K112" s="730"/>
      <c r="L112" s="730"/>
      <c r="M112" s="730"/>
      <c r="N112" s="730"/>
      <c r="O112" s="730"/>
      <c r="P112" s="730"/>
      <c r="Q112" s="730"/>
      <c r="R112" s="730"/>
      <c r="S112" s="730"/>
      <c r="T112" s="730"/>
      <c r="U112" s="730"/>
      <c r="V112" s="730"/>
      <c r="W112" s="730"/>
      <c r="X112" s="730"/>
      <c r="Y112" s="730"/>
      <c r="Z112" s="730"/>
      <c r="AA112" s="730"/>
      <c r="AB112" s="730"/>
      <c r="AC112" s="730"/>
      <c r="AD112" s="730"/>
      <c r="AE112" s="730"/>
      <c r="AF112" s="730"/>
      <c r="AG112" s="730"/>
      <c r="AH112" s="730"/>
      <c r="AI112" s="132"/>
      <c r="AJ112" s="133"/>
    </row>
    <row r="113" spans="1:36" s="134" customFormat="1">
      <c r="A113" s="461"/>
      <c r="B113" s="230"/>
      <c r="C113" s="460"/>
      <c r="D113" s="230"/>
      <c r="E113" s="731"/>
      <c r="F113" s="731"/>
      <c r="G113" s="731"/>
      <c r="H113" s="731"/>
      <c r="I113" s="731"/>
      <c r="J113" s="731"/>
      <c r="K113" s="731"/>
      <c r="L113" s="731"/>
      <c r="M113" s="731"/>
      <c r="N113" s="731"/>
      <c r="O113" s="731"/>
      <c r="P113" s="731"/>
      <c r="Q113" s="731"/>
      <c r="R113" s="731"/>
      <c r="S113" s="731"/>
      <c r="T113" s="731"/>
      <c r="U113" s="731"/>
      <c r="V113" s="731"/>
      <c r="W113" s="731"/>
      <c r="X113" s="731"/>
      <c r="Y113" s="731"/>
      <c r="Z113" s="731"/>
      <c r="AA113" s="731"/>
      <c r="AB113" s="731"/>
      <c r="AC113" s="731"/>
      <c r="AD113" s="731"/>
      <c r="AE113" s="731"/>
      <c r="AF113" s="731"/>
      <c r="AG113" s="731"/>
      <c r="AH113" s="731"/>
      <c r="AI113" s="132"/>
      <c r="AJ113" s="133"/>
    </row>
    <row r="114" spans="1:36" s="134" customFormat="1">
      <c r="A114" s="101" t="s">
        <v>204</v>
      </c>
      <c r="B114" s="167"/>
      <c r="C114" s="244" t="s">
        <v>676</v>
      </c>
      <c r="D114" s="68"/>
      <c r="E114" s="153">
        <f t="shared" ref="E114:AH114" si="59">($B$108/$B$115*E108)+($B$109/$B$115*E109)+($B$110/$B$115*E110)+($B$111/$B$115*E111)</f>
        <v>223.42022663483621</v>
      </c>
      <c r="F114" s="153">
        <f t="shared" si="59"/>
        <v>223.62545458368811</v>
      </c>
      <c r="G114" s="153">
        <f t="shared" si="59"/>
        <v>223.57956161741589</v>
      </c>
      <c r="H114" s="153">
        <f t="shared" si="59"/>
        <v>223.53366865114353</v>
      </c>
      <c r="I114" s="153">
        <f t="shared" si="59"/>
        <v>223.48777568487125</v>
      </c>
      <c r="J114" s="153">
        <f t="shared" si="59"/>
        <v>223.48777568487125</v>
      </c>
      <c r="K114" s="153">
        <f t="shared" si="59"/>
        <v>223.48777568487125</v>
      </c>
      <c r="L114" s="153">
        <f t="shared" si="59"/>
        <v>223.48777568487125</v>
      </c>
      <c r="M114" s="153">
        <f t="shared" si="59"/>
        <v>223.48777568487125</v>
      </c>
      <c r="N114" s="153">
        <f t="shared" si="59"/>
        <v>223.48777568487125</v>
      </c>
      <c r="O114" s="153">
        <f t="shared" si="59"/>
        <v>223.48777568487125</v>
      </c>
      <c r="P114" s="153">
        <f t="shared" si="59"/>
        <v>223.48777568487125</v>
      </c>
      <c r="Q114" s="153">
        <f t="shared" si="59"/>
        <v>223.48777568487125</v>
      </c>
      <c r="R114" s="153">
        <f t="shared" si="59"/>
        <v>223.48777568487125</v>
      </c>
      <c r="S114" s="153">
        <f t="shared" si="59"/>
        <v>223.48777568487125</v>
      </c>
      <c r="T114" s="153">
        <f t="shared" si="59"/>
        <v>223.48777568487125</v>
      </c>
      <c r="U114" s="153">
        <f t="shared" si="59"/>
        <v>223.48777568487125</v>
      </c>
      <c r="V114" s="153">
        <f t="shared" si="59"/>
        <v>223.48777568487125</v>
      </c>
      <c r="W114" s="153">
        <f t="shared" si="59"/>
        <v>223.48777568487125</v>
      </c>
      <c r="X114" s="153">
        <f t="shared" si="59"/>
        <v>223.48776648787035</v>
      </c>
      <c r="Y114" s="153">
        <f t="shared" si="59"/>
        <v>223.48775764035545</v>
      </c>
      <c r="Z114" s="153">
        <f t="shared" si="59"/>
        <v>223.48774912904619</v>
      </c>
      <c r="AA114" s="153">
        <f t="shared" si="59"/>
        <v>223.48774094116663</v>
      </c>
      <c r="AB114" s="153">
        <f t="shared" si="59"/>
        <v>223.48773306442649</v>
      </c>
      <c r="AC114" s="153">
        <f t="shared" si="59"/>
        <v>223.48772548700251</v>
      </c>
      <c r="AD114" s="153">
        <f t="shared" si="59"/>
        <v>223.48771819752062</v>
      </c>
      <c r="AE114" s="153">
        <f t="shared" si="59"/>
        <v>223.48771118503902</v>
      </c>
      <c r="AF114" s="153">
        <f t="shared" si="59"/>
        <v>223.48770443903175</v>
      </c>
      <c r="AG114" s="153">
        <f t="shared" si="59"/>
        <v>223.48769794937277</v>
      </c>
      <c r="AH114" s="153">
        <f t="shared" si="59"/>
        <v>223.48769170632079</v>
      </c>
      <c r="AI114" s="132"/>
      <c r="AJ114" s="133"/>
    </row>
    <row r="115" spans="1:36" s="134" customFormat="1">
      <c r="A115" s="27" t="s">
        <v>203</v>
      </c>
      <c r="B115" s="83">
        <f>SUM(B108:B111)</f>
        <v>89.700418125242422</v>
      </c>
      <c r="C115" s="131"/>
      <c r="D115" s="258"/>
      <c r="E115" s="242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  <c r="AA115" s="131"/>
      <c r="AB115" s="131"/>
      <c r="AC115" s="131"/>
      <c r="AD115" s="131"/>
      <c r="AE115" s="131"/>
      <c r="AF115" s="131"/>
      <c r="AG115" s="131"/>
      <c r="AH115" s="131"/>
      <c r="AI115" s="132"/>
      <c r="AJ115" s="133"/>
    </row>
    <row r="116" spans="1:36" s="134" customFormat="1">
      <c r="A116" s="27"/>
      <c r="B116" s="83"/>
      <c r="C116" s="131"/>
      <c r="D116" s="258"/>
      <c r="E116" s="242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1"/>
      <c r="AH116" s="131"/>
      <c r="AI116" s="132"/>
      <c r="AJ116" s="133"/>
    </row>
    <row r="117" spans="1:36" s="134" customFormat="1">
      <c r="A117" s="43"/>
      <c r="B117" s="238"/>
      <c r="C117" s="238"/>
      <c r="D117" s="258"/>
      <c r="E117" s="238"/>
      <c r="F117" s="131"/>
      <c r="G117" s="186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  <c r="AA117" s="131"/>
      <c r="AB117" s="131"/>
      <c r="AC117" s="131"/>
      <c r="AD117" s="131"/>
      <c r="AE117" s="131"/>
      <c r="AF117" s="131"/>
      <c r="AG117" s="131"/>
      <c r="AH117" s="131"/>
      <c r="AI117" s="132"/>
      <c r="AJ117" s="133"/>
    </row>
    <row r="118" spans="1:36" s="134" customFormat="1">
      <c r="A118" s="128" t="s">
        <v>457</v>
      </c>
      <c r="B118" s="245"/>
      <c r="C118" s="245"/>
      <c r="D118" s="251"/>
      <c r="E118" s="240">
        <v>2021</v>
      </c>
      <c r="F118" s="236">
        <f t="shared" ref="F118:AH118" si="60">E118+1</f>
        <v>2022</v>
      </c>
      <c r="G118" s="236">
        <f t="shared" si="60"/>
        <v>2023</v>
      </c>
      <c r="H118" s="236">
        <f t="shared" si="60"/>
        <v>2024</v>
      </c>
      <c r="I118" s="236">
        <f t="shared" si="60"/>
        <v>2025</v>
      </c>
      <c r="J118" s="236">
        <f t="shared" si="60"/>
        <v>2026</v>
      </c>
      <c r="K118" s="236">
        <f t="shared" si="60"/>
        <v>2027</v>
      </c>
      <c r="L118" s="236">
        <f t="shared" si="60"/>
        <v>2028</v>
      </c>
      <c r="M118" s="236">
        <f t="shared" si="60"/>
        <v>2029</v>
      </c>
      <c r="N118" s="236">
        <f t="shared" si="60"/>
        <v>2030</v>
      </c>
      <c r="O118" s="236">
        <f t="shared" si="60"/>
        <v>2031</v>
      </c>
      <c r="P118" s="236">
        <f t="shared" si="60"/>
        <v>2032</v>
      </c>
      <c r="Q118" s="236">
        <f t="shared" si="60"/>
        <v>2033</v>
      </c>
      <c r="R118" s="236">
        <f t="shared" si="60"/>
        <v>2034</v>
      </c>
      <c r="S118" s="236">
        <f t="shared" si="60"/>
        <v>2035</v>
      </c>
      <c r="T118" s="236">
        <f t="shared" si="60"/>
        <v>2036</v>
      </c>
      <c r="U118" s="236">
        <f t="shared" si="60"/>
        <v>2037</v>
      </c>
      <c r="V118" s="236">
        <f t="shared" si="60"/>
        <v>2038</v>
      </c>
      <c r="W118" s="236">
        <f t="shared" si="60"/>
        <v>2039</v>
      </c>
      <c r="X118" s="236">
        <f t="shared" si="60"/>
        <v>2040</v>
      </c>
      <c r="Y118" s="236">
        <f t="shared" si="60"/>
        <v>2041</v>
      </c>
      <c r="Z118" s="236">
        <f t="shared" si="60"/>
        <v>2042</v>
      </c>
      <c r="AA118" s="236">
        <f t="shared" si="60"/>
        <v>2043</v>
      </c>
      <c r="AB118" s="236">
        <f t="shared" si="60"/>
        <v>2044</v>
      </c>
      <c r="AC118" s="236">
        <f t="shared" si="60"/>
        <v>2045</v>
      </c>
      <c r="AD118" s="236">
        <f t="shared" si="60"/>
        <v>2046</v>
      </c>
      <c r="AE118" s="236">
        <f t="shared" si="60"/>
        <v>2047</v>
      </c>
      <c r="AF118" s="236">
        <f t="shared" si="60"/>
        <v>2048</v>
      </c>
      <c r="AG118" s="236">
        <f t="shared" si="60"/>
        <v>2049</v>
      </c>
      <c r="AH118" s="236">
        <f t="shared" si="60"/>
        <v>2050</v>
      </c>
      <c r="AI118" s="132"/>
      <c r="AJ118" s="133"/>
    </row>
    <row r="119" spans="1:36" s="134" customFormat="1">
      <c r="A119" s="244" t="s">
        <v>453</v>
      </c>
      <c r="B119" s="244" t="s">
        <v>676</v>
      </c>
      <c r="C119" s="238"/>
      <c r="D119" s="131"/>
      <c r="E119" s="729">
        <f>E114</f>
        <v>223.42022663483621</v>
      </c>
      <c r="F119" s="732">
        <f t="shared" ref="F119:AH119" si="61">F114</f>
        <v>223.62545458368811</v>
      </c>
      <c r="G119" s="733">
        <f t="shared" si="61"/>
        <v>223.57956161741589</v>
      </c>
      <c r="H119" s="733">
        <f t="shared" si="61"/>
        <v>223.53366865114353</v>
      </c>
      <c r="I119" s="733">
        <f t="shared" si="61"/>
        <v>223.48777568487125</v>
      </c>
      <c r="J119" s="733">
        <f t="shared" si="61"/>
        <v>223.48777568487125</v>
      </c>
      <c r="K119" s="733">
        <f t="shared" si="61"/>
        <v>223.48777568487125</v>
      </c>
      <c r="L119" s="733">
        <f t="shared" si="61"/>
        <v>223.48777568487125</v>
      </c>
      <c r="M119" s="733">
        <f t="shared" si="61"/>
        <v>223.48777568487125</v>
      </c>
      <c r="N119" s="733">
        <f t="shared" si="61"/>
        <v>223.48777568487125</v>
      </c>
      <c r="O119" s="733">
        <f t="shared" si="61"/>
        <v>223.48777568487125</v>
      </c>
      <c r="P119" s="733">
        <f t="shared" si="61"/>
        <v>223.48777568487125</v>
      </c>
      <c r="Q119" s="733">
        <f t="shared" si="61"/>
        <v>223.48777568487125</v>
      </c>
      <c r="R119" s="733">
        <f t="shared" si="61"/>
        <v>223.48777568487125</v>
      </c>
      <c r="S119" s="733">
        <f t="shared" si="61"/>
        <v>223.48777568487125</v>
      </c>
      <c r="T119" s="733">
        <f t="shared" si="61"/>
        <v>223.48777568487125</v>
      </c>
      <c r="U119" s="733">
        <f t="shared" si="61"/>
        <v>223.48777568487125</v>
      </c>
      <c r="V119" s="733">
        <f t="shared" si="61"/>
        <v>223.48777568487125</v>
      </c>
      <c r="W119" s="733">
        <f t="shared" si="61"/>
        <v>223.48777568487125</v>
      </c>
      <c r="X119" s="733">
        <f t="shared" si="61"/>
        <v>223.48776648787035</v>
      </c>
      <c r="Y119" s="733">
        <f t="shared" si="61"/>
        <v>223.48775764035545</v>
      </c>
      <c r="Z119" s="733">
        <f t="shared" si="61"/>
        <v>223.48774912904619</v>
      </c>
      <c r="AA119" s="733">
        <f t="shared" si="61"/>
        <v>223.48774094116663</v>
      </c>
      <c r="AB119" s="733">
        <f t="shared" si="61"/>
        <v>223.48773306442649</v>
      </c>
      <c r="AC119" s="733">
        <f t="shared" si="61"/>
        <v>223.48772548700251</v>
      </c>
      <c r="AD119" s="733">
        <f t="shared" si="61"/>
        <v>223.48771819752062</v>
      </c>
      <c r="AE119" s="733">
        <f t="shared" si="61"/>
        <v>223.48771118503902</v>
      </c>
      <c r="AF119" s="733">
        <f t="shared" si="61"/>
        <v>223.48770443903175</v>
      </c>
      <c r="AG119" s="733">
        <f t="shared" si="61"/>
        <v>223.48769794937277</v>
      </c>
      <c r="AH119" s="733">
        <f t="shared" si="61"/>
        <v>223.48769170632079</v>
      </c>
      <c r="AI119" s="132"/>
      <c r="AJ119" s="133"/>
    </row>
    <row r="120" spans="1:36" s="134" customFormat="1">
      <c r="A120" s="235" t="s">
        <v>452</v>
      </c>
      <c r="B120" s="235" t="s">
        <v>77</v>
      </c>
      <c r="C120" s="250"/>
      <c r="D120" s="246"/>
      <c r="E120" s="729">
        <f>E79</f>
        <v>89.700418125242422</v>
      </c>
      <c r="F120" s="729">
        <f t="shared" ref="F120:AH120" si="62">F79</f>
        <v>91.315025651496782</v>
      </c>
      <c r="G120" s="729">
        <f t="shared" si="62"/>
        <v>92.958696113223724</v>
      </c>
      <c r="H120" s="729">
        <f t="shared" si="62"/>
        <v>94.631952643261755</v>
      </c>
      <c r="I120" s="729">
        <f t="shared" si="62"/>
        <v>96.335327790840481</v>
      </c>
      <c r="J120" s="729">
        <f t="shared" si="62"/>
        <v>98.069363691075594</v>
      </c>
      <c r="K120" s="729">
        <f t="shared" si="62"/>
        <v>99.834612237514975</v>
      </c>
      <c r="L120" s="729">
        <f t="shared" si="62"/>
        <v>101.63163525779025</v>
      </c>
      <c r="M120" s="729">
        <f t="shared" si="62"/>
        <v>103.46100469243048</v>
      </c>
      <c r="N120" s="729">
        <f t="shared" si="62"/>
        <v>105.32330277689424</v>
      </c>
      <c r="O120" s="729">
        <f t="shared" si="62"/>
        <v>107.21912222687833</v>
      </c>
      <c r="P120" s="729">
        <f t="shared" si="62"/>
        <v>109.14906642696214</v>
      </c>
      <c r="Q120" s="729">
        <f t="shared" si="62"/>
        <v>111.11374962264746</v>
      </c>
      <c r="R120" s="729">
        <f t="shared" si="62"/>
        <v>113.11379711585512</v>
      </c>
      <c r="S120" s="729">
        <f t="shared" si="62"/>
        <v>115.14984546394051</v>
      </c>
      <c r="T120" s="729">
        <f t="shared" si="62"/>
        <v>117.22254268229143</v>
      </c>
      <c r="U120" s="729">
        <f t="shared" si="62"/>
        <v>119.33254845057269</v>
      </c>
      <c r="V120" s="729">
        <f t="shared" si="62"/>
        <v>121.480534322683</v>
      </c>
      <c r="W120" s="729">
        <f t="shared" si="62"/>
        <v>123.66718394049128</v>
      </c>
      <c r="X120" s="729">
        <f t="shared" si="62"/>
        <v>125.89319325142014</v>
      </c>
      <c r="Y120" s="729">
        <f t="shared" si="62"/>
        <v>128.15927072994572</v>
      </c>
      <c r="Z120" s="729">
        <f t="shared" si="62"/>
        <v>130.46613760308475</v>
      </c>
      <c r="AA120" s="729">
        <f t="shared" si="62"/>
        <v>132.81452807994029</v>
      </c>
      <c r="AB120" s="729">
        <f t="shared" si="62"/>
        <v>135.2051895853792</v>
      </c>
      <c r="AC120" s="729">
        <f t="shared" si="62"/>
        <v>137.63888299791606</v>
      </c>
      <c r="AD120" s="729">
        <f t="shared" si="62"/>
        <v>140.11638289187854</v>
      </c>
      <c r="AE120" s="729">
        <f t="shared" si="62"/>
        <v>142.63847778393236</v>
      </c>
      <c r="AF120" s="729">
        <f t="shared" si="62"/>
        <v>145.20597038404313</v>
      </c>
      <c r="AG120" s="729">
        <f t="shared" si="62"/>
        <v>147.81967785095591</v>
      </c>
      <c r="AH120" s="729">
        <f t="shared" si="62"/>
        <v>150.48043205227313</v>
      </c>
      <c r="AI120" s="132"/>
      <c r="AJ120" s="133"/>
    </row>
    <row r="121" spans="1:36" s="134" customFormat="1">
      <c r="A121" s="37" t="s">
        <v>205</v>
      </c>
      <c r="B121" s="244" t="s">
        <v>198</v>
      </c>
      <c r="C121" s="249"/>
      <c r="D121" s="258"/>
      <c r="E121" s="728">
        <f>E120*E119</f>
        <v>20040.887746781231</v>
      </c>
      <c r="F121" s="550">
        <f>F120*F119</f>
        <v>20420.364121637107</v>
      </c>
      <c r="G121" s="550">
        <f t="shared" ref="G121:AH121" si="63">G120*G119</f>
        <v>20783.664525521144</v>
      </c>
      <c r="H121" s="550">
        <f t="shared" si="63"/>
        <v>21153.427545969578</v>
      </c>
      <c r="I121" s="550">
        <f t="shared" si="63"/>
        <v>21529.768127847899</v>
      </c>
      <c r="J121" s="550">
        <f t="shared" si="63"/>
        <v>21917.30395414916</v>
      </c>
      <c r="K121" s="550">
        <f t="shared" si="63"/>
        <v>22311.81542532385</v>
      </c>
      <c r="L121" s="550">
        <f t="shared" si="63"/>
        <v>22713.42810297968</v>
      </c>
      <c r="M121" s="550">
        <f t="shared" si="63"/>
        <v>23122.269808833316</v>
      </c>
      <c r="N121" s="550">
        <f t="shared" si="63"/>
        <v>23538.470665392317</v>
      </c>
      <c r="O121" s="550">
        <f t="shared" si="63"/>
        <v>23962.163137369378</v>
      </c>
      <c r="P121" s="550">
        <f t="shared" si="63"/>
        <v>24393.482073842024</v>
      </c>
      <c r="Q121" s="550">
        <f t="shared" si="63"/>
        <v>24832.564751171183</v>
      </c>
      <c r="R121" s="550">
        <f t="shared" si="63"/>
        <v>25279.550916692267</v>
      </c>
      <c r="S121" s="550">
        <f t="shared" si="63"/>
        <v>25734.582833192726</v>
      </c>
      <c r="T121" s="550">
        <f t="shared" si="63"/>
        <v>26197.805324190194</v>
      </c>
      <c r="U121" s="550">
        <f t="shared" si="63"/>
        <v>26669.365820025618</v>
      </c>
      <c r="V121" s="550">
        <f t="shared" si="63"/>
        <v>27149.414404786083</v>
      </c>
      <c r="W121" s="550">
        <f t="shared" si="63"/>
        <v>27638.103864072229</v>
      </c>
      <c r="X121" s="550">
        <f t="shared" si="63"/>
        <v>28135.588575785721</v>
      </c>
      <c r="Y121" s="550">
        <f t="shared" si="63"/>
        <v>28642.028036258809</v>
      </c>
      <c r="Z121" s="550">
        <f t="shared" si="63"/>
        <v>29157.583430473824</v>
      </c>
      <c r="AA121" s="550">
        <f t="shared" si="63"/>
        <v>29682.418844752996</v>
      </c>
      <c r="AB121" s="550">
        <f t="shared" si="63"/>
        <v>30216.701318982403</v>
      </c>
      <c r="AC121" s="550">
        <f t="shared" si="63"/>
        <v>30760.60089977592</v>
      </c>
      <c r="AD121" s="550">
        <f t="shared" si="63"/>
        <v>31314.290694596053</v>
      </c>
      <c r="AE121" s="550">
        <f t="shared" si="63"/>
        <v>31877.946926849079</v>
      </c>
      <c r="AF121" s="550">
        <f t="shared" si="63"/>
        <v>32451.748991971828</v>
      </c>
      <c r="AG121" s="550">
        <f t="shared" si="63"/>
        <v>33035.879514528024</v>
      </c>
      <c r="AH121" s="550">
        <f t="shared" si="63"/>
        <v>33630.52440633237</v>
      </c>
      <c r="AI121" s="132"/>
      <c r="AJ121" s="133"/>
    </row>
    <row r="122" spans="1:36" ht="15.75" thickBot="1">
      <c r="A122" s="55"/>
      <c r="B122" s="52"/>
      <c r="C122" s="52"/>
      <c r="D122" s="259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1"/>
      <c r="AH122" s="52"/>
      <c r="AI122" s="53"/>
    </row>
    <row r="123" spans="1:36" ht="15.75" thickBot="1"/>
    <row r="124" spans="1:36" ht="19.5" thickBot="1">
      <c r="A124" s="776" t="s">
        <v>458</v>
      </c>
      <c r="B124" s="773"/>
      <c r="C124" s="773"/>
      <c r="D124" s="773"/>
      <c r="E124" s="773"/>
      <c r="F124" s="773"/>
      <c r="G124" s="773"/>
      <c r="H124" s="773"/>
      <c r="I124" s="773"/>
      <c r="J124" s="773"/>
      <c r="K124" s="773"/>
      <c r="L124" s="773"/>
      <c r="M124" s="773"/>
      <c r="N124" s="773"/>
      <c r="O124" s="773"/>
      <c r="P124" s="773"/>
      <c r="Q124" s="773"/>
      <c r="R124" s="773"/>
      <c r="S124" s="773"/>
      <c r="T124" s="773"/>
      <c r="U124" s="773"/>
      <c r="V124" s="773"/>
      <c r="W124" s="773"/>
      <c r="X124" s="773"/>
      <c r="Y124" s="773"/>
      <c r="Z124" s="773"/>
      <c r="AA124" s="773"/>
      <c r="AB124" s="773"/>
      <c r="AC124" s="773"/>
      <c r="AD124" s="773"/>
      <c r="AE124" s="773"/>
      <c r="AF124" s="773"/>
      <c r="AG124" s="773"/>
      <c r="AH124" s="773"/>
      <c r="AI124" s="774"/>
    </row>
    <row r="125" spans="1:36">
      <c r="A125" s="13"/>
      <c r="B125" s="5"/>
      <c r="C125" s="5"/>
      <c r="D125" s="70" t="s">
        <v>546</v>
      </c>
      <c r="E125" s="106" t="s">
        <v>444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2"/>
      <c r="AH125" s="5"/>
      <c r="AI125" s="12"/>
    </row>
    <row r="126" spans="1:36">
      <c r="A126" s="128" t="s">
        <v>521</v>
      </c>
      <c r="B126" s="3"/>
      <c r="C126" s="387" t="s">
        <v>439</v>
      </c>
      <c r="D126" s="77" t="s">
        <v>503</v>
      </c>
      <c r="E126" s="64">
        <v>2021</v>
      </c>
      <c r="F126" s="64">
        <f t="shared" ref="F126:AH126" si="64">E126+1</f>
        <v>2022</v>
      </c>
      <c r="G126" s="64">
        <f t="shared" si="64"/>
        <v>2023</v>
      </c>
      <c r="H126" s="64">
        <f t="shared" si="64"/>
        <v>2024</v>
      </c>
      <c r="I126" s="64">
        <f t="shared" si="64"/>
        <v>2025</v>
      </c>
      <c r="J126" s="64">
        <f t="shared" si="64"/>
        <v>2026</v>
      </c>
      <c r="K126" s="64">
        <f t="shared" si="64"/>
        <v>2027</v>
      </c>
      <c r="L126" s="64">
        <f t="shared" si="64"/>
        <v>2028</v>
      </c>
      <c r="M126" s="64">
        <f t="shared" si="64"/>
        <v>2029</v>
      </c>
      <c r="N126" s="64">
        <f t="shared" si="64"/>
        <v>2030</v>
      </c>
      <c r="O126" s="64">
        <f t="shared" si="64"/>
        <v>2031</v>
      </c>
      <c r="P126" s="64">
        <f t="shared" si="64"/>
        <v>2032</v>
      </c>
      <c r="Q126" s="64">
        <f t="shared" si="64"/>
        <v>2033</v>
      </c>
      <c r="R126" s="64">
        <f t="shared" si="64"/>
        <v>2034</v>
      </c>
      <c r="S126" s="64">
        <f t="shared" si="64"/>
        <v>2035</v>
      </c>
      <c r="T126" s="64">
        <f t="shared" si="64"/>
        <v>2036</v>
      </c>
      <c r="U126" s="64">
        <f t="shared" si="64"/>
        <v>2037</v>
      </c>
      <c r="V126" s="64">
        <f t="shared" si="64"/>
        <v>2038</v>
      </c>
      <c r="W126" s="64">
        <f t="shared" si="64"/>
        <v>2039</v>
      </c>
      <c r="X126" s="64">
        <f t="shared" si="64"/>
        <v>2040</v>
      </c>
      <c r="Y126" s="64">
        <f t="shared" si="64"/>
        <v>2041</v>
      </c>
      <c r="Z126" s="64">
        <f t="shared" si="64"/>
        <v>2042</v>
      </c>
      <c r="AA126" s="64">
        <f t="shared" si="64"/>
        <v>2043</v>
      </c>
      <c r="AB126" s="64">
        <f t="shared" si="64"/>
        <v>2044</v>
      </c>
      <c r="AC126" s="64">
        <f t="shared" si="64"/>
        <v>2045</v>
      </c>
      <c r="AD126" s="64">
        <f t="shared" si="64"/>
        <v>2046</v>
      </c>
      <c r="AE126" s="64">
        <f t="shared" si="64"/>
        <v>2047</v>
      </c>
      <c r="AF126" s="64">
        <f t="shared" si="64"/>
        <v>2048</v>
      </c>
      <c r="AG126" s="64">
        <f t="shared" si="64"/>
        <v>2049</v>
      </c>
      <c r="AH126" s="64">
        <f t="shared" si="64"/>
        <v>2050</v>
      </c>
      <c r="AI126" s="12"/>
    </row>
    <row r="127" spans="1:36">
      <c r="A127" s="37" t="s">
        <v>440</v>
      </c>
      <c r="B127" s="1"/>
      <c r="C127" s="388">
        <v>17</v>
      </c>
      <c r="D127" s="388">
        <v>5</v>
      </c>
      <c r="E127" s="445">
        <f t="shared" ref="E127:AH127" si="65">E14*(100+$C$127)/100*$D$127/1000</f>
        <v>2.0553618913043477</v>
      </c>
      <c r="F127" s="445">
        <f t="shared" si="65"/>
        <v>2.0553618913043477</v>
      </c>
      <c r="G127" s="445">
        <f t="shared" si="65"/>
        <v>2.0553618913043477</v>
      </c>
      <c r="H127" s="445">
        <f t="shared" si="65"/>
        <v>2.0553618913043477</v>
      </c>
      <c r="I127" s="445">
        <f t="shared" si="65"/>
        <v>2.0553618913043477</v>
      </c>
      <c r="J127" s="445">
        <f t="shared" si="65"/>
        <v>2.0553618913043477</v>
      </c>
      <c r="K127" s="445">
        <f t="shared" si="65"/>
        <v>2.0553618913043477</v>
      </c>
      <c r="L127" s="445">
        <f t="shared" si="65"/>
        <v>2.0553618913043477</v>
      </c>
      <c r="M127" s="445">
        <f t="shared" si="65"/>
        <v>2.0553618913043477</v>
      </c>
      <c r="N127" s="445">
        <f t="shared" si="65"/>
        <v>2.0553618913043477</v>
      </c>
      <c r="O127" s="445">
        <f t="shared" si="65"/>
        <v>2.0553618913043477</v>
      </c>
      <c r="P127" s="445">
        <f t="shared" si="65"/>
        <v>2.0553618913043477</v>
      </c>
      <c r="Q127" s="445">
        <f t="shared" si="65"/>
        <v>2.0553618913043477</v>
      </c>
      <c r="R127" s="445">
        <f t="shared" si="65"/>
        <v>2.0553618913043477</v>
      </c>
      <c r="S127" s="445">
        <f t="shared" si="65"/>
        <v>2.0553618913043477</v>
      </c>
      <c r="T127" s="445">
        <f t="shared" si="65"/>
        <v>2.0553618913043477</v>
      </c>
      <c r="U127" s="445">
        <f t="shared" si="65"/>
        <v>2.0553618913043477</v>
      </c>
      <c r="V127" s="445">
        <f t="shared" si="65"/>
        <v>2.0553618913043477</v>
      </c>
      <c r="W127" s="445">
        <f t="shared" si="65"/>
        <v>2.0553618913043477</v>
      </c>
      <c r="X127" s="445">
        <f t="shared" si="65"/>
        <v>1.9772581394347826</v>
      </c>
      <c r="Y127" s="445">
        <f t="shared" si="65"/>
        <v>1.9021223301362611</v>
      </c>
      <c r="Z127" s="445">
        <f t="shared" si="65"/>
        <v>1.8298416815910834</v>
      </c>
      <c r="AA127" s="445">
        <f t="shared" si="65"/>
        <v>1.7603076976906222</v>
      </c>
      <c r="AB127" s="445">
        <f t="shared" si="65"/>
        <v>1.6934160051783786</v>
      </c>
      <c r="AC127" s="445">
        <f t="shared" si="65"/>
        <v>1.6290661969816005</v>
      </c>
      <c r="AD127" s="445">
        <f t="shared" si="65"/>
        <v>1.5671616814963001</v>
      </c>
      <c r="AE127" s="445">
        <f t="shared" si="65"/>
        <v>1.5076095375994407</v>
      </c>
      <c r="AF127" s="445">
        <f t="shared" si="65"/>
        <v>1.4503203751706621</v>
      </c>
      <c r="AG127" s="445">
        <f t="shared" si="65"/>
        <v>1.3952082009141771</v>
      </c>
      <c r="AH127" s="445">
        <f t="shared" si="65"/>
        <v>1.3421902892794382</v>
      </c>
      <c r="AI127" s="12"/>
      <c r="AJ127" s="105"/>
    </row>
    <row r="128" spans="1:36" s="144" customFormat="1">
      <c r="A128" s="63" t="s">
        <v>441</v>
      </c>
      <c r="B128" s="405"/>
      <c r="C128" s="387">
        <v>17</v>
      </c>
      <c r="D128" s="387">
        <v>5</v>
      </c>
      <c r="E128" s="445">
        <f t="shared" ref="E128:AH128" si="66">E14*(100+$C$128)/100*$D$128/1000</f>
        <v>2.0553618913043477</v>
      </c>
      <c r="F128" s="445">
        <f t="shared" si="66"/>
        <v>2.0553618913043477</v>
      </c>
      <c r="G128" s="445">
        <f t="shared" si="66"/>
        <v>2.0553618913043477</v>
      </c>
      <c r="H128" s="445">
        <f t="shared" si="66"/>
        <v>2.0553618913043477</v>
      </c>
      <c r="I128" s="445">
        <f t="shared" si="66"/>
        <v>2.0553618913043477</v>
      </c>
      <c r="J128" s="445">
        <f t="shared" si="66"/>
        <v>2.0553618913043477</v>
      </c>
      <c r="K128" s="445">
        <f t="shared" si="66"/>
        <v>2.0553618913043477</v>
      </c>
      <c r="L128" s="445">
        <f t="shared" si="66"/>
        <v>2.0553618913043477</v>
      </c>
      <c r="M128" s="445">
        <f t="shared" si="66"/>
        <v>2.0553618913043477</v>
      </c>
      <c r="N128" s="445">
        <f t="shared" si="66"/>
        <v>2.0553618913043477</v>
      </c>
      <c r="O128" s="445">
        <f t="shared" si="66"/>
        <v>2.0553618913043477</v>
      </c>
      <c r="P128" s="445">
        <f t="shared" si="66"/>
        <v>2.0553618913043477</v>
      </c>
      <c r="Q128" s="445">
        <f t="shared" si="66"/>
        <v>2.0553618913043477</v>
      </c>
      <c r="R128" s="445">
        <f t="shared" si="66"/>
        <v>2.0553618913043477</v>
      </c>
      <c r="S128" s="445">
        <f t="shared" si="66"/>
        <v>2.0553618913043477</v>
      </c>
      <c r="T128" s="445">
        <f t="shared" si="66"/>
        <v>2.0553618913043477</v>
      </c>
      <c r="U128" s="445">
        <f t="shared" si="66"/>
        <v>2.0553618913043477</v>
      </c>
      <c r="V128" s="445">
        <f t="shared" si="66"/>
        <v>2.0553618913043477</v>
      </c>
      <c r="W128" s="445">
        <f t="shared" si="66"/>
        <v>2.0553618913043477</v>
      </c>
      <c r="X128" s="445">
        <f t="shared" si="66"/>
        <v>1.9772581394347826</v>
      </c>
      <c r="Y128" s="445">
        <f t="shared" si="66"/>
        <v>1.9021223301362611</v>
      </c>
      <c r="Z128" s="445">
        <f t="shared" si="66"/>
        <v>1.8298416815910834</v>
      </c>
      <c r="AA128" s="445">
        <f t="shared" si="66"/>
        <v>1.7603076976906222</v>
      </c>
      <c r="AB128" s="445">
        <f t="shared" si="66"/>
        <v>1.6934160051783786</v>
      </c>
      <c r="AC128" s="445">
        <f t="shared" si="66"/>
        <v>1.6290661969816005</v>
      </c>
      <c r="AD128" s="445">
        <f t="shared" si="66"/>
        <v>1.5671616814963001</v>
      </c>
      <c r="AE128" s="445">
        <f t="shared" si="66"/>
        <v>1.5076095375994407</v>
      </c>
      <c r="AF128" s="445">
        <f t="shared" si="66"/>
        <v>1.4503203751706621</v>
      </c>
      <c r="AG128" s="445">
        <f t="shared" si="66"/>
        <v>1.3952082009141771</v>
      </c>
      <c r="AH128" s="445">
        <f t="shared" si="66"/>
        <v>1.3421902892794382</v>
      </c>
      <c r="AI128" s="142"/>
      <c r="AJ128" s="143"/>
    </row>
    <row r="129" spans="1:36" s="134" customFormat="1">
      <c r="A129" s="43"/>
      <c r="B129" s="138"/>
      <c r="C129" s="138"/>
      <c r="D129" s="462" t="s">
        <v>547</v>
      </c>
      <c r="E129" s="138"/>
      <c r="F129" s="138"/>
      <c r="G129" s="138"/>
      <c r="H129" s="138"/>
      <c r="I129" s="138"/>
      <c r="J129" s="138"/>
      <c r="K129" s="138"/>
      <c r="L129" s="138"/>
      <c r="M129" s="138"/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  <c r="AI129" s="139"/>
      <c r="AJ129" s="133"/>
    </row>
    <row r="130" spans="1:36" s="134" customFormat="1">
      <c r="A130" s="174" t="s">
        <v>459</v>
      </c>
      <c r="B130" s="388"/>
      <c r="C130" s="106"/>
      <c r="D130" s="389"/>
      <c r="E130" s="238"/>
      <c r="F130" s="388"/>
      <c r="G130" s="388"/>
      <c r="H130" s="388"/>
      <c r="I130" s="388"/>
      <c r="J130" s="388"/>
      <c r="K130" s="388"/>
      <c r="L130" s="388"/>
      <c r="M130" s="388"/>
      <c r="N130" s="388"/>
      <c r="O130" s="388"/>
      <c r="P130" s="388"/>
      <c r="Q130" s="388"/>
      <c r="R130" s="388"/>
      <c r="S130" s="388"/>
      <c r="T130" s="388"/>
      <c r="U130" s="388"/>
      <c r="V130" s="388"/>
      <c r="W130" s="388"/>
      <c r="X130" s="388"/>
      <c r="Y130" s="388"/>
      <c r="Z130" s="388"/>
      <c r="AA130" s="388"/>
      <c r="AB130" s="388"/>
      <c r="AC130" s="388"/>
      <c r="AD130" s="388"/>
      <c r="AE130" s="388"/>
      <c r="AF130" s="388"/>
      <c r="AG130" s="37"/>
      <c r="AH130" s="388"/>
      <c r="AI130" s="139"/>
      <c r="AJ130" s="133"/>
    </row>
    <row r="131" spans="1:36" s="134" customFormat="1">
      <c r="A131" s="63" t="s">
        <v>438</v>
      </c>
      <c r="B131" s="64"/>
      <c r="C131" s="135"/>
      <c r="D131" s="77"/>
      <c r="E131" s="64">
        <v>2021</v>
      </c>
      <c r="F131" s="64">
        <f t="shared" ref="F131:AH131" si="67">E131+1</f>
        <v>2022</v>
      </c>
      <c r="G131" s="64">
        <f t="shared" si="67"/>
        <v>2023</v>
      </c>
      <c r="H131" s="64">
        <f t="shared" si="67"/>
        <v>2024</v>
      </c>
      <c r="I131" s="64">
        <f t="shared" si="67"/>
        <v>2025</v>
      </c>
      <c r="J131" s="64">
        <f t="shared" si="67"/>
        <v>2026</v>
      </c>
      <c r="K131" s="64">
        <f t="shared" si="67"/>
        <v>2027</v>
      </c>
      <c r="L131" s="64">
        <f t="shared" si="67"/>
        <v>2028</v>
      </c>
      <c r="M131" s="64">
        <f t="shared" si="67"/>
        <v>2029</v>
      </c>
      <c r="N131" s="64">
        <f t="shared" si="67"/>
        <v>2030</v>
      </c>
      <c r="O131" s="64">
        <f t="shared" si="67"/>
        <v>2031</v>
      </c>
      <c r="P131" s="64">
        <f t="shared" si="67"/>
        <v>2032</v>
      </c>
      <c r="Q131" s="64">
        <f t="shared" si="67"/>
        <v>2033</v>
      </c>
      <c r="R131" s="64">
        <f t="shared" si="67"/>
        <v>2034</v>
      </c>
      <c r="S131" s="64">
        <f t="shared" si="67"/>
        <v>2035</v>
      </c>
      <c r="T131" s="64">
        <f t="shared" si="67"/>
        <v>2036</v>
      </c>
      <c r="U131" s="64">
        <f t="shared" si="67"/>
        <v>2037</v>
      </c>
      <c r="V131" s="64">
        <f t="shared" si="67"/>
        <v>2038</v>
      </c>
      <c r="W131" s="64">
        <f t="shared" si="67"/>
        <v>2039</v>
      </c>
      <c r="X131" s="64">
        <f t="shared" si="67"/>
        <v>2040</v>
      </c>
      <c r="Y131" s="64">
        <f t="shared" si="67"/>
        <v>2041</v>
      </c>
      <c r="Z131" s="64">
        <f t="shared" si="67"/>
        <v>2042</v>
      </c>
      <c r="AA131" s="64">
        <f t="shared" si="67"/>
        <v>2043</v>
      </c>
      <c r="AB131" s="64">
        <f t="shared" si="67"/>
        <v>2044</v>
      </c>
      <c r="AC131" s="64">
        <f t="shared" si="67"/>
        <v>2045</v>
      </c>
      <c r="AD131" s="64">
        <f t="shared" si="67"/>
        <v>2046</v>
      </c>
      <c r="AE131" s="64">
        <f t="shared" si="67"/>
        <v>2047</v>
      </c>
      <c r="AF131" s="64">
        <f t="shared" si="67"/>
        <v>2048</v>
      </c>
      <c r="AG131" s="64">
        <f t="shared" si="67"/>
        <v>2049</v>
      </c>
      <c r="AH131" s="64">
        <f t="shared" si="67"/>
        <v>2050</v>
      </c>
      <c r="AI131" s="139"/>
      <c r="AJ131" s="133"/>
    </row>
    <row r="132" spans="1:36" s="134" customFormat="1">
      <c r="A132" s="27" t="s">
        <v>436</v>
      </c>
      <c r="B132" s="41"/>
      <c r="C132" s="106"/>
      <c r="D132" s="41"/>
      <c r="E132" s="151">
        <f>INDEX(DEFAULT!E260:AJ260,1,'USER INPUTS'!B4)</f>
        <v>0</v>
      </c>
      <c r="F132" s="151">
        <f>((100+INDEX(DEFAULT!$E$238:$AJ$240,1,'USER INPUTS'!$B$4))/100)*E132</f>
        <v>0</v>
      </c>
      <c r="G132" s="151">
        <f>((100+INDEX(DEFAULT!$E$238:$AJ$240,1,'USER INPUTS'!$B$4))/100)*F132</f>
        <v>0</v>
      </c>
      <c r="H132" s="151">
        <f>((100+INDEX(DEFAULT!$E$238:$AJ$240,1,'USER INPUTS'!$B$4))/100)*G132</f>
        <v>0</v>
      </c>
      <c r="I132" s="151">
        <f>((100+INDEX(DEFAULT!$E$238:$AJ$240,1,'USER INPUTS'!$B$4))/100)*H132</f>
        <v>0</v>
      </c>
      <c r="J132" s="151">
        <f>((100+INDEX(DEFAULT!$E$238:$AJ$240,1,'USER INPUTS'!$B$4))/100)*I132</f>
        <v>0</v>
      </c>
      <c r="K132" s="151">
        <f>((100+INDEX(DEFAULT!$E$238:$AJ$240,1,'USER INPUTS'!$B$4))/100)*J132</f>
        <v>0</v>
      </c>
      <c r="L132" s="151">
        <f>((100+INDEX(DEFAULT!$E$238:$AJ$240,1,'USER INPUTS'!$B$4))/100)*K132</f>
        <v>0</v>
      </c>
      <c r="M132" s="151">
        <f>((100+INDEX(DEFAULT!$E$238:$AJ$240,1,'USER INPUTS'!$B$4))/100)*L132</f>
        <v>0</v>
      </c>
      <c r="N132" s="151">
        <f>((100+INDEX(DEFAULT!$E$238:$AJ$240,1,'USER INPUTS'!$B$4))/100)*M132</f>
        <v>0</v>
      </c>
      <c r="O132" s="151">
        <f>((100+INDEX(DEFAULT!$E$238:$AJ$240,2,'USER INPUTS'!$B$4))/100)*N132</f>
        <v>0</v>
      </c>
      <c r="P132" s="151">
        <f>((100+INDEX(DEFAULT!$E$238:$AJ$240,2,'USER INPUTS'!$B$4))/100)*O132</f>
        <v>0</v>
      </c>
      <c r="Q132" s="151">
        <f>((100+INDEX(DEFAULT!$E$238:$AJ$240,2,'USER INPUTS'!$B$4))/100)*P132</f>
        <v>0</v>
      </c>
      <c r="R132" s="151">
        <f>((100+INDEX(DEFAULT!$E$238:$AJ$240,2,'USER INPUTS'!$B$4))/100)*Q132</f>
        <v>0</v>
      </c>
      <c r="S132" s="151">
        <f>((100+INDEX(DEFAULT!$E$238:$AJ$240,2,'USER INPUTS'!$B$4))/100)*R132</f>
        <v>0</v>
      </c>
      <c r="T132" s="151">
        <f>((100+INDEX(DEFAULT!$E$238:$AJ$240,2,'USER INPUTS'!$B$4))/100)*S132</f>
        <v>0</v>
      </c>
      <c r="U132" s="151">
        <f>((100+INDEX(DEFAULT!$E$238:$AJ$240,2,'USER INPUTS'!$B$4))/100)*T132</f>
        <v>0</v>
      </c>
      <c r="V132" s="151">
        <f>((100+INDEX(DEFAULT!$E$238:$AJ$240,2,'USER INPUTS'!$B$4))/100)*U132</f>
        <v>0</v>
      </c>
      <c r="W132" s="151">
        <f>((100+INDEX(DEFAULT!$E$238:$AJ$240,2,'USER INPUTS'!$B$4))/100)*V132</f>
        <v>0</v>
      </c>
      <c r="X132" s="151">
        <f>((100+INDEX(DEFAULT!$E$238:$AJ$240,2,'USER INPUTS'!$B$4))/100)*W132</f>
        <v>0</v>
      </c>
      <c r="Y132" s="151">
        <f>((100+INDEX(DEFAULT!$E$238:$AJ$240,3,'USER INPUTS'!$B$4))/100)*X132</f>
        <v>0</v>
      </c>
      <c r="Z132" s="151">
        <f>((100+INDEX(DEFAULT!$E$238:$AJ$240,3,'USER INPUTS'!$B$4))/100)*Y132</f>
        <v>0</v>
      </c>
      <c r="AA132" s="151">
        <f>((100+INDEX(DEFAULT!$E$238:$AJ$240,3,'USER INPUTS'!$B$4))/100)*Z132</f>
        <v>0</v>
      </c>
      <c r="AB132" s="151">
        <f>((100+INDEX(DEFAULT!$E$238:$AJ$240,3,'USER INPUTS'!$B$4))/100)*AA132</f>
        <v>0</v>
      </c>
      <c r="AC132" s="151">
        <f>((100+INDEX(DEFAULT!$E$238:$AJ$240,3,'USER INPUTS'!$B$4))/100)*AB132</f>
        <v>0</v>
      </c>
      <c r="AD132" s="151">
        <f>((100+INDEX(DEFAULT!$E$238:$AJ$240,3,'USER INPUTS'!$B$4))/100)*AC132</f>
        <v>0</v>
      </c>
      <c r="AE132" s="151">
        <f>((100+INDEX(DEFAULT!$E$238:$AJ$240,3,'USER INPUTS'!$B$4))/100)*AD132</f>
        <v>0</v>
      </c>
      <c r="AF132" s="151">
        <f>((100+INDEX(DEFAULT!$E$238:$AJ$240,3,'USER INPUTS'!$B$4))/100)*AE132</f>
        <v>0</v>
      </c>
      <c r="AG132" s="151">
        <f>((100+INDEX(DEFAULT!$E$238:$AJ$240,3,'USER INPUTS'!$B$4))/100)*AF132</f>
        <v>0</v>
      </c>
      <c r="AH132" s="151">
        <f>((100+INDEX(DEFAULT!$E$238:$AJ$240,3,'USER INPUTS'!$B$4))/100)*AG132</f>
        <v>0</v>
      </c>
      <c r="AI132" s="139"/>
      <c r="AJ132" s="133"/>
    </row>
    <row r="133" spans="1:36" s="134" customFormat="1">
      <c r="A133" s="63" t="s">
        <v>435</v>
      </c>
      <c r="B133" s="64"/>
      <c r="C133" s="135"/>
      <c r="D133" s="77"/>
      <c r="E133" s="151">
        <f>INDEX(DEFAULT!E334:AJ334,1,'USER INPUTS'!B4)</f>
        <v>4.3207589999999998</v>
      </c>
      <c r="F133" s="151">
        <f>((100+INDEX(DEFAULT!$E$238:$AJ$240,1,'USER INPUTS'!$B$4))/100)*E133</f>
        <v>4.3553250719999994</v>
      </c>
      <c r="G133" s="151">
        <f>((100+INDEX(DEFAULT!$E$238:$AJ$240,1,'USER INPUTS'!$B$4))/100)*F133</f>
        <v>4.3901676725759993</v>
      </c>
      <c r="H133" s="151">
        <f>((100+INDEX(DEFAULT!$E$238:$AJ$240,1,'USER INPUTS'!$B$4))/100)*G133</f>
        <v>4.4252890139566077</v>
      </c>
      <c r="I133" s="151">
        <f>((100+INDEX(DEFAULT!$E$238:$AJ$240,1,'USER INPUTS'!$B$4))/100)*H133</f>
        <v>4.4606913260682601</v>
      </c>
      <c r="J133" s="151">
        <f>((100+INDEX(DEFAULT!$E$238:$AJ$240,1,'USER INPUTS'!$B$4))/100)*I133</f>
        <v>4.4963768566768065</v>
      </c>
      <c r="K133" s="151">
        <f>((100+INDEX(DEFAULT!$E$238:$AJ$240,1,'USER INPUTS'!$B$4))/100)*J133</f>
        <v>4.532347871530221</v>
      </c>
      <c r="L133" s="151">
        <f>((100+INDEX(DEFAULT!$E$238:$AJ$240,1,'USER INPUTS'!$B$4))/100)*K133</f>
        <v>4.5686066545024628</v>
      </c>
      <c r="M133" s="151">
        <f>((100+INDEX(DEFAULT!$E$238:$AJ$240,1,'USER INPUTS'!$B$4))/100)*L133</f>
        <v>4.6051555077384823</v>
      </c>
      <c r="N133" s="151">
        <f>((100+INDEX(DEFAULT!$E$238:$AJ$240,1,'USER INPUTS'!$B$4))/100)*M133</f>
        <v>4.6419967518003897</v>
      </c>
      <c r="O133" s="151">
        <f>((100+INDEX(DEFAULT!$E$238:$AJ$240,2,'USER INPUTS'!$B$4))/100)*N133</f>
        <v>4.6698487323111921</v>
      </c>
      <c r="P133" s="151">
        <f>((100+INDEX(DEFAULT!$E$238:$AJ$240,2,'USER INPUTS'!$B$4))/100)*O133</f>
        <v>4.6978678247050594</v>
      </c>
      <c r="Q133" s="151">
        <f>((100+INDEX(DEFAULT!$E$238:$AJ$240,2,'USER INPUTS'!$B$4))/100)*P133</f>
        <v>4.7260550316532894</v>
      </c>
      <c r="R133" s="151">
        <f>((100+INDEX(DEFAULT!$E$238:$AJ$240,2,'USER INPUTS'!$B$4))/100)*Q133</f>
        <v>4.7544113618432089</v>
      </c>
      <c r="S133" s="151">
        <f>((100+INDEX(DEFAULT!$E$238:$AJ$240,2,'USER INPUTS'!$B$4))/100)*R133</f>
        <v>4.7829378300142684</v>
      </c>
      <c r="T133" s="151">
        <f>((100+INDEX(DEFAULT!$E$238:$AJ$240,2,'USER INPUTS'!$B$4))/100)*S133</f>
        <v>4.8116354569943542</v>
      </c>
      <c r="U133" s="151">
        <f>((100+INDEX(DEFAULT!$E$238:$AJ$240,2,'USER INPUTS'!$B$4))/100)*T133</f>
        <v>4.8405052697363207</v>
      </c>
      <c r="V133" s="151">
        <f>((100+INDEX(DEFAULT!$E$238:$AJ$240,2,'USER INPUTS'!$B$4))/100)*U133</f>
        <v>4.8695483013547385</v>
      </c>
      <c r="W133" s="151">
        <f>((100+INDEX(DEFAULT!$E$238:$AJ$240,2,'USER INPUTS'!$B$4))/100)*V133</f>
        <v>4.8987655911628671</v>
      </c>
      <c r="X133" s="151">
        <f>((100+INDEX(DEFAULT!$E$238:$AJ$240,2,'USER INPUTS'!$B$4))/100)*W133</f>
        <v>4.9281581847098446</v>
      </c>
      <c r="Y133" s="151">
        <f>((100+INDEX(DEFAULT!$E$238:$AJ$240,3,'USER INPUTS'!$B$4))/100)*X133</f>
        <v>4.9577271338181035</v>
      </c>
      <c r="Z133" s="151">
        <f>((100+INDEX(DEFAULT!$E$238:$AJ$240,3,'USER INPUTS'!$B$4))/100)*Y133</f>
        <v>4.9874734966210124</v>
      </c>
      <c r="AA133" s="151">
        <f>((100+INDEX(DEFAULT!$E$238:$AJ$240,3,'USER INPUTS'!$B$4))/100)*Z133</f>
        <v>5.0173983376007385</v>
      </c>
      <c r="AB133" s="151">
        <f>((100+INDEX(DEFAULT!$E$238:$AJ$240,3,'USER INPUTS'!$B$4))/100)*AA133</f>
        <v>5.0475027276263429</v>
      </c>
      <c r="AC133" s="151">
        <f>((100+INDEX(DEFAULT!$E$238:$AJ$240,3,'USER INPUTS'!$B$4))/100)*AB133</f>
        <v>5.0777877439921006</v>
      </c>
      <c r="AD133" s="151">
        <f>((100+INDEX(DEFAULT!$E$238:$AJ$240,3,'USER INPUTS'!$B$4))/100)*AC133</f>
        <v>5.1082544704560533</v>
      </c>
      <c r="AE133" s="151">
        <f>((100+INDEX(DEFAULT!$E$238:$AJ$240,3,'USER INPUTS'!$B$4))/100)*AD133</f>
        <v>5.1389039972787893</v>
      </c>
      <c r="AF133" s="151">
        <f>((100+INDEX(DEFAULT!$E$238:$AJ$240,3,'USER INPUTS'!$B$4))/100)*AE133</f>
        <v>5.1697374212624618</v>
      </c>
      <c r="AG133" s="151">
        <f>((100+INDEX(DEFAULT!$E$238:$AJ$240,3,'USER INPUTS'!$B$4))/100)*AF133</f>
        <v>5.2007558457900362</v>
      </c>
      <c r="AH133" s="151">
        <f>((100+INDEX(DEFAULT!$E$238:$AJ$240,3,'USER INPUTS'!$B$4))/100)*AG133</f>
        <v>5.2319603808647761</v>
      </c>
      <c r="AI133" s="139"/>
      <c r="AJ133" s="133"/>
    </row>
    <row r="134" spans="1:36" s="134" customFormat="1">
      <c r="A134" s="27"/>
      <c r="B134" s="388"/>
      <c r="C134" s="106"/>
      <c r="D134" s="389"/>
      <c r="E134" s="404"/>
      <c r="F134" s="404"/>
      <c r="G134" s="404"/>
      <c r="H134" s="404"/>
      <c r="I134" s="404"/>
      <c r="J134" s="404"/>
      <c r="K134" s="404"/>
      <c r="L134" s="404"/>
      <c r="M134" s="404"/>
      <c r="N134" s="404"/>
      <c r="O134" s="404"/>
      <c r="P134" s="404"/>
      <c r="Q134" s="404"/>
      <c r="R134" s="404"/>
      <c r="S134" s="404"/>
      <c r="T134" s="404"/>
      <c r="U134" s="404"/>
      <c r="V134" s="404"/>
      <c r="W134" s="404"/>
      <c r="X134" s="404"/>
      <c r="Y134" s="404"/>
      <c r="Z134" s="404"/>
      <c r="AA134" s="404"/>
      <c r="AB134" s="404"/>
      <c r="AC134" s="404"/>
      <c r="AD134" s="404"/>
      <c r="AE134" s="404"/>
      <c r="AF134" s="404"/>
      <c r="AG134" s="404"/>
      <c r="AH134" s="404"/>
      <c r="AI134" s="139"/>
      <c r="AJ134" s="133"/>
    </row>
    <row r="135" spans="1:36" s="134" customFormat="1">
      <c r="A135" s="43"/>
      <c r="B135" s="266"/>
      <c r="C135" s="186" t="s">
        <v>249</v>
      </c>
      <c r="D135" s="291"/>
      <c r="E135" s="308" t="s">
        <v>77</v>
      </c>
      <c r="F135" s="172"/>
      <c r="G135" s="172"/>
      <c r="H135" s="172"/>
      <c r="I135" s="172"/>
      <c r="J135" s="172"/>
      <c r="K135" s="172"/>
      <c r="L135" s="172"/>
      <c r="M135" s="172"/>
      <c r="N135" s="172"/>
      <c r="O135" s="172"/>
      <c r="P135" s="172"/>
      <c r="Q135" s="172"/>
      <c r="R135" s="172"/>
      <c r="S135" s="172"/>
      <c r="T135" s="172"/>
      <c r="U135" s="172"/>
      <c r="V135" s="172"/>
      <c r="W135" s="172"/>
      <c r="X135" s="172"/>
      <c r="Y135" s="172"/>
      <c r="Z135" s="172"/>
      <c r="AA135" s="172"/>
      <c r="AB135" s="172"/>
      <c r="AC135" s="172"/>
      <c r="AD135" s="172"/>
      <c r="AE135" s="172"/>
      <c r="AF135" s="172"/>
      <c r="AG135" s="172"/>
      <c r="AH135" s="172"/>
      <c r="AI135" s="139"/>
      <c r="AJ135" s="133"/>
    </row>
    <row r="136" spans="1:36" s="134" customFormat="1">
      <c r="A136" s="43" t="s">
        <v>460</v>
      </c>
      <c r="B136" s="265"/>
      <c r="C136" s="386" t="s">
        <v>442</v>
      </c>
      <c r="D136" s="290"/>
      <c r="E136" s="265">
        <v>2021</v>
      </c>
      <c r="F136" s="265">
        <f t="shared" ref="F136:AH136" si="68">E136+1</f>
        <v>2022</v>
      </c>
      <c r="G136" s="265">
        <f t="shared" si="68"/>
        <v>2023</v>
      </c>
      <c r="H136" s="265">
        <f t="shared" si="68"/>
        <v>2024</v>
      </c>
      <c r="I136" s="265">
        <f t="shared" si="68"/>
        <v>2025</v>
      </c>
      <c r="J136" s="265">
        <f t="shared" si="68"/>
        <v>2026</v>
      </c>
      <c r="K136" s="265">
        <f t="shared" si="68"/>
        <v>2027</v>
      </c>
      <c r="L136" s="265">
        <f t="shared" si="68"/>
        <v>2028</v>
      </c>
      <c r="M136" s="265">
        <f t="shared" si="68"/>
        <v>2029</v>
      </c>
      <c r="N136" s="265">
        <f t="shared" si="68"/>
        <v>2030</v>
      </c>
      <c r="O136" s="265">
        <f t="shared" si="68"/>
        <v>2031</v>
      </c>
      <c r="P136" s="265">
        <f t="shared" si="68"/>
        <v>2032</v>
      </c>
      <c r="Q136" s="265">
        <f t="shared" si="68"/>
        <v>2033</v>
      </c>
      <c r="R136" s="265">
        <f t="shared" si="68"/>
        <v>2034</v>
      </c>
      <c r="S136" s="265">
        <f t="shared" si="68"/>
        <v>2035</v>
      </c>
      <c r="T136" s="265">
        <f t="shared" si="68"/>
        <v>2036</v>
      </c>
      <c r="U136" s="265">
        <f t="shared" si="68"/>
        <v>2037</v>
      </c>
      <c r="V136" s="265">
        <f t="shared" si="68"/>
        <v>2038</v>
      </c>
      <c r="W136" s="265">
        <f t="shared" si="68"/>
        <v>2039</v>
      </c>
      <c r="X136" s="265">
        <f t="shared" si="68"/>
        <v>2040</v>
      </c>
      <c r="Y136" s="265">
        <f t="shared" si="68"/>
        <v>2041</v>
      </c>
      <c r="Z136" s="265">
        <f t="shared" si="68"/>
        <v>2042</v>
      </c>
      <c r="AA136" s="265">
        <f t="shared" si="68"/>
        <v>2043</v>
      </c>
      <c r="AB136" s="265">
        <f t="shared" si="68"/>
        <v>2044</v>
      </c>
      <c r="AC136" s="265">
        <f t="shared" si="68"/>
        <v>2045</v>
      </c>
      <c r="AD136" s="265">
        <f t="shared" si="68"/>
        <v>2046</v>
      </c>
      <c r="AE136" s="265">
        <f t="shared" si="68"/>
        <v>2047</v>
      </c>
      <c r="AF136" s="265">
        <f t="shared" si="68"/>
        <v>2048</v>
      </c>
      <c r="AG136" s="265">
        <f t="shared" si="68"/>
        <v>2049</v>
      </c>
      <c r="AH136" s="265">
        <f t="shared" si="68"/>
        <v>2050</v>
      </c>
      <c r="AI136" s="139"/>
      <c r="AJ136" s="133"/>
    </row>
    <row r="137" spans="1:36" s="134" customFormat="1">
      <c r="A137" s="281" t="str">
        <f>INDEX(DEFAULT!E251:AJ257,1,'USER INPUTS'!B4)</f>
        <v>no metro</v>
      </c>
      <c r="B137" s="266"/>
      <c r="C137" s="100">
        <f>'USER INPUTS'!I4</f>
        <v>0</v>
      </c>
      <c r="D137" s="238"/>
      <c r="E137" s="150">
        <f>(INDEX(DEFAULT!$E$265:$AJ$271,1,'USER INPUTS'!$B$4)/100)*(INDEX(DEFAULT!$E$260:$AJ$260,1,'USER INPUTS'!$B$4)*($C137/100))</f>
        <v>0</v>
      </c>
      <c r="F137" s="150">
        <f>E137*(100+INDEX(DEFAULT!$E$238:$AJ$240,1,'USER INPUTS'!$B$4))/100</f>
        <v>0</v>
      </c>
      <c r="G137" s="150">
        <f>F137*(100+INDEX(DEFAULT!$E$238:$AJ$240,1,'USER INPUTS'!$B$4))/100</f>
        <v>0</v>
      </c>
      <c r="H137" s="150">
        <f>G137*(100+INDEX(DEFAULT!$E$238:$AJ$240,1,'USER INPUTS'!$B$4))/100</f>
        <v>0</v>
      </c>
      <c r="I137" s="150">
        <f>H137*(100+INDEX(DEFAULT!$E$238:$AJ$240,1,'USER INPUTS'!$B$4))/100</f>
        <v>0</v>
      </c>
      <c r="J137" s="150">
        <f>I137*(100+INDEX(DEFAULT!$E$238:$AJ$240,1,'USER INPUTS'!$B$4))/100</f>
        <v>0</v>
      </c>
      <c r="K137" s="150">
        <f>J137*(100+INDEX(DEFAULT!$E$238:$AJ$240,1,'USER INPUTS'!$B$4))/100</f>
        <v>0</v>
      </c>
      <c r="L137" s="150">
        <f>K137*(100+INDEX(DEFAULT!$E$238:$AJ$240,1,'USER INPUTS'!$B$4))/100</f>
        <v>0</v>
      </c>
      <c r="M137" s="150">
        <f>L137*(100+INDEX(DEFAULT!$E$238:$AJ$240,1,'USER INPUTS'!$B$4))/100</f>
        <v>0</v>
      </c>
      <c r="N137" s="150">
        <f>M137*(100+INDEX(DEFAULT!$E$238:$AJ$240,1,'USER INPUTS'!$B$4))/100</f>
        <v>0</v>
      </c>
      <c r="O137" s="150">
        <f>N137*(100+INDEX(DEFAULT!$E$238:$AJ$240,2,'USER INPUTS'!$B$4))/100</f>
        <v>0</v>
      </c>
      <c r="P137" s="150">
        <f>O137*(100+INDEX(DEFAULT!$E$238:$AJ$240,2,'USER INPUTS'!$B$4))/100</f>
        <v>0</v>
      </c>
      <c r="Q137" s="150">
        <f>P137*(100+INDEX(DEFAULT!$E$238:$AJ$240,2,'USER INPUTS'!$B$4))/100</f>
        <v>0</v>
      </c>
      <c r="R137" s="150">
        <f>Q137*(100+INDEX(DEFAULT!$E$238:$AJ$240,2,'USER INPUTS'!$B$4))/100</f>
        <v>0</v>
      </c>
      <c r="S137" s="150">
        <f>R137*(100+INDEX(DEFAULT!$E$238:$AJ$240,2,'USER INPUTS'!$B$4))/100</f>
        <v>0</v>
      </c>
      <c r="T137" s="150">
        <f>S137*(100+INDEX(DEFAULT!$E$238:$AJ$240,2,'USER INPUTS'!$B$4))/100</f>
        <v>0</v>
      </c>
      <c r="U137" s="150">
        <f>T137*(100+INDEX(DEFAULT!$E$238:$AJ$240,2,'USER INPUTS'!$B$4))/100</f>
        <v>0</v>
      </c>
      <c r="V137" s="150">
        <f>U137*(100+INDEX(DEFAULT!$E$238:$AJ$240,2,'USER INPUTS'!$B$4))/100</f>
        <v>0</v>
      </c>
      <c r="W137" s="150">
        <f>V137*(100+INDEX(DEFAULT!$E$238:$AJ$240,2,'USER INPUTS'!$B$4))/100</f>
        <v>0</v>
      </c>
      <c r="X137" s="150">
        <f>W137*(100+INDEX(DEFAULT!$E$238:$AJ$240,2,'USER INPUTS'!$B$4))/100</f>
        <v>0</v>
      </c>
      <c r="Y137" s="150">
        <f>X137*(100+INDEX(DEFAULT!$E$238:$AJ$240,3,'USER INPUTS'!$B$4))/100</f>
        <v>0</v>
      </c>
      <c r="Z137" s="150">
        <f>Y137*(100+INDEX(DEFAULT!$E$238:$AJ$240,3,'USER INPUTS'!$B$4))/100</f>
        <v>0</v>
      </c>
      <c r="AA137" s="150">
        <f>Z137*(100+INDEX(DEFAULT!$E$238:$AJ$240,3,'USER INPUTS'!$B$4))/100</f>
        <v>0</v>
      </c>
      <c r="AB137" s="150">
        <f>AA137*(100+INDEX(DEFAULT!$E$238:$AJ$240,3,'USER INPUTS'!$B$4))/100</f>
        <v>0</v>
      </c>
      <c r="AC137" s="150">
        <f>AB137*(100+INDEX(DEFAULT!$E$238:$AJ$240,3,'USER INPUTS'!$B$4))/100</f>
        <v>0</v>
      </c>
      <c r="AD137" s="150">
        <f>AC137*(100+INDEX(DEFAULT!$E$238:$AJ$240,3,'USER INPUTS'!$B$4))/100</f>
        <v>0</v>
      </c>
      <c r="AE137" s="150">
        <f>AD137*(100+INDEX(DEFAULT!$E$238:$AJ$240,3,'USER INPUTS'!$B$4))/100</f>
        <v>0</v>
      </c>
      <c r="AF137" s="150">
        <f>AE137*(100+INDEX(DEFAULT!$E$238:$AJ$240,3,'USER INPUTS'!$B$4))/100</f>
        <v>0</v>
      </c>
      <c r="AG137" s="150">
        <f>AF137*(100+INDEX(DEFAULT!$E$238:$AJ$240,3,'USER INPUTS'!$B$4))/100</f>
        <v>0</v>
      </c>
      <c r="AH137" s="150">
        <f>AG137*(100+INDEX(DEFAULT!$E$238:$AJ$240,3,'USER INPUTS'!$B$4))/100</f>
        <v>0</v>
      </c>
      <c r="AI137" s="139"/>
      <c r="AJ137" s="133"/>
    </row>
    <row r="138" spans="1:36" s="134" customFormat="1">
      <c r="A138" s="281" t="str">
        <f>INDEX(DEFAULT!E251:AJ257,2,'USER INPUTS'!B4)</f>
        <v>-</v>
      </c>
      <c r="B138" s="266"/>
      <c r="C138" s="100">
        <f>'USER INPUTS'!I5</f>
        <v>0</v>
      </c>
      <c r="D138" s="138"/>
      <c r="E138" s="150">
        <f>(INDEX(DEFAULT!$E$265:$AJ$271,2,'USER INPUTS'!$B$4)/100)*(INDEX(DEFAULT!$E$260:$AJ$260,1,'USER INPUTS'!$B$4)*($C138/100)*1000)</f>
        <v>0</v>
      </c>
      <c r="F138" s="150">
        <f>E138*(100+INDEX(DEFAULT!$E$238:$AJ$240,1,'USER INPUTS'!$B$4))/100</f>
        <v>0</v>
      </c>
      <c r="G138" s="150">
        <f>F138*(100+INDEX(DEFAULT!$E$238:$AJ$240,1,'USER INPUTS'!$B$4))/100</f>
        <v>0</v>
      </c>
      <c r="H138" s="150">
        <f>G138*(100+INDEX(DEFAULT!$E$238:$AJ$240,1,'USER INPUTS'!$B$4))/100</f>
        <v>0</v>
      </c>
      <c r="I138" s="150">
        <f>H138*(100+INDEX(DEFAULT!$E$238:$AJ$240,1,'USER INPUTS'!$B$4))/100</f>
        <v>0</v>
      </c>
      <c r="J138" s="150">
        <f>I138*(100+INDEX(DEFAULT!$E$238:$AJ$240,1,'USER INPUTS'!$B$4))/100</f>
        <v>0</v>
      </c>
      <c r="K138" s="150">
        <f>J138*(100+INDEX(DEFAULT!$E$238:$AJ$240,1,'USER INPUTS'!$B$4))/100</f>
        <v>0</v>
      </c>
      <c r="L138" s="150">
        <f>K138*(100+INDEX(DEFAULT!$E$238:$AJ$240,1,'USER INPUTS'!$B$4))/100</f>
        <v>0</v>
      </c>
      <c r="M138" s="150">
        <f>L138*(100+INDEX(DEFAULT!$E$238:$AJ$240,1,'USER INPUTS'!$B$4))/100</f>
        <v>0</v>
      </c>
      <c r="N138" s="150">
        <f>M138*(100+INDEX(DEFAULT!$E$238:$AJ$240,1,'USER INPUTS'!$B$4))/100</f>
        <v>0</v>
      </c>
      <c r="O138" s="150">
        <f>N138*(100+INDEX(DEFAULT!$E$238:$AJ$240,2,'USER INPUTS'!$B$4))/100</f>
        <v>0</v>
      </c>
      <c r="P138" s="150">
        <f>O138*(100+INDEX(DEFAULT!$E$238:$AJ$240,2,'USER INPUTS'!$B$4))/100</f>
        <v>0</v>
      </c>
      <c r="Q138" s="150">
        <f>P138*(100+INDEX(DEFAULT!$E$238:$AJ$240,2,'USER INPUTS'!$B$4))/100</f>
        <v>0</v>
      </c>
      <c r="R138" s="150">
        <f>Q138*(100+INDEX(DEFAULT!$E$238:$AJ$240,2,'USER INPUTS'!$B$4))/100</f>
        <v>0</v>
      </c>
      <c r="S138" s="150">
        <f>R138*(100+INDEX(DEFAULT!$E$238:$AJ$240,2,'USER INPUTS'!$B$4))/100</f>
        <v>0</v>
      </c>
      <c r="T138" s="150">
        <f>S138*(100+INDEX(DEFAULT!$E$238:$AJ$240,2,'USER INPUTS'!$B$4))/100</f>
        <v>0</v>
      </c>
      <c r="U138" s="150">
        <f>T138*(100+INDEX(DEFAULT!$E$238:$AJ$240,2,'USER INPUTS'!$B$4))/100</f>
        <v>0</v>
      </c>
      <c r="V138" s="150">
        <f>U138*(100+INDEX(DEFAULT!$E$238:$AJ$240,2,'USER INPUTS'!$B$4))/100</f>
        <v>0</v>
      </c>
      <c r="W138" s="150">
        <f>V138*(100+INDEX(DEFAULT!$E$238:$AJ$240,2,'USER INPUTS'!$B$4))/100</f>
        <v>0</v>
      </c>
      <c r="X138" s="150">
        <f>W138*(100+INDEX(DEFAULT!$E$238:$AJ$240,2,'USER INPUTS'!$B$4))/100</f>
        <v>0</v>
      </c>
      <c r="Y138" s="150">
        <f>X138*(100+INDEX(DEFAULT!$E$238:$AJ$240,3,'USER INPUTS'!$B$4))/100</f>
        <v>0</v>
      </c>
      <c r="Z138" s="150">
        <f>Y138*(100+INDEX(DEFAULT!$E$238:$AJ$240,3,'USER INPUTS'!$B$4))/100</f>
        <v>0</v>
      </c>
      <c r="AA138" s="150">
        <f>Z138*(100+INDEX(DEFAULT!$E$238:$AJ$240,3,'USER INPUTS'!$B$4))/100</f>
        <v>0</v>
      </c>
      <c r="AB138" s="150">
        <f>AA138*(100+INDEX(DEFAULT!$E$238:$AJ$240,3,'USER INPUTS'!$B$4))/100</f>
        <v>0</v>
      </c>
      <c r="AC138" s="150">
        <f>AB138*(100+INDEX(DEFAULT!$E$238:$AJ$240,3,'USER INPUTS'!$B$4))/100</f>
        <v>0</v>
      </c>
      <c r="AD138" s="150">
        <f>AC138*(100+INDEX(DEFAULT!$E$238:$AJ$240,3,'USER INPUTS'!$B$4))/100</f>
        <v>0</v>
      </c>
      <c r="AE138" s="150">
        <f>AD138*(100+INDEX(DEFAULT!$E$238:$AJ$240,3,'USER INPUTS'!$B$4))/100</f>
        <v>0</v>
      </c>
      <c r="AF138" s="150">
        <f>AE138*(100+INDEX(DEFAULT!$E$238:$AJ$240,3,'USER INPUTS'!$B$4))/100</f>
        <v>0</v>
      </c>
      <c r="AG138" s="150">
        <f>AF138*(100+INDEX(DEFAULT!$E$238:$AJ$240,3,'USER INPUTS'!$B$4))/100</f>
        <v>0</v>
      </c>
      <c r="AH138" s="150">
        <f>AG138*(100+INDEX(DEFAULT!$E$238:$AJ$240,3,'USER INPUTS'!$B$4))/100</f>
        <v>0</v>
      </c>
      <c r="AI138" s="139"/>
      <c r="AJ138" s="133"/>
    </row>
    <row r="139" spans="1:36" s="134" customFormat="1">
      <c r="A139" s="281" t="str">
        <f>INDEX(DEFAULT!E251:AJ257,3,'USER INPUTS'!B4)</f>
        <v>-</v>
      </c>
      <c r="B139" s="266"/>
      <c r="C139" s="100">
        <f>'USER INPUTS'!I6</f>
        <v>0</v>
      </c>
      <c r="D139" s="138"/>
      <c r="E139" s="150">
        <f>(INDEX(DEFAULT!$E$265:$AJ$271,3,'USER INPUTS'!$B$4)/100)*(INDEX(DEFAULT!$E$260:$AJ$260,1,'USER INPUTS'!$B$4)*($C139/100)*1000)</f>
        <v>0</v>
      </c>
      <c r="F139" s="150">
        <f>E139*(100+INDEX(DEFAULT!$E$238:$AJ$240,1,'USER INPUTS'!$B$4))/100</f>
        <v>0</v>
      </c>
      <c r="G139" s="150">
        <f>F139*(100+INDEX(DEFAULT!$E$238:$AJ$240,1,'USER INPUTS'!$B$4))/100</f>
        <v>0</v>
      </c>
      <c r="H139" s="150">
        <f>G139*(100+INDEX(DEFAULT!$E$238:$AJ$240,1,'USER INPUTS'!$B$4))/100</f>
        <v>0</v>
      </c>
      <c r="I139" s="150">
        <f>H139*(100+INDEX(DEFAULT!$E$238:$AJ$240,1,'USER INPUTS'!$B$4))/100</f>
        <v>0</v>
      </c>
      <c r="J139" s="150">
        <f>I139*(100+INDEX(DEFAULT!$E$238:$AJ$240,1,'USER INPUTS'!$B$4))/100</f>
        <v>0</v>
      </c>
      <c r="K139" s="150">
        <f>J139*(100+INDEX(DEFAULT!$E$238:$AJ$240,1,'USER INPUTS'!$B$4))/100</f>
        <v>0</v>
      </c>
      <c r="L139" s="150">
        <f>K139*(100+INDEX(DEFAULT!$E$238:$AJ$240,1,'USER INPUTS'!$B$4))/100</f>
        <v>0</v>
      </c>
      <c r="M139" s="150">
        <f>L139*(100+INDEX(DEFAULT!$E$238:$AJ$240,1,'USER INPUTS'!$B$4))/100</f>
        <v>0</v>
      </c>
      <c r="N139" s="150">
        <f>M139*(100+INDEX(DEFAULT!$E$238:$AJ$240,1,'USER INPUTS'!$B$4))/100</f>
        <v>0</v>
      </c>
      <c r="O139" s="150">
        <f>N139*(100+INDEX(DEFAULT!$E$238:$AJ$240,2,'USER INPUTS'!$B$4))/100</f>
        <v>0</v>
      </c>
      <c r="P139" s="150">
        <f>O139*(100+INDEX(DEFAULT!$E$238:$AJ$240,2,'USER INPUTS'!$B$4))/100</f>
        <v>0</v>
      </c>
      <c r="Q139" s="150">
        <f>P139*(100+INDEX(DEFAULT!$E$238:$AJ$240,2,'USER INPUTS'!$B$4))/100</f>
        <v>0</v>
      </c>
      <c r="R139" s="150">
        <f>Q139*(100+INDEX(DEFAULT!$E$238:$AJ$240,2,'USER INPUTS'!$B$4))/100</f>
        <v>0</v>
      </c>
      <c r="S139" s="150">
        <f>R139*(100+INDEX(DEFAULT!$E$238:$AJ$240,2,'USER INPUTS'!$B$4))/100</f>
        <v>0</v>
      </c>
      <c r="T139" s="150">
        <f>S139*(100+INDEX(DEFAULT!$E$238:$AJ$240,2,'USER INPUTS'!$B$4))/100</f>
        <v>0</v>
      </c>
      <c r="U139" s="150">
        <f>T139*(100+INDEX(DEFAULT!$E$238:$AJ$240,2,'USER INPUTS'!$B$4))/100</f>
        <v>0</v>
      </c>
      <c r="V139" s="150">
        <f>U139*(100+INDEX(DEFAULT!$E$238:$AJ$240,2,'USER INPUTS'!$B$4))/100</f>
        <v>0</v>
      </c>
      <c r="W139" s="150">
        <f>V139*(100+INDEX(DEFAULT!$E$238:$AJ$240,2,'USER INPUTS'!$B$4))/100</f>
        <v>0</v>
      </c>
      <c r="X139" s="150">
        <f>W139*(100+INDEX(DEFAULT!$E$238:$AJ$240,2,'USER INPUTS'!$B$4))/100</f>
        <v>0</v>
      </c>
      <c r="Y139" s="150">
        <f>X139*(100+INDEX(DEFAULT!$E$238:$AJ$240,3,'USER INPUTS'!$B$4))/100</f>
        <v>0</v>
      </c>
      <c r="Z139" s="150">
        <f>Y139*(100+INDEX(DEFAULT!$E$238:$AJ$240,3,'USER INPUTS'!$B$4))/100</f>
        <v>0</v>
      </c>
      <c r="AA139" s="150">
        <f>Z139*(100+INDEX(DEFAULT!$E$238:$AJ$240,3,'USER INPUTS'!$B$4))/100</f>
        <v>0</v>
      </c>
      <c r="AB139" s="150">
        <f>AA139*(100+INDEX(DEFAULT!$E$238:$AJ$240,3,'USER INPUTS'!$B$4))/100</f>
        <v>0</v>
      </c>
      <c r="AC139" s="150">
        <f>AB139*(100+INDEX(DEFAULT!$E$238:$AJ$240,3,'USER INPUTS'!$B$4))/100</f>
        <v>0</v>
      </c>
      <c r="AD139" s="150">
        <f>AC139*(100+INDEX(DEFAULT!$E$238:$AJ$240,3,'USER INPUTS'!$B$4))/100</f>
        <v>0</v>
      </c>
      <c r="AE139" s="150">
        <f>AD139*(100+INDEX(DEFAULT!$E$238:$AJ$240,3,'USER INPUTS'!$B$4))/100</f>
        <v>0</v>
      </c>
      <c r="AF139" s="150">
        <f>AE139*(100+INDEX(DEFAULT!$E$238:$AJ$240,3,'USER INPUTS'!$B$4))/100</f>
        <v>0</v>
      </c>
      <c r="AG139" s="150">
        <f>AF139*(100+INDEX(DEFAULT!$E$238:$AJ$240,3,'USER INPUTS'!$B$4))/100</f>
        <v>0</v>
      </c>
      <c r="AH139" s="150">
        <f>AG139*(100+INDEX(DEFAULT!$E$238:$AJ$240,3,'USER INPUTS'!$B$4))/100</f>
        <v>0</v>
      </c>
      <c r="AI139" s="139"/>
      <c r="AJ139" s="133"/>
    </row>
    <row r="140" spans="1:36" s="134" customFormat="1">
      <c r="A140" s="281" t="str">
        <f>INDEX(DEFAULT!E251:AJ257,4,'USER INPUTS'!B4)</f>
        <v>-</v>
      </c>
      <c r="B140" s="266"/>
      <c r="C140" s="100">
        <f>'USER INPUTS'!I7</f>
        <v>0</v>
      </c>
      <c r="D140" s="138"/>
      <c r="E140" s="150">
        <f>(INDEX(DEFAULT!$E$265:$AJ$271,4,'USER INPUTS'!$B$4)/100)*(INDEX(DEFAULT!$E$260:$AJ$260,1,'USER INPUTS'!$B$4)*($C140/100)*1000)</f>
        <v>0</v>
      </c>
      <c r="F140" s="150">
        <f>E140*(100+INDEX(DEFAULT!$E$238:$AJ$240,1,'USER INPUTS'!$B$4))/100</f>
        <v>0</v>
      </c>
      <c r="G140" s="150">
        <f>F140*(100+INDEX(DEFAULT!$E$238:$AJ$240,1,'USER INPUTS'!$B$4))/100</f>
        <v>0</v>
      </c>
      <c r="H140" s="150">
        <f>G140*(100+INDEX(DEFAULT!$E$238:$AJ$240,1,'USER INPUTS'!$B$4))/100</f>
        <v>0</v>
      </c>
      <c r="I140" s="150">
        <f>H140*(100+INDEX(DEFAULT!$E$238:$AJ$240,1,'USER INPUTS'!$B$4))/100</f>
        <v>0</v>
      </c>
      <c r="J140" s="150">
        <f>I140*(100+INDEX(DEFAULT!$E$238:$AJ$240,1,'USER INPUTS'!$B$4))/100</f>
        <v>0</v>
      </c>
      <c r="K140" s="150">
        <f>J140*(100+INDEX(DEFAULT!$E$238:$AJ$240,1,'USER INPUTS'!$B$4))/100</f>
        <v>0</v>
      </c>
      <c r="L140" s="150">
        <f>K140*(100+INDEX(DEFAULT!$E$238:$AJ$240,1,'USER INPUTS'!$B$4))/100</f>
        <v>0</v>
      </c>
      <c r="M140" s="150">
        <f>L140*(100+INDEX(DEFAULT!$E$238:$AJ$240,1,'USER INPUTS'!$B$4))/100</f>
        <v>0</v>
      </c>
      <c r="N140" s="150">
        <f>M140*(100+INDEX(DEFAULT!$E$238:$AJ$240,1,'USER INPUTS'!$B$4))/100</f>
        <v>0</v>
      </c>
      <c r="O140" s="150">
        <f>N140*(100+INDEX(DEFAULT!$E$238:$AJ$240,2,'USER INPUTS'!$B$4))/100</f>
        <v>0</v>
      </c>
      <c r="P140" s="150">
        <f>O140*(100+INDEX(DEFAULT!$E$238:$AJ$240,2,'USER INPUTS'!$B$4))/100</f>
        <v>0</v>
      </c>
      <c r="Q140" s="150">
        <f>P140*(100+INDEX(DEFAULT!$E$238:$AJ$240,2,'USER INPUTS'!$B$4))/100</f>
        <v>0</v>
      </c>
      <c r="R140" s="150">
        <f>Q140*(100+INDEX(DEFAULT!$E$238:$AJ$240,2,'USER INPUTS'!$B$4))/100</f>
        <v>0</v>
      </c>
      <c r="S140" s="150">
        <f>R140*(100+INDEX(DEFAULT!$E$238:$AJ$240,2,'USER INPUTS'!$B$4))/100</f>
        <v>0</v>
      </c>
      <c r="T140" s="150">
        <f>S140*(100+INDEX(DEFAULT!$E$238:$AJ$240,2,'USER INPUTS'!$B$4))/100</f>
        <v>0</v>
      </c>
      <c r="U140" s="150">
        <f>T140*(100+INDEX(DEFAULT!$E$238:$AJ$240,2,'USER INPUTS'!$B$4))/100</f>
        <v>0</v>
      </c>
      <c r="V140" s="150">
        <f>U140*(100+INDEX(DEFAULT!$E$238:$AJ$240,2,'USER INPUTS'!$B$4))/100</f>
        <v>0</v>
      </c>
      <c r="W140" s="150">
        <f>V140*(100+INDEX(DEFAULT!$E$238:$AJ$240,2,'USER INPUTS'!$B$4))/100</f>
        <v>0</v>
      </c>
      <c r="X140" s="150">
        <f>W140*(100+INDEX(DEFAULT!$E$238:$AJ$240,2,'USER INPUTS'!$B$4))/100</f>
        <v>0</v>
      </c>
      <c r="Y140" s="150">
        <f>X140*(100+INDEX(DEFAULT!$E$238:$AJ$240,3,'USER INPUTS'!$B$4))/100</f>
        <v>0</v>
      </c>
      <c r="Z140" s="150">
        <f>Y140*(100+INDEX(DEFAULT!$E$238:$AJ$240,3,'USER INPUTS'!$B$4))/100</f>
        <v>0</v>
      </c>
      <c r="AA140" s="150">
        <f>Z140*(100+INDEX(DEFAULT!$E$238:$AJ$240,3,'USER INPUTS'!$B$4))/100</f>
        <v>0</v>
      </c>
      <c r="AB140" s="150">
        <f>AA140*(100+INDEX(DEFAULT!$E$238:$AJ$240,3,'USER INPUTS'!$B$4))/100</f>
        <v>0</v>
      </c>
      <c r="AC140" s="150">
        <f>AB140*(100+INDEX(DEFAULT!$E$238:$AJ$240,3,'USER INPUTS'!$B$4))/100</f>
        <v>0</v>
      </c>
      <c r="AD140" s="150">
        <f>AC140*(100+INDEX(DEFAULT!$E$238:$AJ$240,3,'USER INPUTS'!$B$4))/100</f>
        <v>0</v>
      </c>
      <c r="AE140" s="150">
        <f>AD140*(100+INDEX(DEFAULT!$E$238:$AJ$240,3,'USER INPUTS'!$B$4))/100</f>
        <v>0</v>
      </c>
      <c r="AF140" s="150">
        <f>AE140*(100+INDEX(DEFAULT!$E$238:$AJ$240,3,'USER INPUTS'!$B$4))/100</f>
        <v>0</v>
      </c>
      <c r="AG140" s="150">
        <f>AF140*(100+INDEX(DEFAULT!$E$238:$AJ$240,3,'USER INPUTS'!$B$4))/100</f>
        <v>0</v>
      </c>
      <c r="AH140" s="150">
        <f>AG140*(100+INDEX(DEFAULT!$E$238:$AJ$240,3,'USER INPUTS'!$B$4))/100</f>
        <v>0</v>
      </c>
      <c r="AI140" s="139"/>
      <c r="AJ140" s="133"/>
    </row>
    <row r="141" spans="1:36" s="134" customFormat="1">
      <c r="A141" s="281" t="str">
        <f>INDEX(DEFAULT!E251:AJ257,5,'USER INPUTS'!B4)</f>
        <v>-</v>
      </c>
      <c r="B141" s="266"/>
      <c r="C141" s="100">
        <f>'USER INPUTS'!I8</f>
        <v>0</v>
      </c>
      <c r="D141" s="138"/>
      <c r="E141" s="150">
        <f>(INDEX(DEFAULT!$E$265:$AJ$271,5,'USER INPUTS'!$B$4)/100)*(INDEX(DEFAULT!$E$260:$AJ$260,1,'USER INPUTS'!$B$4)*($C141/100)*1000)</f>
        <v>0</v>
      </c>
      <c r="F141" s="150">
        <f>E141*(100+INDEX(DEFAULT!$E$238:$AJ$240,1,'USER INPUTS'!$B$4))/100</f>
        <v>0</v>
      </c>
      <c r="G141" s="150">
        <f>F141*(100+INDEX(DEFAULT!$E$238:$AJ$240,1,'USER INPUTS'!$B$4))/100</f>
        <v>0</v>
      </c>
      <c r="H141" s="150">
        <f>G141*(100+INDEX(DEFAULT!$E$238:$AJ$240,1,'USER INPUTS'!$B$4))/100</f>
        <v>0</v>
      </c>
      <c r="I141" s="150">
        <f>H141*(100+INDEX(DEFAULT!$E$238:$AJ$240,1,'USER INPUTS'!$B$4))/100</f>
        <v>0</v>
      </c>
      <c r="J141" s="150">
        <f>I141*(100+INDEX(DEFAULT!$E$238:$AJ$240,1,'USER INPUTS'!$B$4))/100</f>
        <v>0</v>
      </c>
      <c r="K141" s="150">
        <f>J141*(100+INDEX(DEFAULT!$E$238:$AJ$240,1,'USER INPUTS'!$B$4))/100</f>
        <v>0</v>
      </c>
      <c r="L141" s="150">
        <f>K141*(100+INDEX(DEFAULT!$E$238:$AJ$240,1,'USER INPUTS'!$B$4))/100</f>
        <v>0</v>
      </c>
      <c r="M141" s="150">
        <f>L141*(100+INDEX(DEFAULT!$E$238:$AJ$240,1,'USER INPUTS'!$B$4))/100</f>
        <v>0</v>
      </c>
      <c r="N141" s="150">
        <f>M141*(100+INDEX(DEFAULT!$E$238:$AJ$240,1,'USER INPUTS'!$B$4))/100</f>
        <v>0</v>
      </c>
      <c r="O141" s="150">
        <f>N141*(100+INDEX(DEFAULT!$E$238:$AJ$240,2,'USER INPUTS'!$B$4))/100</f>
        <v>0</v>
      </c>
      <c r="P141" s="150">
        <f>O141*(100+INDEX(DEFAULT!$E$238:$AJ$240,2,'USER INPUTS'!$B$4))/100</f>
        <v>0</v>
      </c>
      <c r="Q141" s="150">
        <f>P141*(100+INDEX(DEFAULT!$E$238:$AJ$240,2,'USER INPUTS'!$B$4))/100</f>
        <v>0</v>
      </c>
      <c r="R141" s="150">
        <f>Q141*(100+INDEX(DEFAULT!$E$238:$AJ$240,2,'USER INPUTS'!$B$4))/100</f>
        <v>0</v>
      </c>
      <c r="S141" s="150">
        <f>R141*(100+INDEX(DEFAULT!$E$238:$AJ$240,2,'USER INPUTS'!$B$4))/100</f>
        <v>0</v>
      </c>
      <c r="T141" s="150">
        <f>S141*(100+INDEX(DEFAULT!$E$238:$AJ$240,2,'USER INPUTS'!$B$4))/100</f>
        <v>0</v>
      </c>
      <c r="U141" s="150">
        <f>T141*(100+INDEX(DEFAULT!$E$238:$AJ$240,2,'USER INPUTS'!$B$4))/100</f>
        <v>0</v>
      </c>
      <c r="V141" s="150">
        <f>U141*(100+INDEX(DEFAULT!$E$238:$AJ$240,2,'USER INPUTS'!$B$4))/100</f>
        <v>0</v>
      </c>
      <c r="W141" s="150">
        <f>V141*(100+INDEX(DEFAULT!$E$238:$AJ$240,2,'USER INPUTS'!$B$4))/100</f>
        <v>0</v>
      </c>
      <c r="X141" s="150">
        <f>W141*(100+INDEX(DEFAULT!$E$238:$AJ$240,2,'USER INPUTS'!$B$4))/100</f>
        <v>0</v>
      </c>
      <c r="Y141" s="150">
        <f>X141*(100+INDEX(DEFAULT!$E$238:$AJ$240,3,'USER INPUTS'!$B$4))/100</f>
        <v>0</v>
      </c>
      <c r="Z141" s="150">
        <f>Y141*(100+INDEX(DEFAULT!$E$238:$AJ$240,3,'USER INPUTS'!$B$4))/100</f>
        <v>0</v>
      </c>
      <c r="AA141" s="150">
        <f>Z141*(100+INDEX(DEFAULT!$E$238:$AJ$240,3,'USER INPUTS'!$B$4))/100</f>
        <v>0</v>
      </c>
      <c r="AB141" s="150">
        <f>AA141*(100+INDEX(DEFAULT!$E$238:$AJ$240,3,'USER INPUTS'!$B$4))/100</f>
        <v>0</v>
      </c>
      <c r="AC141" s="150">
        <f>AB141*(100+INDEX(DEFAULT!$E$238:$AJ$240,3,'USER INPUTS'!$B$4))/100</f>
        <v>0</v>
      </c>
      <c r="AD141" s="150">
        <f>AC141*(100+INDEX(DEFAULT!$E$238:$AJ$240,3,'USER INPUTS'!$B$4))/100</f>
        <v>0</v>
      </c>
      <c r="AE141" s="150">
        <f>AD141*(100+INDEX(DEFAULT!$E$238:$AJ$240,3,'USER INPUTS'!$B$4))/100</f>
        <v>0</v>
      </c>
      <c r="AF141" s="150">
        <f>AE141*(100+INDEX(DEFAULT!$E$238:$AJ$240,3,'USER INPUTS'!$B$4))/100</f>
        <v>0</v>
      </c>
      <c r="AG141" s="150">
        <f>AF141*(100+INDEX(DEFAULT!$E$238:$AJ$240,3,'USER INPUTS'!$B$4))/100</f>
        <v>0</v>
      </c>
      <c r="AH141" s="150">
        <f>AG141*(100+INDEX(DEFAULT!$E$238:$AJ$240,3,'USER INPUTS'!$B$4))/100</f>
        <v>0</v>
      </c>
      <c r="AI141" s="139"/>
      <c r="AJ141" s="133"/>
    </row>
    <row r="142" spans="1:36" s="134" customFormat="1">
      <c r="A142" s="281" t="str">
        <f>INDEX(DEFAULT!E251:AJ257,6,'USER INPUTS'!B4)</f>
        <v>-</v>
      </c>
      <c r="B142" s="266"/>
      <c r="C142" s="100">
        <f>'USER INPUTS'!I9</f>
        <v>0</v>
      </c>
      <c r="D142" s="138"/>
      <c r="E142" s="150">
        <f>(INDEX(DEFAULT!$E$265:$AJ$271,6,'USER INPUTS'!$B$4)/100)*(INDEX(DEFAULT!$E$260:$AJ$260,1,'USER INPUTS'!$B$4)*($C142/100)*1000)</f>
        <v>0</v>
      </c>
      <c r="F142" s="150">
        <f>E142*(100+INDEX(DEFAULT!$E$238:$AJ$240,1,'USER INPUTS'!$B$4))/100</f>
        <v>0</v>
      </c>
      <c r="G142" s="150">
        <f>F142*(100+INDEX(DEFAULT!$E$238:$AJ$240,1,'USER INPUTS'!$B$4))/100</f>
        <v>0</v>
      </c>
      <c r="H142" s="150">
        <f>G142*(100+INDEX(DEFAULT!$E$238:$AJ$240,1,'USER INPUTS'!$B$4))/100</f>
        <v>0</v>
      </c>
      <c r="I142" s="150">
        <f>H142*(100+INDEX(DEFAULT!$E$238:$AJ$240,1,'USER INPUTS'!$B$4))/100</f>
        <v>0</v>
      </c>
      <c r="J142" s="150">
        <f>I142*(100+INDEX(DEFAULT!$E$238:$AJ$240,1,'USER INPUTS'!$B$4))/100</f>
        <v>0</v>
      </c>
      <c r="K142" s="150">
        <f>J142*(100+INDEX(DEFAULT!$E$238:$AJ$240,1,'USER INPUTS'!$B$4))/100</f>
        <v>0</v>
      </c>
      <c r="L142" s="150">
        <f>K142*(100+INDEX(DEFAULT!$E$238:$AJ$240,1,'USER INPUTS'!$B$4))/100</f>
        <v>0</v>
      </c>
      <c r="M142" s="150">
        <f>L142*(100+INDEX(DEFAULT!$E$238:$AJ$240,1,'USER INPUTS'!$B$4))/100</f>
        <v>0</v>
      </c>
      <c r="N142" s="150">
        <f>M142*(100+INDEX(DEFAULT!$E$238:$AJ$240,1,'USER INPUTS'!$B$4))/100</f>
        <v>0</v>
      </c>
      <c r="O142" s="150">
        <f>N142*(100+INDEX(DEFAULT!$E$238:$AJ$240,2,'USER INPUTS'!$B$4))/100</f>
        <v>0</v>
      </c>
      <c r="P142" s="150">
        <f>O142*(100+INDEX(DEFAULT!$E$238:$AJ$240,2,'USER INPUTS'!$B$4))/100</f>
        <v>0</v>
      </c>
      <c r="Q142" s="150">
        <f>P142*(100+INDEX(DEFAULT!$E$238:$AJ$240,2,'USER INPUTS'!$B$4))/100</f>
        <v>0</v>
      </c>
      <c r="R142" s="150">
        <f>Q142*(100+INDEX(DEFAULT!$E$238:$AJ$240,2,'USER INPUTS'!$B$4))/100</f>
        <v>0</v>
      </c>
      <c r="S142" s="150">
        <f>R142*(100+INDEX(DEFAULT!$E$238:$AJ$240,2,'USER INPUTS'!$B$4))/100</f>
        <v>0</v>
      </c>
      <c r="T142" s="150">
        <f>S142*(100+INDEX(DEFAULT!$E$238:$AJ$240,2,'USER INPUTS'!$B$4))/100</f>
        <v>0</v>
      </c>
      <c r="U142" s="150">
        <f>T142*(100+INDEX(DEFAULT!$E$238:$AJ$240,2,'USER INPUTS'!$B$4))/100</f>
        <v>0</v>
      </c>
      <c r="V142" s="150">
        <f>U142*(100+INDEX(DEFAULT!$E$238:$AJ$240,2,'USER INPUTS'!$B$4))/100</f>
        <v>0</v>
      </c>
      <c r="W142" s="150">
        <f>V142*(100+INDEX(DEFAULT!$E$238:$AJ$240,2,'USER INPUTS'!$B$4))/100</f>
        <v>0</v>
      </c>
      <c r="X142" s="150">
        <f>W142*(100+INDEX(DEFAULT!$E$238:$AJ$240,2,'USER INPUTS'!$B$4))/100</f>
        <v>0</v>
      </c>
      <c r="Y142" s="150">
        <f>X142*(100+INDEX(DEFAULT!$E$238:$AJ$240,3,'USER INPUTS'!$B$4))/100</f>
        <v>0</v>
      </c>
      <c r="Z142" s="150">
        <f>Y142*(100+INDEX(DEFAULT!$E$238:$AJ$240,3,'USER INPUTS'!$B$4))/100</f>
        <v>0</v>
      </c>
      <c r="AA142" s="150">
        <f>Z142*(100+INDEX(DEFAULT!$E$238:$AJ$240,3,'USER INPUTS'!$B$4))/100</f>
        <v>0</v>
      </c>
      <c r="AB142" s="150">
        <f>AA142*(100+INDEX(DEFAULT!$E$238:$AJ$240,3,'USER INPUTS'!$B$4))/100</f>
        <v>0</v>
      </c>
      <c r="AC142" s="150">
        <f>AB142*(100+INDEX(DEFAULT!$E$238:$AJ$240,3,'USER INPUTS'!$B$4))/100</f>
        <v>0</v>
      </c>
      <c r="AD142" s="150">
        <f>AC142*(100+INDEX(DEFAULT!$E$238:$AJ$240,3,'USER INPUTS'!$B$4))/100</f>
        <v>0</v>
      </c>
      <c r="AE142" s="150">
        <f>AD142*(100+INDEX(DEFAULT!$E$238:$AJ$240,3,'USER INPUTS'!$B$4))/100</f>
        <v>0</v>
      </c>
      <c r="AF142" s="150">
        <f>AE142*(100+INDEX(DEFAULT!$E$238:$AJ$240,3,'USER INPUTS'!$B$4))/100</f>
        <v>0</v>
      </c>
      <c r="AG142" s="150">
        <f>AF142*(100+INDEX(DEFAULT!$E$238:$AJ$240,3,'USER INPUTS'!$B$4))/100</f>
        <v>0</v>
      </c>
      <c r="AH142" s="150">
        <f>AG142*(100+INDEX(DEFAULT!$E$238:$AJ$240,3,'USER INPUTS'!$B$4))/100</f>
        <v>0</v>
      </c>
      <c r="AI142" s="139"/>
      <c r="AJ142" s="133"/>
    </row>
    <row r="143" spans="1:36" s="134" customFormat="1">
      <c r="A143" s="281" t="str">
        <f>INDEX(DEFAULT!E251:AJ257,7,'USER INPUTS'!B4)</f>
        <v>-</v>
      </c>
      <c r="B143" s="266"/>
      <c r="C143" s="100">
        <f>'USER INPUTS'!I10</f>
        <v>0</v>
      </c>
      <c r="D143" s="138"/>
      <c r="E143" s="150">
        <f>(INDEX(DEFAULT!$E$265:$AJ$271,7,'USER INPUTS'!$B$4)/100)*(INDEX(DEFAULT!$E$260:$AJ$260,1,'USER INPUTS'!$B$4)*($C143/100)*1000)</f>
        <v>0</v>
      </c>
      <c r="F143" s="150">
        <f>E143*(100+INDEX(DEFAULT!$E$238:$AJ$240,1,'USER INPUTS'!$B$4))/100</f>
        <v>0</v>
      </c>
      <c r="G143" s="150">
        <f>F143*(100+INDEX(DEFAULT!$E$238:$AJ$240,1,'USER INPUTS'!$B$4))/100</f>
        <v>0</v>
      </c>
      <c r="H143" s="150">
        <f>G143*(100+INDEX(DEFAULT!$E$238:$AJ$240,1,'USER INPUTS'!$B$4))/100</f>
        <v>0</v>
      </c>
      <c r="I143" s="150">
        <f>H143*(100+INDEX(DEFAULT!$E$238:$AJ$240,1,'USER INPUTS'!$B$4))/100</f>
        <v>0</v>
      </c>
      <c r="J143" s="150">
        <f>I143*(100+INDEX(DEFAULT!$E$238:$AJ$240,1,'USER INPUTS'!$B$4))/100</f>
        <v>0</v>
      </c>
      <c r="K143" s="150">
        <f>J143*(100+INDEX(DEFAULT!$E$238:$AJ$240,1,'USER INPUTS'!$B$4))/100</f>
        <v>0</v>
      </c>
      <c r="L143" s="150">
        <f>K143*(100+INDEX(DEFAULT!$E$238:$AJ$240,1,'USER INPUTS'!$B$4))/100</f>
        <v>0</v>
      </c>
      <c r="M143" s="150">
        <f>L143*(100+INDEX(DEFAULT!$E$238:$AJ$240,1,'USER INPUTS'!$B$4))/100</f>
        <v>0</v>
      </c>
      <c r="N143" s="150">
        <f>M143*(100+INDEX(DEFAULT!$E$238:$AJ$240,1,'USER INPUTS'!$B$4))/100</f>
        <v>0</v>
      </c>
      <c r="O143" s="150">
        <f>N143*(100+INDEX(DEFAULT!$E$238:$AJ$240,2,'USER INPUTS'!$B$4))/100</f>
        <v>0</v>
      </c>
      <c r="P143" s="150">
        <f>O143*(100+INDEX(DEFAULT!$E$238:$AJ$240,2,'USER INPUTS'!$B$4))/100</f>
        <v>0</v>
      </c>
      <c r="Q143" s="150">
        <f>P143*(100+INDEX(DEFAULT!$E$238:$AJ$240,2,'USER INPUTS'!$B$4))/100</f>
        <v>0</v>
      </c>
      <c r="R143" s="150">
        <f>Q143*(100+INDEX(DEFAULT!$E$238:$AJ$240,2,'USER INPUTS'!$B$4))/100</f>
        <v>0</v>
      </c>
      <c r="S143" s="150">
        <f>R143*(100+INDEX(DEFAULT!$E$238:$AJ$240,2,'USER INPUTS'!$B$4))/100</f>
        <v>0</v>
      </c>
      <c r="T143" s="150">
        <f>S143*(100+INDEX(DEFAULT!$E$238:$AJ$240,2,'USER INPUTS'!$B$4))/100</f>
        <v>0</v>
      </c>
      <c r="U143" s="150">
        <f>T143*(100+INDEX(DEFAULT!$E$238:$AJ$240,2,'USER INPUTS'!$B$4))/100</f>
        <v>0</v>
      </c>
      <c r="V143" s="150">
        <f>U143*(100+INDEX(DEFAULT!$E$238:$AJ$240,2,'USER INPUTS'!$B$4))/100</f>
        <v>0</v>
      </c>
      <c r="W143" s="150">
        <f>V143*(100+INDEX(DEFAULT!$E$238:$AJ$240,2,'USER INPUTS'!$B$4))/100</f>
        <v>0</v>
      </c>
      <c r="X143" s="150">
        <f>W143*(100+INDEX(DEFAULT!$E$238:$AJ$240,2,'USER INPUTS'!$B$4))/100</f>
        <v>0</v>
      </c>
      <c r="Y143" s="150">
        <f>X143*(100+INDEX(DEFAULT!$E$238:$AJ$240,3,'USER INPUTS'!$B$4))/100</f>
        <v>0</v>
      </c>
      <c r="Z143" s="150">
        <f>Y143*(100+INDEX(DEFAULT!$E$238:$AJ$240,3,'USER INPUTS'!$B$4))/100</f>
        <v>0</v>
      </c>
      <c r="AA143" s="150">
        <f>Z143*(100+INDEX(DEFAULT!$E$238:$AJ$240,3,'USER INPUTS'!$B$4))/100</f>
        <v>0</v>
      </c>
      <c r="AB143" s="150">
        <f>AA143*(100+INDEX(DEFAULT!$E$238:$AJ$240,3,'USER INPUTS'!$B$4))/100</f>
        <v>0</v>
      </c>
      <c r="AC143" s="150">
        <f>AB143*(100+INDEX(DEFAULT!$E$238:$AJ$240,3,'USER INPUTS'!$B$4))/100</f>
        <v>0</v>
      </c>
      <c r="AD143" s="150">
        <f>AC143*(100+INDEX(DEFAULT!$E$238:$AJ$240,3,'USER INPUTS'!$B$4))/100</f>
        <v>0</v>
      </c>
      <c r="AE143" s="150">
        <f>AD143*(100+INDEX(DEFAULT!$E$238:$AJ$240,3,'USER INPUTS'!$B$4))/100</f>
        <v>0</v>
      </c>
      <c r="AF143" s="150">
        <f>AE143*(100+INDEX(DEFAULT!$E$238:$AJ$240,3,'USER INPUTS'!$B$4))/100</f>
        <v>0</v>
      </c>
      <c r="AG143" s="150">
        <f>AF143*(100+INDEX(DEFAULT!$E$238:$AJ$240,3,'USER INPUTS'!$B$4))/100</f>
        <v>0</v>
      </c>
      <c r="AH143" s="150">
        <f>AG143*(100+INDEX(DEFAULT!$E$238:$AJ$240,3,'USER INPUTS'!$B$4))/100</f>
        <v>0</v>
      </c>
      <c r="AI143" s="139"/>
      <c r="AJ143" s="133"/>
    </row>
    <row r="144" spans="1:36" s="134" customFormat="1">
      <c r="A144" s="43" t="s">
        <v>443</v>
      </c>
      <c r="B144" s="266"/>
      <c r="C144" s="106"/>
      <c r="D144" s="277"/>
      <c r="E144" s="172">
        <f>SUM(E137:E143)</f>
        <v>0</v>
      </c>
      <c r="F144" s="172">
        <f>SUM(F137:F143)</f>
        <v>0</v>
      </c>
      <c r="G144" s="172">
        <f t="shared" ref="G144:AH144" si="69">SUM(G137:G143)</f>
        <v>0</v>
      </c>
      <c r="H144" s="172">
        <f t="shared" si="69"/>
        <v>0</v>
      </c>
      <c r="I144" s="172">
        <f t="shared" si="69"/>
        <v>0</v>
      </c>
      <c r="J144" s="172">
        <f t="shared" si="69"/>
        <v>0</v>
      </c>
      <c r="K144" s="172">
        <f t="shared" si="69"/>
        <v>0</v>
      </c>
      <c r="L144" s="172">
        <f t="shared" si="69"/>
        <v>0</v>
      </c>
      <c r="M144" s="172">
        <f t="shared" si="69"/>
        <v>0</v>
      </c>
      <c r="N144" s="172">
        <f t="shared" si="69"/>
        <v>0</v>
      </c>
      <c r="O144" s="172">
        <f t="shared" si="69"/>
        <v>0</v>
      </c>
      <c r="P144" s="172">
        <f t="shared" si="69"/>
        <v>0</v>
      </c>
      <c r="Q144" s="172">
        <f t="shared" si="69"/>
        <v>0</v>
      </c>
      <c r="R144" s="172">
        <f t="shared" si="69"/>
        <v>0</v>
      </c>
      <c r="S144" s="172">
        <f t="shared" si="69"/>
        <v>0</v>
      </c>
      <c r="T144" s="172">
        <f t="shared" si="69"/>
        <v>0</v>
      </c>
      <c r="U144" s="172">
        <f t="shared" si="69"/>
        <v>0</v>
      </c>
      <c r="V144" s="172">
        <f t="shared" si="69"/>
        <v>0</v>
      </c>
      <c r="W144" s="172">
        <f t="shared" si="69"/>
        <v>0</v>
      </c>
      <c r="X144" s="172">
        <f t="shared" si="69"/>
        <v>0</v>
      </c>
      <c r="Y144" s="172">
        <f t="shared" si="69"/>
        <v>0</v>
      </c>
      <c r="Z144" s="172">
        <f t="shared" si="69"/>
        <v>0</v>
      </c>
      <c r="AA144" s="172">
        <f t="shared" si="69"/>
        <v>0</v>
      </c>
      <c r="AB144" s="172">
        <f t="shared" si="69"/>
        <v>0</v>
      </c>
      <c r="AC144" s="172">
        <f t="shared" si="69"/>
        <v>0</v>
      </c>
      <c r="AD144" s="172">
        <f t="shared" si="69"/>
        <v>0</v>
      </c>
      <c r="AE144" s="172">
        <f t="shared" si="69"/>
        <v>0</v>
      </c>
      <c r="AF144" s="172">
        <f t="shared" si="69"/>
        <v>0</v>
      </c>
      <c r="AG144" s="172">
        <f t="shared" si="69"/>
        <v>0</v>
      </c>
      <c r="AH144" s="172">
        <f t="shared" si="69"/>
        <v>0</v>
      </c>
      <c r="AI144" s="139"/>
      <c r="AJ144" s="133"/>
    </row>
    <row r="145" spans="1:36" s="134" customFormat="1">
      <c r="A145" s="43"/>
      <c r="B145" s="446"/>
      <c r="C145" s="106"/>
      <c r="D145" s="448"/>
      <c r="E145" s="172"/>
      <c r="F145" s="172"/>
      <c r="G145" s="172"/>
      <c r="H145" s="172"/>
      <c r="I145" s="172"/>
      <c r="J145" s="172"/>
      <c r="K145" s="172"/>
      <c r="L145" s="172"/>
      <c r="M145" s="172"/>
      <c r="N145" s="172"/>
      <c r="O145" s="172"/>
      <c r="P145" s="172"/>
      <c r="Q145" s="172"/>
      <c r="R145" s="172"/>
      <c r="S145" s="172"/>
      <c r="T145" s="172"/>
      <c r="U145" s="172"/>
      <c r="V145" s="172"/>
      <c r="W145" s="172"/>
      <c r="X145" s="172"/>
      <c r="Y145" s="172"/>
      <c r="Z145" s="172"/>
      <c r="AA145" s="172"/>
      <c r="AB145" s="172"/>
      <c r="AC145" s="172"/>
      <c r="AD145" s="172"/>
      <c r="AE145" s="172"/>
      <c r="AF145" s="172"/>
      <c r="AG145" s="172"/>
      <c r="AH145" s="172"/>
      <c r="AI145" s="139"/>
      <c r="AJ145" s="133"/>
    </row>
    <row r="146" spans="1:36" s="134" customFormat="1">
      <c r="A146" s="128" t="s">
        <v>549</v>
      </c>
      <c r="B146" s="447"/>
      <c r="C146" s="219"/>
      <c r="D146" s="77"/>
      <c r="E146" s="463">
        <v>2021</v>
      </c>
      <c r="F146" s="463">
        <v>2022</v>
      </c>
      <c r="G146" s="463">
        <v>2023</v>
      </c>
      <c r="H146" s="463">
        <v>2024</v>
      </c>
      <c r="I146" s="463">
        <v>2025</v>
      </c>
      <c r="J146" s="463">
        <v>2026</v>
      </c>
      <c r="K146" s="463">
        <v>2027</v>
      </c>
      <c r="L146" s="463">
        <v>2028</v>
      </c>
      <c r="M146" s="463">
        <v>2029</v>
      </c>
      <c r="N146" s="463">
        <v>2030</v>
      </c>
      <c r="O146" s="463">
        <v>2031</v>
      </c>
      <c r="P146" s="463">
        <v>2032</v>
      </c>
      <c r="Q146" s="463">
        <v>2033</v>
      </c>
      <c r="R146" s="463">
        <v>2034</v>
      </c>
      <c r="S146" s="463">
        <v>2035</v>
      </c>
      <c r="T146" s="463">
        <v>2036</v>
      </c>
      <c r="U146" s="463">
        <v>2037</v>
      </c>
      <c r="V146" s="463">
        <v>2038</v>
      </c>
      <c r="W146" s="463">
        <v>2039</v>
      </c>
      <c r="X146" s="463">
        <v>2040</v>
      </c>
      <c r="Y146" s="463">
        <v>2041</v>
      </c>
      <c r="Z146" s="463">
        <v>2042</v>
      </c>
      <c r="AA146" s="463">
        <v>2043</v>
      </c>
      <c r="AB146" s="463">
        <v>2044</v>
      </c>
      <c r="AC146" s="463">
        <v>2045</v>
      </c>
      <c r="AD146" s="463">
        <v>2046</v>
      </c>
      <c r="AE146" s="463">
        <v>2047</v>
      </c>
      <c r="AF146" s="463">
        <v>2048</v>
      </c>
      <c r="AG146" s="463">
        <v>2049</v>
      </c>
      <c r="AH146" s="463">
        <v>2050</v>
      </c>
      <c r="AI146" s="139"/>
      <c r="AJ146" s="133"/>
    </row>
    <row r="147" spans="1:36" s="134" customFormat="1">
      <c r="A147" s="551" t="s">
        <v>453</v>
      </c>
      <c r="B147" s="186" t="s">
        <v>199</v>
      </c>
      <c r="C147" s="100"/>
      <c r="D147" s="448"/>
      <c r="E147" s="156">
        <f>E127</f>
        <v>2.0553618913043477</v>
      </c>
      <c r="F147" s="156">
        <f t="shared" ref="F147:AH147" si="70">F127</f>
        <v>2.0553618913043477</v>
      </c>
      <c r="G147" s="156">
        <f t="shared" si="70"/>
        <v>2.0553618913043477</v>
      </c>
      <c r="H147" s="156">
        <f t="shared" si="70"/>
        <v>2.0553618913043477</v>
      </c>
      <c r="I147" s="156">
        <f t="shared" si="70"/>
        <v>2.0553618913043477</v>
      </c>
      <c r="J147" s="156">
        <f t="shared" si="70"/>
        <v>2.0553618913043477</v>
      </c>
      <c r="K147" s="156">
        <f t="shared" si="70"/>
        <v>2.0553618913043477</v>
      </c>
      <c r="L147" s="156">
        <f t="shared" si="70"/>
        <v>2.0553618913043477</v>
      </c>
      <c r="M147" s="156">
        <f t="shared" si="70"/>
        <v>2.0553618913043477</v>
      </c>
      <c r="N147" s="156">
        <f t="shared" si="70"/>
        <v>2.0553618913043477</v>
      </c>
      <c r="O147" s="156">
        <f t="shared" si="70"/>
        <v>2.0553618913043477</v>
      </c>
      <c r="P147" s="156">
        <f t="shared" si="70"/>
        <v>2.0553618913043477</v>
      </c>
      <c r="Q147" s="156">
        <f t="shared" si="70"/>
        <v>2.0553618913043477</v>
      </c>
      <c r="R147" s="156">
        <f t="shared" si="70"/>
        <v>2.0553618913043477</v>
      </c>
      <c r="S147" s="156">
        <f t="shared" si="70"/>
        <v>2.0553618913043477</v>
      </c>
      <c r="T147" s="156">
        <f t="shared" si="70"/>
        <v>2.0553618913043477</v>
      </c>
      <c r="U147" s="156">
        <f t="shared" si="70"/>
        <v>2.0553618913043477</v>
      </c>
      <c r="V147" s="156">
        <f t="shared" si="70"/>
        <v>2.0553618913043477</v>
      </c>
      <c r="W147" s="156">
        <f t="shared" si="70"/>
        <v>2.0553618913043477</v>
      </c>
      <c r="X147" s="156">
        <f t="shared" si="70"/>
        <v>1.9772581394347826</v>
      </c>
      <c r="Y147" s="156">
        <f t="shared" si="70"/>
        <v>1.9021223301362611</v>
      </c>
      <c r="Z147" s="156">
        <f t="shared" si="70"/>
        <v>1.8298416815910834</v>
      </c>
      <c r="AA147" s="156">
        <f t="shared" si="70"/>
        <v>1.7603076976906222</v>
      </c>
      <c r="AB147" s="156">
        <f t="shared" si="70"/>
        <v>1.6934160051783786</v>
      </c>
      <c r="AC147" s="156">
        <f t="shared" si="70"/>
        <v>1.6290661969816005</v>
      </c>
      <c r="AD147" s="156">
        <f t="shared" si="70"/>
        <v>1.5671616814963001</v>
      </c>
      <c r="AE147" s="156">
        <f t="shared" si="70"/>
        <v>1.5076095375994407</v>
      </c>
      <c r="AF147" s="156">
        <f t="shared" si="70"/>
        <v>1.4503203751706621</v>
      </c>
      <c r="AG147" s="156">
        <f t="shared" si="70"/>
        <v>1.3952082009141771</v>
      </c>
      <c r="AH147" s="156">
        <f t="shared" si="70"/>
        <v>1.3421902892794382</v>
      </c>
      <c r="AI147" s="139"/>
      <c r="AJ147" s="133"/>
    </row>
    <row r="148" spans="1:36" s="134" customFormat="1">
      <c r="A148" s="560" t="s">
        <v>452</v>
      </c>
      <c r="B148" s="386" t="s">
        <v>77</v>
      </c>
      <c r="C148" s="219"/>
      <c r="D148" s="77"/>
      <c r="E148" s="150">
        <f>E144</f>
        <v>0</v>
      </c>
      <c r="F148" s="150">
        <f t="shared" ref="F148:AH148" si="71">F144</f>
        <v>0</v>
      </c>
      <c r="G148" s="150">
        <f t="shared" si="71"/>
        <v>0</v>
      </c>
      <c r="H148" s="150">
        <f t="shared" si="71"/>
        <v>0</v>
      </c>
      <c r="I148" s="150">
        <f t="shared" si="71"/>
        <v>0</v>
      </c>
      <c r="J148" s="150">
        <f t="shared" si="71"/>
        <v>0</v>
      </c>
      <c r="K148" s="150">
        <f t="shared" si="71"/>
        <v>0</v>
      </c>
      <c r="L148" s="150">
        <f t="shared" si="71"/>
        <v>0</v>
      </c>
      <c r="M148" s="150">
        <f t="shared" si="71"/>
        <v>0</v>
      </c>
      <c r="N148" s="150">
        <f t="shared" si="71"/>
        <v>0</v>
      </c>
      <c r="O148" s="150">
        <f t="shared" si="71"/>
        <v>0</v>
      </c>
      <c r="P148" s="150">
        <f t="shared" si="71"/>
        <v>0</v>
      </c>
      <c r="Q148" s="150">
        <f t="shared" si="71"/>
        <v>0</v>
      </c>
      <c r="R148" s="150">
        <f t="shared" si="71"/>
        <v>0</v>
      </c>
      <c r="S148" s="150">
        <f t="shared" si="71"/>
        <v>0</v>
      </c>
      <c r="T148" s="150">
        <f t="shared" si="71"/>
        <v>0</v>
      </c>
      <c r="U148" s="150">
        <f t="shared" si="71"/>
        <v>0</v>
      </c>
      <c r="V148" s="150">
        <f t="shared" si="71"/>
        <v>0</v>
      </c>
      <c r="W148" s="150">
        <f t="shared" si="71"/>
        <v>0</v>
      </c>
      <c r="X148" s="150">
        <f t="shared" si="71"/>
        <v>0</v>
      </c>
      <c r="Y148" s="150">
        <f t="shared" si="71"/>
        <v>0</v>
      </c>
      <c r="Z148" s="150">
        <f t="shared" si="71"/>
        <v>0</v>
      </c>
      <c r="AA148" s="150">
        <f t="shared" si="71"/>
        <v>0</v>
      </c>
      <c r="AB148" s="150">
        <f t="shared" si="71"/>
        <v>0</v>
      </c>
      <c r="AC148" s="150">
        <f t="shared" si="71"/>
        <v>0</v>
      </c>
      <c r="AD148" s="150">
        <f t="shared" si="71"/>
        <v>0</v>
      </c>
      <c r="AE148" s="150">
        <f t="shared" si="71"/>
        <v>0</v>
      </c>
      <c r="AF148" s="150">
        <f t="shared" si="71"/>
        <v>0</v>
      </c>
      <c r="AG148" s="150">
        <f t="shared" si="71"/>
        <v>0</v>
      </c>
      <c r="AH148" s="150">
        <f t="shared" si="71"/>
        <v>0</v>
      </c>
      <c r="AI148" s="139"/>
      <c r="AJ148" s="133"/>
    </row>
    <row r="149" spans="1:36" s="134" customFormat="1">
      <c r="A149" s="551" t="s">
        <v>552</v>
      </c>
      <c r="B149" s="186" t="s">
        <v>555</v>
      </c>
      <c r="C149" s="100"/>
      <c r="D149" s="448"/>
      <c r="E149" s="561">
        <f>E147*E148</f>
        <v>0</v>
      </c>
      <c r="F149" s="561">
        <f t="shared" ref="F149:AH149" si="72">F147*F148</f>
        <v>0</v>
      </c>
      <c r="G149" s="561">
        <f t="shared" si="72"/>
        <v>0</v>
      </c>
      <c r="H149" s="561">
        <f t="shared" si="72"/>
        <v>0</v>
      </c>
      <c r="I149" s="561">
        <f t="shared" si="72"/>
        <v>0</v>
      </c>
      <c r="J149" s="561">
        <f t="shared" si="72"/>
        <v>0</v>
      </c>
      <c r="K149" s="561">
        <f t="shared" si="72"/>
        <v>0</v>
      </c>
      <c r="L149" s="561">
        <f t="shared" si="72"/>
        <v>0</v>
      </c>
      <c r="M149" s="561">
        <f t="shared" si="72"/>
        <v>0</v>
      </c>
      <c r="N149" s="561">
        <f t="shared" si="72"/>
        <v>0</v>
      </c>
      <c r="O149" s="561">
        <f t="shared" si="72"/>
        <v>0</v>
      </c>
      <c r="P149" s="561">
        <f t="shared" si="72"/>
        <v>0</v>
      </c>
      <c r="Q149" s="561">
        <f t="shared" si="72"/>
        <v>0</v>
      </c>
      <c r="R149" s="561">
        <f t="shared" si="72"/>
        <v>0</v>
      </c>
      <c r="S149" s="561">
        <f t="shared" si="72"/>
        <v>0</v>
      </c>
      <c r="T149" s="561">
        <f t="shared" si="72"/>
        <v>0</v>
      </c>
      <c r="U149" s="561">
        <f t="shared" si="72"/>
        <v>0</v>
      </c>
      <c r="V149" s="561">
        <f t="shared" si="72"/>
        <v>0</v>
      </c>
      <c r="W149" s="561">
        <f t="shared" si="72"/>
        <v>0</v>
      </c>
      <c r="X149" s="561">
        <f t="shared" si="72"/>
        <v>0</v>
      </c>
      <c r="Y149" s="561">
        <f t="shared" si="72"/>
        <v>0</v>
      </c>
      <c r="Z149" s="561">
        <f t="shared" si="72"/>
        <v>0</v>
      </c>
      <c r="AA149" s="561">
        <f t="shared" si="72"/>
        <v>0</v>
      </c>
      <c r="AB149" s="561">
        <f t="shared" si="72"/>
        <v>0</v>
      </c>
      <c r="AC149" s="561">
        <f t="shared" si="72"/>
        <v>0</v>
      </c>
      <c r="AD149" s="561">
        <f t="shared" si="72"/>
        <v>0</v>
      </c>
      <c r="AE149" s="561">
        <f t="shared" si="72"/>
        <v>0</v>
      </c>
      <c r="AF149" s="561">
        <f t="shared" si="72"/>
        <v>0</v>
      </c>
      <c r="AG149" s="561">
        <f t="shared" si="72"/>
        <v>0</v>
      </c>
      <c r="AH149" s="561">
        <f t="shared" si="72"/>
        <v>0</v>
      </c>
      <c r="AI149" s="139"/>
      <c r="AJ149" s="133"/>
    </row>
    <row r="150" spans="1:36" s="134" customFormat="1">
      <c r="A150" s="43"/>
      <c r="B150" s="446"/>
      <c r="C150" s="106"/>
      <c r="D150" s="448"/>
      <c r="E150" s="172"/>
      <c r="F150" s="172"/>
      <c r="G150" s="172"/>
      <c r="H150" s="172"/>
      <c r="I150" s="172"/>
      <c r="J150" s="172"/>
      <c r="K150" s="172"/>
      <c r="L150" s="172"/>
      <c r="M150" s="172"/>
      <c r="N150" s="172"/>
      <c r="O150" s="172"/>
      <c r="P150" s="172"/>
      <c r="Q150" s="172"/>
      <c r="R150" s="172"/>
      <c r="S150" s="172"/>
      <c r="T150" s="172"/>
      <c r="U150" s="172"/>
      <c r="V150" s="172"/>
      <c r="W150" s="172"/>
      <c r="X150" s="172"/>
      <c r="Y150" s="172"/>
      <c r="Z150" s="172"/>
      <c r="AA150" s="172"/>
      <c r="AB150" s="172"/>
      <c r="AC150" s="172"/>
      <c r="AD150" s="172"/>
      <c r="AE150" s="172"/>
      <c r="AF150" s="172"/>
      <c r="AG150" s="172"/>
      <c r="AH150" s="172"/>
      <c r="AI150" s="139"/>
      <c r="AJ150" s="133"/>
    </row>
    <row r="151" spans="1:36" s="134" customFormat="1">
      <c r="A151" s="43"/>
      <c r="B151" s="294"/>
      <c r="C151" s="186" t="s">
        <v>249</v>
      </c>
      <c r="D151" s="295"/>
      <c r="E151" s="308" t="s">
        <v>77</v>
      </c>
      <c r="F151" s="172"/>
      <c r="G151" s="172"/>
      <c r="H151" s="172"/>
      <c r="I151" s="172"/>
      <c r="J151" s="172"/>
      <c r="K151" s="172"/>
      <c r="L151" s="172"/>
      <c r="M151" s="172"/>
      <c r="N151" s="172"/>
      <c r="O151" s="172"/>
      <c r="P151" s="172"/>
      <c r="Q151" s="172"/>
      <c r="R151" s="172"/>
      <c r="S151" s="172"/>
      <c r="T151" s="172"/>
      <c r="U151" s="172"/>
      <c r="V151" s="172"/>
      <c r="W151" s="172"/>
      <c r="X151" s="172"/>
      <c r="Y151" s="172"/>
      <c r="Z151" s="172"/>
      <c r="AA151" s="172"/>
      <c r="AB151" s="172"/>
      <c r="AC151" s="172"/>
      <c r="AD151" s="172"/>
      <c r="AE151" s="172"/>
      <c r="AF151" s="172"/>
      <c r="AG151" s="172"/>
      <c r="AH151" s="172"/>
      <c r="AI151" s="139"/>
      <c r="AJ151" s="133"/>
    </row>
    <row r="152" spans="1:36" s="134" customFormat="1">
      <c r="A152" s="43" t="s">
        <v>550</v>
      </c>
      <c r="B152" s="293"/>
      <c r="C152" s="386" t="s">
        <v>442</v>
      </c>
      <c r="D152" s="290"/>
      <c r="E152" s="293">
        <v>2021</v>
      </c>
      <c r="F152" s="293">
        <f t="shared" ref="F152:AH152" si="73">E152+1</f>
        <v>2022</v>
      </c>
      <c r="G152" s="293">
        <f t="shared" si="73"/>
        <v>2023</v>
      </c>
      <c r="H152" s="293">
        <f t="shared" si="73"/>
        <v>2024</v>
      </c>
      <c r="I152" s="293">
        <f t="shared" si="73"/>
        <v>2025</v>
      </c>
      <c r="J152" s="293">
        <f t="shared" si="73"/>
        <v>2026</v>
      </c>
      <c r="K152" s="293">
        <f t="shared" si="73"/>
        <v>2027</v>
      </c>
      <c r="L152" s="293">
        <f t="shared" si="73"/>
        <v>2028</v>
      </c>
      <c r="M152" s="293">
        <f t="shared" si="73"/>
        <v>2029</v>
      </c>
      <c r="N152" s="293">
        <f t="shared" si="73"/>
        <v>2030</v>
      </c>
      <c r="O152" s="293">
        <f t="shared" si="73"/>
        <v>2031</v>
      </c>
      <c r="P152" s="293">
        <f t="shared" si="73"/>
        <v>2032</v>
      </c>
      <c r="Q152" s="293">
        <f t="shared" si="73"/>
        <v>2033</v>
      </c>
      <c r="R152" s="293">
        <f t="shared" si="73"/>
        <v>2034</v>
      </c>
      <c r="S152" s="293">
        <f t="shared" si="73"/>
        <v>2035</v>
      </c>
      <c r="T152" s="293">
        <f t="shared" si="73"/>
        <v>2036</v>
      </c>
      <c r="U152" s="293">
        <f t="shared" si="73"/>
        <v>2037</v>
      </c>
      <c r="V152" s="293">
        <f t="shared" si="73"/>
        <v>2038</v>
      </c>
      <c r="W152" s="293">
        <f t="shared" si="73"/>
        <v>2039</v>
      </c>
      <c r="X152" s="293">
        <f t="shared" si="73"/>
        <v>2040</v>
      </c>
      <c r="Y152" s="293">
        <f t="shared" si="73"/>
        <v>2041</v>
      </c>
      <c r="Z152" s="293">
        <f t="shared" si="73"/>
        <v>2042</v>
      </c>
      <c r="AA152" s="293">
        <f t="shared" si="73"/>
        <v>2043</v>
      </c>
      <c r="AB152" s="293">
        <f t="shared" si="73"/>
        <v>2044</v>
      </c>
      <c r="AC152" s="293">
        <f t="shared" si="73"/>
        <v>2045</v>
      </c>
      <c r="AD152" s="293">
        <f t="shared" si="73"/>
        <v>2046</v>
      </c>
      <c r="AE152" s="293">
        <f t="shared" si="73"/>
        <v>2047</v>
      </c>
      <c r="AF152" s="293">
        <f t="shared" si="73"/>
        <v>2048</v>
      </c>
      <c r="AG152" s="293">
        <f t="shared" si="73"/>
        <v>2049</v>
      </c>
      <c r="AH152" s="293">
        <f t="shared" si="73"/>
        <v>2050</v>
      </c>
      <c r="AI152" s="139"/>
      <c r="AJ152" s="133"/>
    </row>
    <row r="153" spans="1:36" s="134" customFormat="1">
      <c r="A153" s="243" t="str">
        <f>INDEX(DEFAULT!$E$274:$AJ$331,1,'USER INPUTS'!$B$4)</f>
        <v>Dublin</v>
      </c>
      <c r="B153" s="294"/>
      <c r="C153" s="100">
        <f>'USER INPUTS'!I13</f>
        <v>0</v>
      </c>
      <c r="D153" s="295"/>
      <c r="E153" s="150">
        <f>(INDEX(DEFAULT!$E$339:$AJ$396,1,'USER INPUTS'!$B$4)/100)*($C153/100)*E$133</f>
        <v>0</v>
      </c>
      <c r="F153" s="150">
        <f>E153*(100+INDEX(DEFAULT!$E$238:$AJ$240,1,'USER INPUTS'!$B$4))/100</f>
        <v>0</v>
      </c>
      <c r="G153" s="150">
        <f>F153*(100+INDEX(DEFAULT!$E$238:$AJ$240,1,'USER INPUTS'!$B$4))/100</f>
        <v>0</v>
      </c>
      <c r="H153" s="150">
        <f>G153*(100+INDEX(DEFAULT!$E$238:$AJ$240,1,'USER INPUTS'!$B$4))/100</f>
        <v>0</v>
      </c>
      <c r="I153" s="150">
        <f>H153*(100+INDEX(DEFAULT!$E$238:$AJ$240,1,'USER INPUTS'!$B$4))/100</f>
        <v>0</v>
      </c>
      <c r="J153" s="150">
        <f>I153*(100+INDEX(DEFAULT!$E$238:$AJ$240,1,'USER INPUTS'!$B$4))/100</f>
        <v>0</v>
      </c>
      <c r="K153" s="150">
        <f>J153*(100+INDEX(DEFAULT!$E$238:$AJ$240,1,'USER INPUTS'!$B$4))/100</f>
        <v>0</v>
      </c>
      <c r="L153" s="150">
        <f>K153*(100+INDEX(DEFAULT!$E$238:$AJ$240,1,'USER INPUTS'!$B$4))/100</f>
        <v>0</v>
      </c>
      <c r="M153" s="150">
        <f>L153*(100+INDEX(DEFAULT!$E$238:$AJ$240,1,'USER INPUTS'!$B$4))/100</f>
        <v>0</v>
      </c>
      <c r="N153" s="150">
        <f>M153*(100+INDEX(DEFAULT!$E$238:$AJ$240,1,'USER INPUTS'!$B$4))/100</f>
        <v>0</v>
      </c>
      <c r="O153" s="150">
        <f>N153*(100+INDEX(DEFAULT!$E$238:$AJ$240,2,'USER INPUTS'!$B$4))/100</f>
        <v>0</v>
      </c>
      <c r="P153" s="150">
        <f>O153*(100+INDEX(DEFAULT!$E$238:$AJ$240,2,'USER INPUTS'!$B$4))/100</f>
        <v>0</v>
      </c>
      <c r="Q153" s="150">
        <f>P153*(100+INDEX(DEFAULT!$E$238:$AJ$240,2,'USER INPUTS'!$B$4))/100</f>
        <v>0</v>
      </c>
      <c r="R153" s="150">
        <f>Q153*(100+INDEX(DEFAULT!$E$238:$AJ$240,2,'USER INPUTS'!$B$4))/100</f>
        <v>0</v>
      </c>
      <c r="S153" s="150">
        <f>R153*(100+INDEX(DEFAULT!$E$238:$AJ$240,2,'USER INPUTS'!$B$4))/100</f>
        <v>0</v>
      </c>
      <c r="T153" s="150">
        <f>S153*(100+INDEX(DEFAULT!$E$238:$AJ$240,2,'USER INPUTS'!$B$4))/100</f>
        <v>0</v>
      </c>
      <c r="U153" s="150">
        <f>T153*(100+INDEX(DEFAULT!$E$238:$AJ$240,2,'USER INPUTS'!$B$4))/100</f>
        <v>0</v>
      </c>
      <c r="V153" s="150">
        <f>U153*(100+INDEX(DEFAULT!$E$238:$AJ$240,2,'USER INPUTS'!$B$4))/100</f>
        <v>0</v>
      </c>
      <c r="W153" s="150">
        <f>V153*(100+INDEX(DEFAULT!$E$238:$AJ$240,2,'USER INPUTS'!$B$4))/100</f>
        <v>0</v>
      </c>
      <c r="X153" s="150">
        <f>W153*(100+INDEX(DEFAULT!$E$238:$AJ$240,2,'USER INPUTS'!$B$4))/100</f>
        <v>0</v>
      </c>
      <c r="Y153" s="150">
        <f>X153*(100+INDEX(DEFAULT!$E$238:$AJ$240,3,'USER INPUTS'!$B$4))/100</f>
        <v>0</v>
      </c>
      <c r="Z153" s="150">
        <f>Y153*(100+INDEX(DEFAULT!$E$238:$AJ$240,3,'USER INPUTS'!$B$4))/100</f>
        <v>0</v>
      </c>
      <c r="AA153" s="150">
        <f>Z153*(100+INDEX(DEFAULT!$E$238:$AJ$240,3,'USER INPUTS'!$B$4))/100</f>
        <v>0</v>
      </c>
      <c r="AB153" s="150">
        <f>AA153*(100+INDEX(DEFAULT!$E$238:$AJ$240,3,'USER INPUTS'!$B$4))/100</f>
        <v>0</v>
      </c>
      <c r="AC153" s="150">
        <f>AB153*(100+INDEX(DEFAULT!$E$238:$AJ$240,3,'USER INPUTS'!$B$4))/100</f>
        <v>0</v>
      </c>
      <c r="AD153" s="150">
        <f>AC153*(100+INDEX(DEFAULT!$E$238:$AJ$240,3,'USER INPUTS'!$B$4))/100</f>
        <v>0</v>
      </c>
      <c r="AE153" s="150">
        <f>AD153*(100+INDEX(DEFAULT!$E$238:$AJ$240,3,'USER INPUTS'!$B$4))/100</f>
        <v>0</v>
      </c>
      <c r="AF153" s="150">
        <f>AE153*(100+INDEX(DEFAULT!$E$238:$AJ$240,3,'USER INPUTS'!$B$4))/100</f>
        <v>0</v>
      </c>
      <c r="AG153" s="150">
        <f>AF153*(100+INDEX(DEFAULT!$E$238:$AJ$240,3,'USER INPUTS'!$B$4))/100</f>
        <v>0</v>
      </c>
      <c r="AH153" s="150">
        <f>AG153*(100+INDEX(DEFAULT!$E$238:$AJ$240,3,'USER INPUTS'!$B$4))/100</f>
        <v>0</v>
      </c>
      <c r="AI153" s="139"/>
      <c r="AJ153" s="133"/>
    </row>
    <row r="154" spans="1:36" s="134" customFormat="1">
      <c r="A154" s="243" t="str">
        <f>INDEX(DEFAULT!$E$274:$AJ$331,2,'USER INPUTS'!$B$4)</f>
        <v>-</v>
      </c>
      <c r="B154" s="294"/>
      <c r="C154" s="100">
        <f>'USER INPUTS'!I14</f>
        <v>0</v>
      </c>
      <c r="D154" s="295"/>
      <c r="E154" s="150">
        <f>(INDEX(DEFAULT!$E$339:$AJ$396,2,'USER INPUTS'!$B$4)/100)*($C154/100)*E$133</f>
        <v>0</v>
      </c>
      <c r="F154" s="150">
        <f>E154*(100+INDEX(DEFAULT!$E$238:$AJ$240,1,'USER INPUTS'!$B$4))/100</f>
        <v>0</v>
      </c>
      <c r="G154" s="150">
        <f>F154*(100+INDEX(DEFAULT!$E$238:$AJ$240,1,'USER INPUTS'!$B$4))/100</f>
        <v>0</v>
      </c>
      <c r="H154" s="150">
        <f>G154*(100+INDEX(DEFAULT!$E$238:$AJ$240,1,'USER INPUTS'!$B$4))/100</f>
        <v>0</v>
      </c>
      <c r="I154" s="150">
        <f>H154*(100+INDEX(DEFAULT!$E$238:$AJ$240,1,'USER INPUTS'!$B$4))/100</f>
        <v>0</v>
      </c>
      <c r="J154" s="150">
        <f>I154*(100+INDEX(DEFAULT!$E$238:$AJ$240,1,'USER INPUTS'!$B$4))/100</f>
        <v>0</v>
      </c>
      <c r="K154" s="150">
        <f>J154*(100+INDEX(DEFAULT!$E$238:$AJ$240,1,'USER INPUTS'!$B$4))/100</f>
        <v>0</v>
      </c>
      <c r="L154" s="150">
        <f>K154*(100+INDEX(DEFAULT!$E$238:$AJ$240,1,'USER INPUTS'!$B$4))/100</f>
        <v>0</v>
      </c>
      <c r="M154" s="150">
        <f>L154*(100+INDEX(DEFAULT!$E$238:$AJ$240,1,'USER INPUTS'!$B$4))/100</f>
        <v>0</v>
      </c>
      <c r="N154" s="150">
        <f>M154*(100+INDEX(DEFAULT!$E$238:$AJ$240,1,'USER INPUTS'!$B$4))/100</f>
        <v>0</v>
      </c>
      <c r="O154" s="150">
        <f>N154*(100+INDEX(DEFAULT!$E$238:$AJ$240,2,'USER INPUTS'!$B$4))/100</f>
        <v>0</v>
      </c>
      <c r="P154" s="150">
        <f>O154*(100+INDEX(DEFAULT!$E$238:$AJ$240,2,'USER INPUTS'!$B$4))/100</f>
        <v>0</v>
      </c>
      <c r="Q154" s="150">
        <f>P154*(100+INDEX(DEFAULT!$E$238:$AJ$240,2,'USER INPUTS'!$B$4))/100</f>
        <v>0</v>
      </c>
      <c r="R154" s="150">
        <f>Q154*(100+INDEX(DEFAULT!$E$238:$AJ$240,2,'USER INPUTS'!$B$4))/100</f>
        <v>0</v>
      </c>
      <c r="S154" s="150">
        <f>R154*(100+INDEX(DEFAULT!$E$238:$AJ$240,2,'USER INPUTS'!$B$4))/100</f>
        <v>0</v>
      </c>
      <c r="T154" s="150">
        <f>S154*(100+INDEX(DEFAULT!$E$238:$AJ$240,2,'USER INPUTS'!$B$4))/100</f>
        <v>0</v>
      </c>
      <c r="U154" s="150">
        <f>T154*(100+INDEX(DEFAULT!$E$238:$AJ$240,2,'USER INPUTS'!$B$4))/100</f>
        <v>0</v>
      </c>
      <c r="V154" s="150">
        <f>U154*(100+INDEX(DEFAULT!$E$238:$AJ$240,2,'USER INPUTS'!$B$4))/100</f>
        <v>0</v>
      </c>
      <c r="W154" s="150">
        <f>V154*(100+INDEX(DEFAULT!$E$238:$AJ$240,2,'USER INPUTS'!$B$4))/100</f>
        <v>0</v>
      </c>
      <c r="X154" s="150">
        <f>W154*(100+INDEX(DEFAULT!$E$238:$AJ$240,2,'USER INPUTS'!$B$4))/100</f>
        <v>0</v>
      </c>
      <c r="Y154" s="150">
        <f>X154*(100+INDEX(DEFAULT!$E$238:$AJ$240,3,'USER INPUTS'!$B$4))/100</f>
        <v>0</v>
      </c>
      <c r="Z154" s="150">
        <f>Y154*(100+INDEX(DEFAULT!$E$238:$AJ$240,3,'USER INPUTS'!$B$4))/100</f>
        <v>0</v>
      </c>
      <c r="AA154" s="150">
        <f>Z154*(100+INDEX(DEFAULT!$E$238:$AJ$240,3,'USER INPUTS'!$B$4))/100</f>
        <v>0</v>
      </c>
      <c r="AB154" s="150">
        <f>AA154*(100+INDEX(DEFAULT!$E$238:$AJ$240,3,'USER INPUTS'!$B$4))/100</f>
        <v>0</v>
      </c>
      <c r="AC154" s="150">
        <f>AB154*(100+INDEX(DEFAULT!$E$238:$AJ$240,3,'USER INPUTS'!$B$4))/100</f>
        <v>0</v>
      </c>
      <c r="AD154" s="150">
        <f>AC154*(100+INDEX(DEFAULT!$E$238:$AJ$240,3,'USER INPUTS'!$B$4))/100</f>
        <v>0</v>
      </c>
      <c r="AE154" s="150">
        <f>AD154*(100+INDEX(DEFAULT!$E$238:$AJ$240,3,'USER INPUTS'!$B$4))/100</f>
        <v>0</v>
      </c>
      <c r="AF154" s="150">
        <f>AE154*(100+INDEX(DEFAULT!$E$238:$AJ$240,3,'USER INPUTS'!$B$4))/100</f>
        <v>0</v>
      </c>
      <c r="AG154" s="150">
        <f>AF154*(100+INDEX(DEFAULT!$E$238:$AJ$240,3,'USER INPUTS'!$B$4))/100</f>
        <v>0</v>
      </c>
      <c r="AH154" s="150">
        <f>AG154*(100+INDEX(DEFAULT!$E$238:$AJ$240,3,'USER INPUTS'!$B$4))/100</f>
        <v>0</v>
      </c>
      <c r="AI154" s="139"/>
      <c r="AJ154" s="133"/>
    </row>
    <row r="155" spans="1:36" s="134" customFormat="1">
      <c r="A155" s="243" t="str">
        <f>INDEX(DEFAULT!$E$274:$AJ$331,3,'USER INPUTS'!$B$4)</f>
        <v>-</v>
      </c>
      <c r="B155" s="294"/>
      <c r="C155" s="100">
        <f>'USER INPUTS'!I15</f>
        <v>0</v>
      </c>
      <c r="D155" s="295"/>
      <c r="E155" s="150">
        <f>(INDEX(DEFAULT!$E$339:$AJ$396,3,'USER INPUTS'!$B$4)/100)*($C155/100)*E$133</f>
        <v>0</v>
      </c>
      <c r="F155" s="150">
        <f>E155*(100+INDEX(DEFAULT!$E$238:$AJ$240,1,'USER INPUTS'!$B$4))/100</f>
        <v>0</v>
      </c>
      <c r="G155" s="150">
        <f>F155*(100+INDEX(DEFAULT!$E$238:$AJ$240,1,'USER INPUTS'!$B$4))/100</f>
        <v>0</v>
      </c>
      <c r="H155" s="150">
        <f>G155*(100+INDEX(DEFAULT!$E$238:$AJ$240,1,'USER INPUTS'!$B$4))/100</f>
        <v>0</v>
      </c>
      <c r="I155" s="150">
        <f>H155*(100+INDEX(DEFAULT!$E$238:$AJ$240,1,'USER INPUTS'!$B$4))/100</f>
        <v>0</v>
      </c>
      <c r="J155" s="150">
        <f>I155*(100+INDEX(DEFAULT!$E$238:$AJ$240,1,'USER INPUTS'!$B$4))/100</f>
        <v>0</v>
      </c>
      <c r="K155" s="150">
        <f>J155*(100+INDEX(DEFAULT!$E$238:$AJ$240,1,'USER INPUTS'!$B$4))/100</f>
        <v>0</v>
      </c>
      <c r="L155" s="150">
        <f>K155*(100+INDEX(DEFAULT!$E$238:$AJ$240,1,'USER INPUTS'!$B$4))/100</f>
        <v>0</v>
      </c>
      <c r="M155" s="150">
        <f>L155*(100+INDEX(DEFAULT!$E$238:$AJ$240,1,'USER INPUTS'!$B$4))/100</f>
        <v>0</v>
      </c>
      <c r="N155" s="150">
        <f>M155*(100+INDEX(DEFAULT!$E$238:$AJ$240,1,'USER INPUTS'!$B$4))/100</f>
        <v>0</v>
      </c>
      <c r="O155" s="150">
        <f>N155*(100+INDEX(DEFAULT!$E$238:$AJ$240,2,'USER INPUTS'!$B$4))/100</f>
        <v>0</v>
      </c>
      <c r="P155" s="150">
        <f>O155*(100+INDEX(DEFAULT!$E$238:$AJ$240,2,'USER INPUTS'!$B$4))/100</f>
        <v>0</v>
      </c>
      <c r="Q155" s="150">
        <f>P155*(100+INDEX(DEFAULT!$E$238:$AJ$240,2,'USER INPUTS'!$B$4))/100</f>
        <v>0</v>
      </c>
      <c r="R155" s="150">
        <f>Q155*(100+INDEX(DEFAULT!$E$238:$AJ$240,2,'USER INPUTS'!$B$4))/100</f>
        <v>0</v>
      </c>
      <c r="S155" s="150">
        <f>R155*(100+INDEX(DEFAULT!$E$238:$AJ$240,2,'USER INPUTS'!$B$4))/100</f>
        <v>0</v>
      </c>
      <c r="T155" s="150">
        <f>S155*(100+INDEX(DEFAULT!$E$238:$AJ$240,2,'USER INPUTS'!$B$4))/100</f>
        <v>0</v>
      </c>
      <c r="U155" s="150">
        <f>T155*(100+INDEX(DEFAULT!$E$238:$AJ$240,2,'USER INPUTS'!$B$4))/100</f>
        <v>0</v>
      </c>
      <c r="V155" s="150">
        <f>U155*(100+INDEX(DEFAULT!$E$238:$AJ$240,2,'USER INPUTS'!$B$4))/100</f>
        <v>0</v>
      </c>
      <c r="W155" s="150">
        <f>V155*(100+INDEX(DEFAULT!$E$238:$AJ$240,2,'USER INPUTS'!$B$4))/100</f>
        <v>0</v>
      </c>
      <c r="X155" s="150">
        <f>W155*(100+INDEX(DEFAULT!$E$238:$AJ$240,2,'USER INPUTS'!$B$4))/100</f>
        <v>0</v>
      </c>
      <c r="Y155" s="150">
        <f>X155*(100+INDEX(DEFAULT!$E$238:$AJ$240,3,'USER INPUTS'!$B$4))/100</f>
        <v>0</v>
      </c>
      <c r="Z155" s="150">
        <f>Y155*(100+INDEX(DEFAULT!$E$238:$AJ$240,3,'USER INPUTS'!$B$4))/100</f>
        <v>0</v>
      </c>
      <c r="AA155" s="150">
        <f>Z155*(100+INDEX(DEFAULT!$E$238:$AJ$240,3,'USER INPUTS'!$B$4))/100</f>
        <v>0</v>
      </c>
      <c r="AB155" s="150">
        <f>AA155*(100+INDEX(DEFAULT!$E$238:$AJ$240,3,'USER INPUTS'!$B$4))/100</f>
        <v>0</v>
      </c>
      <c r="AC155" s="150">
        <f>AB155*(100+INDEX(DEFAULT!$E$238:$AJ$240,3,'USER INPUTS'!$B$4))/100</f>
        <v>0</v>
      </c>
      <c r="AD155" s="150">
        <f>AC155*(100+INDEX(DEFAULT!$E$238:$AJ$240,3,'USER INPUTS'!$B$4))/100</f>
        <v>0</v>
      </c>
      <c r="AE155" s="150">
        <f>AD155*(100+INDEX(DEFAULT!$E$238:$AJ$240,3,'USER INPUTS'!$B$4))/100</f>
        <v>0</v>
      </c>
      <c r="AF155" s="150">
        <f>AE155*(100+INDEX(DEFAULT!$E$238:$AJ$240,3,'USER INPUTS'!$B$4))/100</f>
        <v>0</v>
      </c>
      <c r="AG155" s="150">
        <f>AF155*(100+INDEX(DEFAULT!$E$238:$AJ$240,3,'USER INPUTS'!$B$4))/100</f>
        <v>0</v>
      </c>
      <c r="AH155" s="150">
        <f>AG155*(100+INDEX(DEFAULT!$E$238:$AJ$240,3,'USER INPUTS'!$B$4))/100</f>
        <v>0</v>
      </c>
      <c r="AI155" s="139"/>
      <c r="AJ155" s="133"/>
    </row>
    <row r="156" spans="1:36" s="134" customFormat="1">
      <c r="A156" s="243" t="str">
        <f>INDEX(DEFAULT!$E$274:$AJ$331,4,'USER INPUTS'!$B$4)</f>
        <v>-</v>
      </c>
      <c r="B156" s="294"/>
      <c r="C156" s="100">
        <f>'USER INPUTS'!I16</f>
        <v>0</v>
      </c>
      <c r="D156" s="295"/>
      <c r="E156" s="150">
        <f>(INDEX(DEFAULT!$E$339:$AJ$396,4,'USER INPUTS'!$B$4)/100)*($C156/100)*E$133</f>
        <v>0</v>
      </c>
      <c r="F156" s="150">
        <f>E156*(100+INDEX(DEFAULT!$E$238:$AJ$240,1,'USER INPUTS'!$B$4))/100</f>
        <v>0</v>
      </c>
      <c r="G156" s="150">
        <f>F156*(100+INDEX(DEFAULT!$E$238:$AJ$240,1,'USER INPUTS'!$B$4))/100</f>
        <v>0</v>
      </c>
      <c r="H156" s="150">
        <f>G156*(100+INDEX(DEFAULT!$E$238:$AJ$240,1,'USER INPUTS'!$B$4))/100</f>
        <v>0</v>
      </c>
      <c r="I156" s="150">
        <f>H156*(100+INDEX(DEFAULT!$E$238:$AJ$240,1,'USER INPUTS'!$B$4))/100</f>
        <v>0</v>
      </c>
      <c r="J156" s="150">
        <f>I156*(100+INDEX(DEFAULT!$E$238:$AJ$240,1,'USER INPUTS'!$B$4))/100</f>
        <v>0</v>
      </c>
      <c r="K156" s="150">
        <f>J156*(100+INDEX(DEFAULT!$E$238:$AJ$240,1,'USER INPUTS'!$B$4))/100</f>
        <v>0</v>
      </c>
      <c r="L156" s="150">
        <f>K156*(100+INDEX(DEFAULT!$E$238:$AJ$240,1,'USER INPUTS'!$B$4))/100</f>
        <v>0</v>
      </c>
      <c r="M156" s="150">
        <f>L156*(100+INDEX(DEFAULT!$E$238:$AJ$240,1,'USER INPUTS'!$B$4))/100</f>
        <v>0</v>
      </c>
      <c r="N156" s="150">
        <f>M156*(100+INDEX(DEFAULT!$E$238:$AJ$240,1,'USER INPUTS'!$B$4))/100</f>
        <v>0</v>
      </c>
      <c r="O156" s="150">
        <f>N156*(100+INDEX(DEFAULT!$E$238:$AJ$240,2,'USER INPUTS'!$B$4))/100</f>
        <v>0</v>
      </c>
      <c r="P156" s="150">
        <f>O156*(100+INDEX(DEFAULT!$E$238:$AJ$240,2,'USER INPUTS'!$B$4))/100</f>
        <v>0</v>
      </c>
      <c r="Q156" s="150">
        <f>P156*(100+INDEX(DEFAULT!$E$238:$AJ$240,2,'USER INPUTS'!$B$4))/100</f>
        <v>0</v>
      </c>
      <c r="R156" s="150">
        <f>Q156*(100+INDEX(DEFAULT!$E$238:$AJ$240,2,'USER INPUTS'!$B$4))/100</f>
        <v>0</v>
      </c>
      <c r="S156" s="150">
        <f>R156*(100+INDEX(DEFAULT!$E$238:$AJ$240,2,'USER INPUTS'!$B$4))/100</f>
        <v>0</v>
      </c>
      <c r="T156" s="150">
        <f>S156*(100+INDEX(DEFAULT!$E$238:$AJ$240,2,'USER INPUTS'!$B$4))/100</f>
        <v>0</v>
      </c>
      <c r="U156" s="150">
        <f>T156*(100+INDEX(DEFAULT!$E$238:$AJ$240,2,'USER INPUTS'!$B$4))/100</f>
        <v>0</v>
      </c>
      <c r="V156" s="150">
        <f>U156*(100+INDEX(DEFAULT!$E$238:$AJ$240,2,'USER INPUTS'!$B$4))/100</f>
        <v>0</v>
      </c>
      <c r="W156" s="150">
        <f>V156*(100+INDEX(DEFAULT!$E$238:$AJ$240,2,'USER INPUTS'!$B$4))/100</f>
        <v>0</v>
      </c>
      <c r="X156" s="150">
        <f>W156*(100+INDEX(DEFAULT!$E$238:$AJ$240,2,'USER INPUTS'!$B$4))/100</f>
        <v>0</v>
      </c>
      <c r="Y156" s="150">
        <f>X156*(100+INDEX(DEFAULT!$E$238:$AJ$240,3,'USER INPUTS'!$B$4))/100</f>
        <v>0</v>
      </c>
      <c r="Z156" s="150">
        <f>Y156*(100+INDEX(DEFAULT!$E$238:$AJ$240,3,'USER INPUTS'!$B$4))/100</f>
        <v>0</v>
      </c>
      <c r="AA156" s="150">
        <f>Z156*(100+INDEX(DEFAULT!$E$238:$AJ$240,3,'USER INPUTS'!$B$4))/100</f>
        <v>0</v>
      </c>
      <c r="AB156" s="150">
        <f>AA156*(100+INDEX(DEFAULT!$E$238:$AJ$240,3,'USER INPUTS'!$B$4))/100</f>
        <v>0</v>
      </c>
      <c r="AC156" s="150">
        <f>AB156*(100+INDEX(DEFAULT!$E$238:$AJ$240,3,'USER INPUTS'!$B$4))/100</f>
        <v>0</v>
      </c>
      <c r="AD156" s="150">
        <f>AC156*(100+INDEX(DEFAULT!$E$238:$AJ$240,3,'USER INPUTS'!$B$4))/100</f>
        <v>0</v>
      </c>
      <c r="AE156" s="150">
        <f>AD156*(100+INDEX(DEFAULT!$E$238:$AJ$240,3,'USER INPUTS'!$B$4))/100</f>
        <v>0</v>
      </c>
      <c r="AF156" s="150">
        <f>AE156*(100+INDEX(DEFAULT!$E$238:$AJ$240,3,'USER INPUTS'!$B$4))/100</f>
        <v>0</v>
      </c>
      <c r="AG156" s="150">
        <f>AF156*(100+INDEX(DEFAULT!$E$238:$AJ$240,3,'USER INPUTS'!$B$4))/100</f>
        <v>0</v>
      </c>
      <c r="AH156" s="150">
        <f>AG156*(100+INDEX(DEFAULT!$E$238:$AJ$240,3,'USER INPUTS'!$B$4))/100</f>
        <v>0</v>
      </c>
      <c r="AI156" s="139"/>
      <c r="AJ156" s="133"/>
    </row>
    <row r="157" spans="1:36" s="134" customFormat="1">
      <c r="A157" s="243" t="str">
        <f>INDEX(DEFAULT!$E$274:$AJ$331,5,'USER INPUTS'!$B$4)</f>
        <v>-</v>
      </c>
      <c r="B157" s="294"/>
      <c r="C157" s="100">
        <f>'USER INPUTS'!I17</f>
        <v>0</v>
      </c>
      <c r="D157" s="295"/>
      <c r="E157" s="150">
        <f>(INDEX(DEFAULT!$E$339:$AJ$396,5,'USER INPUTS'!$B$4)/100)*($C157/100)*E$133</f>
        <v>0</v>
      </c>
      <c r="F157" s="150">
        <f>E157*(100+INDEX(DEFAULT!$E$238:$AJ$240,1,'USER INPUTS'!$B$4))/100</f>
        <v>0</v>
      </c>
      <c r="G157" s="150">
        <f>F157*(100+INDEX(DEFAULT!$E$238:$AJ$240,1,'USER INPUTS'!$B$4))/100</f>
        <v>0</v>
      </c>
      <c r="H157" s="150">
        <f>G157*(100+INDEX(DEFAULT!$E$238:$AJ$240,1,'USER INPUTS'!$B$4))/100</f>
        <v>0</v>
      </c>
      <c r="I157" s="150">
        <f>H157*(100+INDEX(DEFAULT!$E$238:$AJ$240,1,'USER INPUTS'!$B$4))/100</f>
        <v>0</v>
      </c>
      <c r="J157" s="150">
        <f>I157*(100+INDEX(DEFAULT!$E$238:$AJ$240,1,'USER INPUTS'!$B$4))/100</f>
        <v>0</v>
      </c>
      <c r="K157" s="150">
        <f>J157*(100+INDEX(DEFAULT!$E$238:$AJ$240,1,'USER INPUTS'!$B$4))/100</f>
        <v>0</v>
      </c>
      <c r="L157" s="150">
        <f>K157*(100+INDEX(DEFAULT!$E$238:$AJ$240,1,'USER INPUTS'!$B$4))/100</f>
        <v>0</v>
      </c>
      <c r="M157" s="150">
        <f>L157*(100+INDEX(DEFAULT!$E$238:$AJ$240,1,'USER INPUTS'!$B$4))/100</f>
        <v>0</v>
      </c>
      <c r="N157" s="150">
        <f>M157*(100+INDEX(DEFAULT!$E$238:$AJ$240,1,'USER INPUTS'!$B$4))/100</f>
        <v>0</v>
      </c>
      <c r="O157" s="150">
        <f>N157*(100+INDEX(DEFAULT!$E$238:$AJ$240,2,'USER INPUTS'!$B$4))/100</f>
        <v>0</v>
      </c>
      <c r="P157" s="150">
        <f>O157*(100+INDEX(DEFAULT!$E$238:$AJ$240,2,'USER INPUTS'!$B$4))/100</f>
        <v>0</v>
      </c>
      <c r="Q157" s="150">
        <f>P157*(100+INDEX(DEFAULT!$E$238:$AJ$240,2,'USER INPUTS'!$B$4))/100</f>
        <v>0</v>
      </c>
      <c r="R157" s="150">
        <f>Q157*(100+INDEX(DEFAULT!$E$238:$AJ$240,2,'USER INPUTS'!$B$4))/100</f>
        <v>0</v>
      </c>
      <c r="S157" s="150">
        <f>R157*(100+INDEX(DEFAULT!$E$238:$AJ$240,2,'USER INPUTS'!$B$4))/100</f>
        <v>0</v>
      </c>
      <c r="T157" s="150">
        <f>S157*(100+INDEX(DEFAULT!$E$238:$AJ$240,2,'USER INPUTS'!$B$4))/100</f>
        <v>0</v>
      </c>
      <c r="U157" s="150">
        <f>T157*(100+INDEX(DEFAULT!$E$238:$AJ$240,2,'USER INPUTS'!$B$4))/100</f>
        <v>0</v>
      </c>
      <c r="V157" s="150">
        <f>U157*(100+INDEX(DEFAULT!$E$238:$AJ$240,2,'USER INPUTS'!$B$4))/100</f>
        <v>0</v>
      </c>
      <c r="W157" s="150">
        <f>V157*(100+INDEX(DEFAULT!$E$238:$AJ$240,2,'USER INPUTS'!$B$4))/100</f>
        <v>0</v>
      </c>
      <c r="X157" s="150">
        <f>W157*(100+INDEX(DEFAULT!$E$238:$AJ$240,2,'USER INPUTS'!$B$4))/100</f>
        <v>0</v>
      </c>
      <c r="Y157" s="150">
        <f>X157*(100+INDEX(DEFAULT!$E$238:$AJ$240,3,'USER INPUTS'!$B$4))/100</f>
        <v>0</v>
      </c>
      <c r="Z157" s="150">
        <f>Y157*(100+INDEX(DEFAULT!$E$238:$AJ$240,3,'USER INPUTS'!$B$4))/100</f>
        <v>0</v>
      </c>
      <c r="AA157" s="150">
        <f>Z157*(100+INDEX(DEFAULT!$E$238:$AJ$240,3,'USER INPUTS'!$B$4))/100</f>
        <v>0</v>
      </c>
      <c r="AB157" s="150">
        <f>AA157*(100+INDEX(DEFAULT!$E$238:$AJ$240,3,'USER INPUTS'!$B$4))/100</f>
        <v>0</v>
      </c>
      <c r="AC157" s="150">
        <f>AB157*(100+INDEX(DEFAULT!$E$238:$AJ$240,3,'USER INPUTS'!$B$4))/100</f>
        <v>0</v>
      </c>
      <c r="AD157" s="150">
        <f>AC157*(100+INDEX(DEFAULT!$E$238:$AJ$240,3,'USER INPUTS'!$B$4))/100</f>
        <v>0</v>
      </c>
      <c r="AE157" s="150">
        <f>AD157*(100+INDEX(DEFAULT!$E$238:$AJ$240,3,'USER INPUTS'!$B$4))/100</f>
        <v>0</v>
      </c>
      <c r="AF157" s="150">
        <f>AE157*(100+INDEX(DEFAULT!$E$238:$AJ$240,3,'USER INPUTS'!$B$4))/100</f>
        <v>0</v>
      </c>
      <c r="AG157" s="150">
        <f>AF157*(100+INDEX(DEFAULT!$E$238:$AJ$240,3,'USER INPUTS'!$B$4))/100</f>
        <v>0</v>
      </c>
      <c r="AH157" s="150">
        <f>AG157*(100+INDEX(DEFAULT!$E$238:$AJ$240,3,'USER INPUTS'!$B$4))/100</f>
        <v>0</v>
      </c>
      <c r="AI157" s="139"/>
      <c r="AJ157" s="133"/>
    </row>
    <row r="158" spans="1:36" s="134" customFormat="1">
      <c r="A158" s="243" t="str">
        <f>INDEX(DEFAULT!$E$274:$AJ$331,6,'USER INPUTS'!$B$4)</f>
        <v>-</v>
      </c>
      <c r="B158" s="294"/>
      <c r="C158" s="100">
        <f>'USER INPUTS'!I18</f>
        <v>0</v>
      </c>
      <c r="D158" s="295"/>
      <c r="E158" s="150">
        <f>(INDEX(DEFAULT!$E$339:$AJ$396,6,'USER INPUTS'!$B$4)/100)*($C158/100)*E$133</f>
        <v>0</v>
      </c>
      <c r="F158" s="150">
        <f>E158*(100+INDEX(DEFAULT!$E$238:$AJ$240,1,'USER INPUTS'!$B$4))/100</f>
        <v>0</v>
      </c>
      <c r="G158" s="150">
        <f>F158*(100+INDEX(DEFAULT!$E$238:$AJ$240,1,'USER INPUTS'!$B$4))/100</f>
        <v>0</v>
      </c>
      <c r="H158" s="150">
        <f>G158*(100+INDEX(DEFAULT!$E$238:$AJ$240,1,'USER INPUTS'!$B$4))/100</f>
        <v>0</v>
      </c>
      <c r="I158" s="150">
        <f>H158*(100+INDEX(DEFAULT!$E$238:$AJ$240,1,'USER INPUTS'!$B$4))/100</f>
        <v>0</v>
      </c>
      <c r="J158" s="150">
        <f>I158*(100+INDEX(DEFAULT!$E$238:$AJ$240,1,'USER INPUTS'!$B$4))/100</f>
        <v>0</v>
      </c>
      <c r="K158" s="150">
        <f>J158*(100+INDEX(DEFAULT!$E$238:$AJ$240,1,'USER INPUTS'!$B$4))/100</f>
        <v>0</v>
      </c>
      <c r="L158" s="150">
        <f>K158*(100+INDEX(DEFAULT!$E$238:$AJ$240,1,'USER INPUTS'!$B$4))/100</f>
        <v>0</v>
      </c>
      <c r="M158" s="150">
        <f>L158*(100+INDEX(DEFAULT!$E$238:$AJ$240,1,'USER INPUTS'!$B$4))/100</f>
        <v>0</v>
      </c>
      <c r="N158" s="150">
        <f>M158*(100+INDEX(DEFAULT!$E$238:$AJ$240,1,'USER INPUTS'!$B$4))/100</f>
        <v>0</v>
      </c>
      <c r="O158" s="150">
        <f>N158*(100+INDEX(DEFAULT!$E$238:$AJ$240,2,'USER INPUTS'!$B$4))/100</f>
        <v>0</v>
      </c>
      <c r="P158" s="150">
        <f>O158*(100+INDEX(DEFAULT!$E$238:$AJ$240,2,'USER INPUTS'!$B$4))/100</f>
        <v>0</v>
      </c>
      <c r="Q158" s="150">
        <f>P158*(100+INDEX(DEFAULT!$E$238:$AJ$240,2,'USER INPUTS'!$B$4))/100</f>
        <v>0</v>
      </c>
      <c r="R158" s="150">
        <f>Q158*(100+INDEX(DEFAULT!$E$238:$AJ$240,2,'USER INPUTS'!$B$4))/100</f>
        <v>0</v>
      </c>
      <c r="S158" s="150">
        <f>R158*(100+INDEX(DEFAULT!$E$238:$AJ$240,2,'USER INPUTS'!$B$4))/100</f>
        <v>0</v>
      </c>
      <c r="T158" s="150">
        <f>S158*(100+INDEX(DEFAULT!$E$238:$AJ$240,2,'USER INPUTS'!$B$4))/100</f>
        <v>0</v>
      </c>
      <c r="U158" s="150">
        <f>T158*(100+INDEX(DEFAULT!$E$238:$AJ$240,2,'USER INPUTS'!$B$4))/100</f>
        <v>0</v>
      </c>
      <c r="V158" s="150">
        <f>U158*(100+INDEX(DEFAULT!$E$238:$AJ$240,2,'USER INPUTS'!$B$4))/100</f>
        <v>0</v>
      </c>
      <c r="W158" s="150">
        <f>V158*(100+INDEX(DEFAULT!$E$238:$AJ$240,2,'USER INPUTS'!$B$4))/100</f>
        <v>0</v>
      </c>
      <c r="X158" s="150">
        <f>W158*(100+INDEX(DEFAULT!$E$238:$AJ$240,2,'USER INPUTS'!$B$4))/100</f>
        <v>0</v>
      </c>
      <c r="Y158" s="150">
        <f>X158*(100+INDEX(DEFAULT!$E$238:$AJ$240,3,'USER INPUTS'!$B$4))/100</f>
        <v>0</v>
      </c>
      <c r="Z158" s="150">
        <f>Y158*(100+INDEX(DEFAULT!$E$238:$AJ$240,3,'USER INPUTS'!$B$4))/100</f>
        <v>0</v>
      </c>
      <c r="AA158" s="150">
        <f>Z158*(100+INDEX(DEFAULT!$E$238:$AJ$240,3,'USER INPUTS'!$B$4))/100</f>
        <v>0</v>
      </c>
      <c r="AB158" s="150">
        <f>AA158*(100+INDEX(DEFAULT!$E$238:$AJ$240,3,'USER INPUTS'!$B$4))/100</f>
        <v>0</v>
      </c>
      <c r="AC158" s="150">
        <f>AB158*(100+INDEX(DEFAULT!$E$238:$AJ$240,3,'USER INPUTS'!$B$4))/100</f>
        <v>0</v>
      </c>
      <c r="AD158" s="150">
        <f>AC158*(100+INDEX(DEFAULT!$E$238:$AJ$240,3,'USER INPUTS'!$B$4))/100</f>
        <v>0</v>
      </c>
      <c r="AE158" s="150">
        <f>AD158*(100+INDEX(DEFAULT!$E$238:$AJ$240,3,'USER INPUTS'!$B$4))/100</f>
        <v>0</v>
      </c>
      <c r="AF158" s="150">
        <f>AE158*(100+INDEX(DEFAULT!$E$238:$AJ$240,3,'USER INPUTS'!$B$4))/100</f>
        <v>0</v>
      </c>
      <c r="AG158" s="150">
        <f>AF158*(100+INDEX(DEFAULT!$E$238:$AJ$240,3,'USER INPUTS'!$B$4))/100</f>
        <v>0</v>
      </c>
      <c r="AH158" s="150">
        <f>AG158*(100+INDEX(DEFAULT!$E$238:$AJ$240,3,'USER INPUTS'!$B$4))/100</f>
        <v>0</v>
      </c>
      <c r="AI158" s="139"/>
      <c r="AJ158" s="133"/>
    </row>
    <row r="159" spans="1:36" s="134" customFormat="1">
      <c r="A159" s="243" t="str">
        <f>INDEX(DEFAULT!$E$274:$AJ$331,7,'USER INPUTS'!$B$4)</f>
        <v>-</v>
      </c>
      <c r="B159" s="294"/>
      <c r="C159" s="100">
        <f>'USER INPUTS'!I19</f>
        <v>0</v>
      </c>
      <c r="D159" s="295"/>
      <c r="E159" s="150">
        <f>(INDEX(DEFAULT!$E$339:$AJ$396,7,'USER INPUTS'!$B$4)/100)*($C159/100)*E$133</f>
        <v>0</v>
      </c>
      <c r="F159" s="150">
        <f>E159*(100+INDEX(DEFAULT!$E$238:$AJ$240,1,'USER INPUTS'!$B$4))/100</f>
        <v>0</v>
      </c>
      <c r="G159" s="150">
        <f>F159*(100+INDEX(DEFAULT!$E$238:$AJ$240,1,'USER INPUTS'!$B$4))/100</f>
        <v>0</v>
      </c>
      <c r="H159" s="150">
        <f>G159*(100+INDEX(DEFAULT!$E$238:$AJ$240,1,'USER INPUTS'!$B$4))/100</f>
        <v>0</v>
      </c>
      <c r="I159" s="150">
        <f>H159*(100+INDEX(DEFAULT!$E$238:$AJ$240,1,'USER INPUTS'!$B$4))/100</f>
        <v>0</v>
      </c>
      <c r="J159" s="150">
        <f>I159*(100+INDEX(DEFAULT!$E$238:$AJ$240,1,'USER INPUTS'!$B$4))/100</f>
        <v>0</v>
      </c>
      <c r="K159" s="150">
        <f>J159*(100+INDEX(DEFAULT!$E$238:$AJ$240,1,'USER INPUTS'!$B$4))/100</f>
        <v>0</v>
      </c>
      <c r="L159" s="150">
        <f>K159*(100+INDEX(DEFAULT!$E$238:$AJ$240,1,'USER INPUTS'!$B$4))/100</f>
        <v>0</v>
      </c>
      <c r="M159" s="150">
        <f>L159*(100+INDEX(DEFAULT!$E$238:$AJ$240,1,'USER INPUTS'!$B$4))/100</f>
        <v>0</v>
      </c>
      <c r="N159" s="150">
        <f>M159*(100+INDEX(DEFAULT!$E$238:$AJ$240,1,'USER INPUTS'!$B$4))/100</f>
        <v>0</v>
      </c>
      <c r="O159" s="150">
        <f>N159*(100+INDEX(DEFAULT!$E$238:$AJ$240,2,'USER INPUTS'!$B$4))/100</f>
        <v>0</v>
      </c>
      <c r="P159" s="150">
        <f>O159*(100+INDEX(DEFAULT!$E$238:$AJ$240,2,'USER INPUTS'!$B$4))/100</f>
        <v>0</v>
      </c>
      <c r="Q159" s="150">
        <f>P159*(100+INDEX(DEFAULT!$E$238:$AJ$240,2,'USER INPUTS'!$B$4))/100</f>
        <v>0</v>
      </c>
      <c r="R159" s="150">
        <f>Q159*(100+INDEX(DEFAULT!$E$238:$AJ$240,2,'USER INPUTS'!$B$4))/100</f>
        <v>0</v>
      </c>
      <c r="S159" s="150">
        <f>R159*(100+INDEX(DEFAULT!$E$238:$AJ$240,2,'USER INPUTS'!$B$4))/100</f>
        <v>0</v>
      </c>
      <c r="T159" s="150">
        <f>S159*(100+INDEX(DEFAULT!$E$238:$AJ$240,2,'USER INPUTS'!$B$4))/100</f>
        <v>0</v>
      </c>
      <c r="U159" s="150">
        <f>T159*(100+INDEX(DEFAULT!$E$238:$AJ$240,2,'USER INPUTS'!$B$4))/100</f>
        <v>0</v>
      </c>
      <c r="V159" s="150">
        <f>U159*(100+INDEX(DEFAULT!$E$238:$AJ$240,2,'USER INPUTS'!$B$4))/100</f>
        <v>0</v>
      </c>
      <c r="W159" s="150">
        <f>V159*(100+INDEX(DEFAULT!$E$238:$AJ$240,2,'USER INPUTS'!$B$4))/100</f>
        <v>0</v>
      </c>
      <c r="X159" s="150">
        <f>W159*(100+INDEX(DEFAULT!$E$238:$AJ$240,2,'USER INPUTS'!$B$4))/100</f>
        <v>0</v>
      </c>
      <c r="Y159" s="150">
        <f>X159*(100+INDEX(DEFAULT!$E$238:$AJ$240,3,'USER INPUTS'!$B$4))/100</f>
        <v>0</v>
      </c>
      <c r="Z159" s="150">
        <f>Y159*(100+INDEX(DEFAULT!$E$238:$AJ$240,3,'USER INPUTS'!$B$4))/100</f>
        <v>0</v>
      </c>
      <c r="AA159" s="150">
        <f>Z159*(100+INDEX(DEFAULT!$E$238:$AJ$240,3,'USER INPUTS'!$B$4))/100</f>
        <v>0</v>
      </c>
      <c r="AB159" s="150">
        <f>AA159*(100+INDEX(DEFAULT!$E$238:$AJ$240,3,'USER INPUTS'!$B$4))/100</f>
        <v>0</v>
      </c>
      <c r="AC159" s="150">
        <f>AB159*(100+INDEX(DEFAULT!$E$238:$AJ$240,3,'USER INPUTS'!$B$4))/100</f>
        <v>0</v>
      </c>
      <c r="AD159" s="150">
        <f>AC159*(100+INDEX(DEFAULT!$E$238:$AJ$240,3,'USER INPUTS'!$B$4))/100</f>
        <v>0</v>
      </c>
      <c r="AE159" s="150">
        <f>AD159*(100+INDEX(DEFAULT!$E$238:$AJ$240,3,'USER INPUTS'!$B$4))/100</f>
        <v>0</v>
      </c>
      <c r="AF159" s="150">
        <f>AE159*(100+INDEX(DEFAULT!$E$238:$AJ$240,3,'USER INPUTS'!$B$4))/100</f>
        <v>0</v>
      </c>
      <c r="AG159" s="150">
        <f>AF159*(100+INDEX(DEFAULT!$E$238:$AJ$240,3,'USER INPUTS'!$B$4))/100</f>
        <v>0</v>
      </c>
      <c r="AH159" s="150">
        <f>AG159*(100+INDEX(DEFAULT!$E$238:$AJ$240,3,'USER INPUTS'!$B$4))/100</f>
        <v>0</v>
      </c>
      <c r="AI159" s="139"/>
      <c r="AJ159" s="133"/>
    </row>
    <row r="160" spans="1:36" s="134" customFormat="1">
      <c r="A160" s="243" t="str">
        <f>INDEX(DEFAULT!$E$274:$AJ$331,8,'USER INPUTS'!$B$4)</f>
        <v>-</v>
      </c>
      <c r="B160" s="294"/>
      <c r="C160" s="100">
        <f>'USER INPUTS'!I20</f>
        <v>0</v>
      </c>
      <c r="D160" s="295"/>
      <c r="E160" s="150">
        <f>(INDEX(DEFAULT!$E$339:$AJ$396,8,'USER INPUTS'!$B$4)/100)*($C160/100)*E$133</f>
        <v>0</v>
      </c>
      <c r="F160" s="150">
        <f>E160*(100+INDEX(DEFAULT!$E$238:$AJ$240,1,'USER INPUTS'!$B$4))/100</f>
        <v>0</v>
      </c>
      <c r="G160" s="150">
        <f>F160*(100+INDEX(DEFAULT!$E$238:$AJ$240,1,'USER INPUTS'!$B$4))/100</f>
        <v>0</v>
      </c>
      <c r="H160" s="150">
        <f>G160*(100+INDEX(DEFAULT!$E$238:$AJ$240,1,'USER INPUTS'!$B$4))/100</f>
        <v>0</v>
      </c>
      <c r="I160" s="150">
        <f>H160*(100+INDEX(DEFAULT!$E$238:$AJ$240,1,'USER INPUTS'!$B$4))/100</f>
        <v>0</v>
      </c>
      <c r="J160" s="150">
        <f>I160*(100+INDEX(DEFAULT!$E$238:$AJ$240,1,'USER INPUTS'!$B$4))/100</f>
        <v>0</v>
      </c>
      <c r="K160" s="150">
        <f>J160*(100+INDEX(DEFAULT!$E$238:$AJ$240,1,'USER INPUTS'!$B$4))/100</f>
        <v>0</v>
      </c>
      <c r="L160" s="150">
        <f>K160*(100+INDEX(DEFAULT!$E$238:$AJ$240,1,'USER INPUTS'!$B$4))/100</f>
        <v>0</v>
      </c>
      <c r="M160" s="150">
        <f>L160*(100+INDEX(DEFAULT!$E$238:$AJ$240,1,'USER INPUTS'!$B$4))/100</f>
        <v>0</v>
      </c>
      <c r="N160" s="150">
        <f>M160*(100+INDEX(DEFAULT!$E$238:$AJ$240,1,'USER INPUTS'!$B$4))/100</f>
        <v>0</v>
      </c>
      <c r="O160" s="150">
        <f>N160*(100+INDEX(DEFAULT!$E$238:$AJ$240,2,'USER INPUTS'!$B$4))/100</f>
        <v>0</v>
      </c>
      <c r="P160" s="150">
        <f>O160*(100+INDEX(DEFAULT!$E$238:$AJ$240,2,'USER INPUTS'!$B$4))/100</f>
        <v>0</v>
      </c>
      <c r="Q160" s="150">
        <f>P160*(100+INDEX(DEFAULT!$E$238:$AJ$240,2,'USER INPUTS'!$B$4))/100</f>
        <v>0</v>
      </c>
      <c r="R160" s="150">
        <f>Q160*(100+INDEX(DEFAULT!$E$238:$AJ$240,2,'USER INPUTS'!$B$4))/100</f>
        <v>0</v>
      </c>
      <c r="S160" s="150">
        <f>R160*(100+INDEX(DEFAULT!$E$238:$AJ$240,2,'USER INPUTS'!$B$4))/100</f>
        <v>0</v>
      </c>
      <c r="T160" s="150">
        <f>S160*(100+INDEX(DEFAULT!$E$238:$AJ$240,2,'USER INPUTS'!$B$4))/100</f>
        <v>0</v>
      </c>
      <c r="U160" s="150">
        <f>T160*(100+INDEX(DEFAULT!$E$238:$AJ$240,2,'USER INPUTS'!$B$4))/100</f>
        <v>0</v>
      </c>
      <c r="V160" s="150">
        <f>U160*(100+INDEX(DEFAULT!$E$238:$AJ$240,2,'USER INPUTS'!$B$4))/100</f>
        <v>0</v>
      </c>
      <c r="W160" s="150">
        <f>V160*(100+INDEX(DEFAULT!$E$238:$AJ$240,2,'USER INPUTS'!$B$4))/100</f>
        <v>0</v>
      </c>
      <c r="X160" s="150">
        <f>W160*(100+INDEX(DEFAULT!$E$238:$AJ$240,2,'USER INPUTS'!$B$4))/100</f>
        <v>0</v>
      </c>
      <c r="Y160" s="150">
        <f>X160*(100+INDEX(DEFAULT!$E$238:$AJ$240,3,'USER INPUTS'!$B$4))/100</f>
        <v>0</v>
      </c>
      <c r="Z160" s="150">
        <f>Y160*(100+INDEX(DEFAULT!$E$238:$AJ$240,3,'USER INPUTS'!$B$4))/100</f>
        <v>0</v>
      </c>
      <c r="AA160" s="150">
        <f>Z160*(100+INDEX(DEFAULT!$E$238:$AJ$240,3,'USER INPUTS'!$B$4))/100</f>
        <v>0</v>
      </c>
      <c r="AB160" s="150">
        <f>AA160*(100+INDEX(DEFAULT!$E$238:$AJ$240,3,'USER INPUTS'!$B$4))/100</f>
        <v>0</v>
      </c>
      <c r="AC160" s="150">
        <f>AB160*(100+INDEX(DEFAULT!$E$238:$AJ$240,3,'USER INPUTS'!$B$4))/100</f>
        <v>0</v>
      </c>
      <c r="AD160" s="150">
        <f>AC160*(100+INDEX(DEFAULT!$E$238:$AJ$240,3,'USER INPUTS'!$B$4))/100</f>
        <v>0</v>
      </c>
      <c r="AE160" s="150">
        <f>AD160*(100+INDEX(DEFAULT!$E$238:$AJ$240,3,'USER INPUTS'!$B$4))/100</f>
        <v>0</v>
      </c>
      <c r="AF160" s="150">
        <f>AE160*(100+INDEX(DEFAULT!$E$238:$AJ$240,3,'USER INPUTS'!$B$4))/100</f>
        <v>0</v>
      </c>
      <c r="AG160" s="150">
        <f>AF160*(100+INDEX(DEFAULT!$E$238:$AJ$240,3,'USER INPUTS'!$B$4))/100</f>
        <v>0</v>
      </c>
      <c r="AH160" s="150">
        <f>AG160*(100+INDEX(DEFAULT!$E$238:$AJ$240,3,'USER INPUTS'!$B$4))/100</f>
        <v>0</v>
      </c>
      <c r="AI160" s="139"/>
      <c r="AJ160" s="133"/>
    </row>
    <row r="161" spans="1:36" s="134" customFormat="1">
      <c r="A161" s="243" t="str">
        <f>INDEX(DEFAULT!$E$274:$AJ$331,9,'USER INPUTS'!$B$4)</f>
        <v>-</v>
      </c>
      <c r="B161" s="294"/>
      <c r="C161" s="100">
        <f>'USER INPUTS'!I21</f>
        <v>0</v>
      </c>
      <c r="D161" s="295"/>
      <c r="E161" s="150">
        <f>(INDEX(DEFAULT!$E$339:$AJ$396,9,'USER INPUTS'!$B$4)/100)*($C161/100)*E$133</f>
        <v>0</v>
      </c>
      <c r="F161" s="150">
        <f>E161*(100+INDEX(DEFAULT!$E$238:$AJ$240,1,'USER INPUTS'!$B$4))/100</f>
        <v>0</v>
      </c>
      <c r="G161" s="150">
        <f>F161*(100+INDEX(DEFAULT!$E$238:$AJ$240,1,'USER INPUTS'!$B$4))/100</f>
        <v>0</v>
      </c>
      <c r="H161" s="150">
        <f>G161*(100+INDEX(DEFAULT!$E$238:$AJ$240,1,'USER INPUTS'!$B$4))/100</f>
        <v>0</v>
      </c>
      <c r="I161" s="150">
        <f>H161*(100+INDEX(DEFAULT!$E$238:$AJ$240,1,'USER INPUTS'!$B$4))/100</f>
        <v>0</v>
      </c>
      <c r="J161" s="150">
        <f>I161*(100+INDEX(DEFAULT!$E$238:$AJ$240,1,'USER INPUTS'!$B$4))/100</f>
        <v>0</v>
      </c>
      <c r="K161" s="150">
        <f>J161*(100+INDEX(DEFAULT!$E$238:$AJ$240,1,'USER INPUTS'!$B$4))/100</f>
        <v>0</v>
      </c>
      <c r="L161" s="150">
        <f>K161*(100+INDEX(DEFAULT!$E$238:$AJ$240,1,'USER INPUTS'!$B$4))/100</f>
        <v>0</v>
      </c>
      <c r="M161" s="150">
        <f>L161*(100+INDEX(DEFAULT!$E$238:$AJ$240,1,'USER INPUTS'!$B$4))/100</f>
        <v>0</v>
      </c>
      <c r="N161" s="150">
        <f>M161*(100+INDEX(DEFAULT!$E$238:$AJ$240,1,'USER INPUTS'!$B$4))/100</f>
        <v>0</v>
      </c>
      <c r="O161" s="150">
        <f>N161*(100+INDEX(DEFAULT!$E$238:$AJ$240,2,'USER INPUTS'!$B$4))/100</f>
        <v>0</v>
      </c>
      <c r="P161" s="150">
        <f>O161*(100+INDEX(DEFAULT!$E$238:$AJ$240,2,'USER INPUTS'!$B$4))/100</f>
        <v>0</v>
      </c>
      <c r="Q161" s="150">
        <f>P161*(100+INDEX(DEFAULT!$E$238:$AJ$240,2,'USER INPUTS'!$B$4))/100</f>
        <v>0</v>
      </c>
      <c r="R161" s="150">
        <f>Q161*(100+INDEX(DEFAULT!$E$238:$AJ$240,2,'USER INPUTS'!$B$4))/100</f>
        <v>0</v>
      </c>
      <c r="S161" s="150">
        <f>R161*(100+INDEX(DEFAULT!$E$238:$AJ$240,2,'USER INPUTS'!$B$4))/100</f>
        <v>0</v>
      </c>
      <c r="T161" s="150">
        <f>S161*(100+INDEX(DEFAULT!$E$238:$AJ$240,2,'USER INPUTS'!$B$4))/100</f>
        <v>0</v>
      </c>
      <c r="U161" s="150">
        <f>T161*(100+INDEX(DEFAULT!$E$238:$AJ$240,2,'USER INPUTS'!$B$4))/100</f>
        <v>0</v>
      </c>
      <c r="V161" s="150">
        <f>U161*(100+INDEX(DEFAULT!$E$238:$AJ$240,2,'USER INPUTS'!$B$4))/100</f>
        <v>0</v>
      </c>
      <c r="W161" s="150">
        <f>V161*(100+INDEX(DEFAULT!$E$238:$AJ$240,2,'USER INPUTS'!$B$4))/100</f>
        <v>0</v>
      </c>
      <c r="X161" s="150">
        <f>W161*(100+INDEX(DEFAULT!$E$238:$AJ$240,2,'USER INPUTS'!$B$4))/100</f>
        <v>0</v>
      </c>
      <c r="Y161" s="150">
        <f>X161*(100+INDEX(DEFAULT!$E$238:$AJ$240,3,'USER INPUTS'!$B$4))/100</f>
        <v>0</v>
      </c>
      <c r="Z161" s="150">
        <f>Y161*(100+INDEX(DEFAULT!$E$238:$AJ$240,3,'USER INPUTS'!$B$4))/100</f>
        <v>0</v>
      </c>
      <c r="AA161" s="150">
        <f>Z161*(100+INDEX(DEFAULT!$E$238:$AJ$240,3,'USER INPUTS'!$B$4))/100</f>
        <v>0</v>
      </c>
      <c r="AB161" s="150">
        <f>AA161*(100+INDEX(DEFAULT!$E$238:$AJ$240,3,'USER INPUTS'!$B$4))/100</f>
        <v>0</v>
      </c>
      <c r="AC161" s="150">
        <f>AB161*(100+INDEX(DEFAULT!$E$238:$AJ$240,3,'USER INPUTS'!$B$4))/100</f>
        <v>0</v>
      </c>
      <c r="AD161" s="150">
        <f>AC161*(100+INDEX(DEFAULT!$E$238:$AJ$240,3,'USER INPUTS'!$B$4))/100</f>
        <v>0</v>
      </c>
      <c r="AE161" s="150">
        <f>AD161*(100+INDEX(DEFAULT!$E$238:$AJ$240,3,'USER INPUTS'!$B$4))/100</f>
        <v>0</v>
      </c>
      <c r="AF161" s="150">
        <f>AE161*(100+INDEX(DEFAULT!$E$238:$AJ$240,3,'USER INPUTS'!$B$4))/100</f>
        <v>0</v>
      </c>
      <c r="AG161" s="150">
        <f>AF161*(100+INDEX(DEFAULT!$E$238:$AJ$240,3,'USER INPUTS'!$B$4))/100</f>
        <v>0</v>
      </c>
      <c r="AH161" s="150">
        <f>AG161*(100+INDEX(DEFAULT!$E$238:$AJ$240,3,'USER INPUTS'!$B$4))/100</f>
        <v>0</v>
      </c>
      <c r="AI161" s="139"/>
      <c r="AJ161" s="133"/>
    </row>
    <row r="162" spans="1:36" s="134" customFormat="1">
      <c r="A162" s="243" t="str">
        <f>INDEX(DEFAULT!$E$274:$AJ$331,10,'USER INPUTS'!$B$4)</f>
        <v>-</v>
      </c>
      <c r="B162" s="294"/>
      <c r="C162" s="100">
        <f>'USER INPUTS'!I22</f>
        <v>0</v>
      </c>
      <c r="D162" s="295"/>
      <c r="E162" s="150">
        <f>(INDEX(DEFAULT!$E$339:$AJ$396,10,'USER INPUTS'!$B$4)/100)*($C162/100)*E$133</f>
        <v>0</v>
      </c>
      <c r="F162" s="150">
        <f>E162*(100+INDEX(DEFAULT!$E$238:$AJ$240,1,'USER INPUTS'!$B$4))/100</f>
        <v>0</v>
      </c>
      <c r="G162" s="150">
        <f>F162*(100+INDEX(DEFAULT!$E$238:$AJ$240,1,'USER INPUTS'!$B$4))/100</f>
        <v>0</v>
      </c>
      <c r="H162" s="150">
        <f>G162*(100+INDEX(DEFAULT!$E$238:$AJ$240,1,'USER INPUTS'!$B$4))/100</f>
        <v>0</v>
      </c>
      <c r="I162" s="150">
        <f>H162*(100+INDEX(DEFAULT!$E$238:$AJ$240,1,'USER INPUTS'!$B$4))/100</f>
        <v>0</v>
      </c>
      <c r="J162" s="150">
        <f>I162*(100+INDEX(DEFAULT!$E$238:$AJ$240,1,'USER INPUTS'!$B$4))/100</f>
        <v>0</v>
      </c>
      <c r="K162" s="150">
        <f>J162*(100+INDEX(DEFAULT!$E$238:$AJ$240,1,'USER INPUTS'!$B$4))/100</f>
        <v>0</v>
      </c>
      <c r="L162" s="150">
        <f>K162*(100+INDEX(DEFAULT!$E$238:$AJ$240,1,'USER INPUTS'!$B$4))/100</f>
        <v>0</v>
      </c>
      <c r="M162" s="150">
        <f>L162*(100+INDEX(DEFAULT!$E$238:$AJ$240,1,'USER INPUTS'!$B$4))/100</f>
        <v>0</v>
      </c>
      <c r="N162" s="150">
        <f>M162*(100+INDEX(DEFAULT!$E$238:$AJ$240,1,'USER INPUTS'!$B$4))/100</f>
        <v>0</v>
      </c>
      <c r="O162" s="150">
        <f>N162*(100+INDEX(DEFAULT!$E$238:$AJ$240,2,'USER INPUTS'!$B$4))/100</f>
        <v>0</v>
      </c>
      <c r="P162" s="150">
        <f>O162*(100+INDEX(DEFAULT!$E$238:$AJ$240,2,'USER INPUTS'!$B$4))/100</f>
        <v>0</v>
      </c>
      <c r="Q162" s="150">
        <f>P162*(100+INDEX(DEFAULT!$E$238:$AJ$240,2,'USER INPUTS'!$B$4))/100</f>
        <v>0</v>
      </c>
      <c r="R162" s="150">
        <f>Q162*(100+INDEX(DEFAULT!$E$238:$AJ$240,2,'USER INPUTS'!$B$4))/100</f>
        <v>0</v>
      </c>
      <c r="S162" s="150">
        <f>R162*(100+INDEX(DEFAULT!$E$238:$AJ$240,2,'USER INPUTS'!$B$4))/100</f>
        <v>0</v>
      </c>
      <c r="T162" s="150">
        <f>S162*(100+INDEX(DEFAULT!$E$238:$AJ$240,2,'USER INPUTS'!$B$4))/100</f>
        <v>0</v>
      </c>
      <c r="U162" s="150">
        <f>T162*(100+INDEX(DEFAULT!$E$238:$AJ$240,2,'USER INPUTS'!$B$4))/100</f>
        <v>0</v>
      </c>
      <c r="V162" s="150">
        <f>U162*(100+INDEX(DEFAULT!$E$238:$AJ$240,2,'USER INPUTS'!$B$4))/100</f>
        <v>0</v>
      </c>
      <c r="W162" s="150">
        <f>V162*(100+INDEX(DEFAULT!$E$238:$AJ$240,2,'USER INPUTS'!$B$4))/100</f>
        <v>0</v>
      </c>
      <c r="X162" s="150">
        <f>W162*(100+INDEX(DEFAULT!$E$238:$AJ$240,2,'USER INPUTS'!$B$4))/100</f>
        <v>0</v>
      </c>
      <c r="Y162" s="150">
        <f>X162*(100+INDEX(DEFAULT!$E$238:$AJ$240,3,'USER INPUTS'!$B$4))/100</f>
        <v>0</v>
      </c>
      <c r="Z162" s="150">
        <f>Y162*(100+INDEX(DEFAULT!$E$238:$AJ$240,3,'USER INPUTS'!$B$4))/100</f>
        <v>0</v>
      </c>
      <c r="AA162" s="150">
        <f>Z162*(100+INDEX(DEFAULT!$E$238:$AJ$240,3,'USER INPUTS'!$B$4))/100</f>
        <v>0</v>
      </c>
      <c r="AB162" s="150">
        <f>AA162*(100+INDEX(DEFAULT!$E$238:$AJ$240,3,'USER INPUTS'!$B$4))/100</f>
        <v>0</v>
      </c>
      <c r="AC162" s="150">
        <f>AB162*(100+INDEX(DEFAULT!$E$238:$AJ$240,3,'USER INPUTS'!$B$4))/100</f>
        <v>0</v>
      </c>
      <c r="AD162" s="150">
        <f>AC162*(100+INDEX(DEFAULT!$E$238:$AJ$240,3,'USER INPUTS'!$B$4))/100</f>
        <v>0</v>
      </c>
      <c r="AE162" s="150">
        <f>AD162*(100+INDEX(DEFAULT!$E$238:$AJ$240,3,'USER INPUTS'!$B$4))/100</f>
        <v>0</v>
      </c>
      <c r="AF162" s="150">
        <f>AE162*(100+INDEX(DEFAULT!$E$238:$AJ$240,3,'USER INPUTS'!$B$4))/100</f>
        <v>0</v>
      </c>
      <c r="AG162" s="150">
        <f>AF162*(100+INDEX(DEFAULT!$E$238:$AJ$240,3,'USER INPUTS'!$B$4))/100</f>
        <v>0</v>
      </c>
      <c r="AH162" s="150">
        <f>AG162*(100+INDEX(DEFAULT!$E$238:$AJ$240,3,'USER INPUTS'!$B$4))/100</f>
        <v>0</v>
      </c>
      <c r="AI162" s="139"/>
      <c r="AJ162" s="133"/>
    </row>
    <row r="163" spans="1:36" s="134" customFormat="1">
      <c r="A163" s="243" t="str">
        <f>INDEX(DEFAULT!$E$274:$AJ$331,11,'USER INPUTS'!$B$4)</f>
        <v>-</v>
      </c>
      <c r="B163" s="294"/>
      <c r="C163" s="100">
        <f>'USER INPUTS'!I23</f>
        <v>0</v>
      </c>
      <c r="D163" s="295"/>
      <c r="E163" s="150">
        <f>(INDEX(DEFAULT!$E$339:$AJ$396,11,'USER INPUTS'!$B$4)/100)*($C163/100)*E$133</f>
        <v>0</v>
      </c>
      <c r="F163" s="150">
        <f>E163*(100+INDEX(DEFAULT!$E$238:$AJ$240,1,'USER INPUTS'!$B$4))/100</f>
        <v>0</v>
      </c>
      <c r="G163" s="150">
        <f>F163*(100+INDEX(DEFAULT!$E$238:$AJ$240,1,'USER INPUTS'!$B$4))/100</f>
        <v>0</v>
      </c>
      <c r="H163" s="150">
        <f>G163*(100+INDEX(DEFAULT!$E$238:$AJ$240,1,'USER INPUTS'!$B$4))/100</f>
        <v>0</v>
      </c>
      <c r="I163" s="150">
        <f>H163*(100+INDEX(DEFAULT!$E$238:$AJ$240,1,'USER INPUTS'!$B$4))/100</f>
        <v>0</v>
      </c>
      <c r="J163" s="150">
        <f>I163*(100+INDEX(DEFAULT!$E$238:$AJ$240,1,'USER INPUTS'!$B$4))/100</f>
        <v>0</v>
      </c>
      <c r="K163" s="150">
        <f>J163*(100+INDEX(DEFAULT!$E$238:$AJ$240,1,'USER INPUTS'!$B$4))/100</f>
        <v>0</v>
      </c>
      <c r="L163" s="150">
        <f>K163*(100+INDEX(DEFAULT!$E$238:$AJ$240,1,'USER INPUTS'!$B$4))/100</f>
        <v>0</v>
      </c>
      <c r="M163" s="150">
        <f>L163*(100+INDEX(DEFAULT!$E$238:$AJ$240,1,'USER INPUTS'!$B$4))/100</f>
        <v>0</v>
      </c>
      <c r="N163" s="150">
        <f>M163*(100+INDEX(DEFAULT!$E$238:$AJ$240,1,'USER INPUTS'!$B$4))/100</f>
        <v>0</v>
      </c>
      <c r="O163" s="150">
        <f>N163*(100+INDEX(DEFAULT!$E$238:$AJ$240,2,'USER INPUTS'!$B$4))/100</f>
        <v>0</v>
      </c>
      <c r="P163" s="150">
        <f>O163*(100+INDEX(DEFAULT!$E$238:$AJ$240,2,'USER INPUTS'!$B$4))/100</f>
        <v>0</v>
      </c>
      <c r="Q163" s="150">
        <f>P163*(100+INDEX(DEFAULT!$E$238:$AJ$240,2,'USER INPUTS'!$B$4))/100</f>
        <v>0</v>
      </c>
      <c r="R163" s="150">
        <f>Q163*(100+INDEX(DEFAULT!$E$238:$AJ$240,2,'USER INPUTS'!$B$4))/100</f>
        <v>0</v>
      </c>
      <c r="S163" s="150">
        <f>R163*(100+INDEX(DEFAULT!$E$238:$AJ$240,2,'USER INPUTS'!$B$4))/100</f>
        <v>0</v>
      </c>
      <c r="T163" s="150">
        <f>S163*(100+INDEX(DEFAULT!$E$238:$AJ$240,2,'USER INPUTS'!$B$4))/100</f>
        <v>0</v>
      </c>
      <c r="U163" s="150">
        <f>T163*(100+INDEX(DEFAULT!$E$238:$AJ$240,2,'USER INPUTS'!$B$4))/100</f>
        <v>0</v>
      </c>
      <c r="V163" s="150">
        <f>U163*(100+INDEX(DEFAULT!$E$238:$AJ$240,2,'USER INPUTS'!$B$4))/100</f>
        <v>0</v>
      </c>
      <c r="W163" s="150">
        <f>V163*(100+INDEX(DEFAULT!$E$238:$AJ$240,2,'USER INPUTS'!$B$4))/100</f>
        <v>0</v>
      </c>
      <c r="X163" s="150">
        <f>W163*(100+INDEX(DEFAULT!$E$238:$AJ$240,2,'USER INPUTS'!$B$4))/100</f>
        <v>0</v>
      </c>
      <c r="Y163" s="150">
        <f>X163*(100+INDEX(DEFAULT!$E$238:$AJ$240,3,'USER INPUTS'!$B$4))/100</f>
        <v>0</v>
      </c>
      <c r="Z163" s="150">
        <f>Y163*(100+INDEX(DEFAULT!$E$238:$AJ$240,3,'USER INPUTS'!$B$4))/100</f>
        <v>0</v>
      </c>
      <c r="AA163" s="150">
        <f>Z163*(100+INDEX(DEFAULT!$E$238:$AJ$240,3,'USER INPUTS'!$B$4))/100</f>
        <v>0</v>
      </c>
      <c r="AB163" s="150">
        <f>AA163*(100+INDEX(DEFAULT!$E$238:$AJ$240,3,'USER INPUTS'!$B$4))/100</f>
        <v>0</v>
      </c>
      <c r="AC163" s="150">
        <f>AB163*(100+INDEX(DEFAULT!$E$238:$AJ$240,3,'USER INPUTS'!$B$4))/100</f>
        <v>0</v>
      </c>
      <c r="AD163" s="150">
        <f>AC163*(100+INDEX(DEFAULT!$E$238:$AJ$240,3,'USER INPUTS'!$B$4))/100</f>
        <v>0</v>
      </c>
      <c r="AE163" s="150">
        <f>AD163*(100+INDEX(DEFAULT!$E$238:$AJ$240,3,'USER INPUTS'!$B$4))/100</f>
        <v>0</v>
      </c>
      <c r="AF163" s="150">
        <f>AE163*(100+INDEX(DEFAULT!$E$238:$AJ$240,3,'USER INPUTS'!$B$4))/100</f>
        <v>0</v>
      </c>
      <c r="AG163" s="150">
        <f>AF163*(100+INDEX(DEFAULT!$E$238:$AJ$240,3,'USER INPUTS'!$B$4))/100</f>
        <v>0</v>
      </c>
      <c r="AH163" s="150">
        <f>AG163*(100+INDEX(DEFAULT!$E$238:$AJ$240,3,'USER INPUTS'!$B$4))/100</f>
        <v>0</v>
      </c>
      <c r="AI163" s="139"/>
      <c r="AJ163" s="133"/>
    </row>
    <row r="164" spans="1:36" s="134" customFormat="1">
      <c r="A164" s="243" t="str">
        <f>INDEX(DEFAULT!$E$274:$AJ$331,12,'USER INPUTS'!$B$4)</f>
        <v>-</v>
      </c>
      <c r="B164" s="294"/>
      <c r="C164" s="100">
        <f>'USER INPUTS'!I24</f>
        <v>0</v>
      </c>
      <c r="D164" s="295"/>
      <c r="E164" s="150">
        <f>(INDEX(DEFAULT!$E$339:$AJ$396,12,'USER INPUTS'!$B$4)/100)*($C164/100)*E$133</f>
        <v>0</v>
      </c>
      <c r="F164" s="150">
        <f>E164*(100+INDEX(DEFAULT!$E$238:$AJ$240,1,'USER INPUTS'!$B$4))/100</f>
        <v>0</v>
      </c>
      <c r="G164" s="150">
        <f>F164*(100+INDEX(DEFAULT!$E$238:$AJ$240,1,'USER INPUTS'!$B$4))/100</f>
        <v>0</v>
      </c>
      <c r="H164" s="150">
        <f>G164*(100+INDEX(DEFAULT!$E$238:$AJ$240,1,'USER INPUTS'!$B$4))/100</f>
        <v>0</v>
      </c>
      <c r="I164" s="150">
        <f>H164*(100+INDEX(DEFAULT!$E$238:$AJ$240,1,'USER INPUTS'!$B$4))/100</f>
        <v>0</v>
      </c>
      <c r="J164" s="150">
        <f>I164*(100+INDEX(DEFAULT!$E$238:$AJ$240,1,'USER INPUTS'!$B$4))/100</f>
        <v>0</v>
      </c>
      <c r="K164" s="150">
        <f>J164*(100+INDEX(DEFAULT!$E$238:$AJ$240,1,'USER INPUTS'!$B$4))/100</f>
        <v>0</v>
      </c>
      <c r="L164" s="150">
        <f>K164*(100+INDEX(DEFAULT!$E$238:$AJ$240,1,'USER INPUTS'!$B$4))/100</f>
        <v>0</v>
      </c>
      <c r="M164" s="150">
        <f>L164*(100+INDEX(DEFAULT!$E$238:$AJ$240,1,'USER INPUTS'!$B$4))/100</f>
        <v>0</v>
      </c>
      <c r="N164" s="150">
        <f>M164*(100+INDEX(DEFAULT!$E$238:$AJ$240,1,'USER INPUTS'!$B$4))/100</f>
        <v>0</v>
      </c>
      <c r="O164" s="150">
        <f>N164*(100+INDEX(DEFAULT!$E$238:$AJ$240,2,'USER INPUTS'!$B$4))/100</f>
        <v>0</v>
      </c>
      <c r="P164" s="150">
        <f>O164*(100+INDEX(DEFAULT!$E$238:$AJ$240,2,'USER INPUTS'!$B$4))/100</f>
        <v>0</v>
      </c>
      <c r="Q164" s="150">
        <f>P164*(100+INDEX(DEFAULT!$E$238:$AJ$240,2,'USER INPUTS'!$B$4))/100</f>
        <v>0</v>
      </c>
      <c r="R164" s="150">
        <f>Q164*(100+INDEX(DEFAULT!$E$238:$AJ$240,2,'USER INPUTS'!$B$4))/100</f>
        <v>0</v>
      </c>
      <c r="S164" s="150">
        <f>R164*(100+INDEX(DEFAULT!$E$238:$AJ$240,2,'USER INPUTS'!$B$4))/100</f>
        <v>0</v>
      </c>
      <c r="T164" s="150">
        <f>S164*(100+INDEX(DEFAULT!$E$238:$AJ$240,2,'USER INPUTS'!$B$4))/100</f>
        <v>0</v>
      </c>
      <c r="U164" s="150">
        <f>T164*(100+INDEX(DEFAULT!$E$238:$AJ$240,2,'USER INPUTS'!$B$4))/100</f>
        <v>0</v>
      </c>
      <c r="V164" s="150">
        <f>U164*(100+INDEX(DEFAULT!$E$238:$AJ$240,2,'USER INPUTS'!$B$4))/100</f>
        <v>0</v>
      </c>
      <c r="W164" s="150">
        <f>V164*(100+INDEX(DEFAULT!$E$238:$AJ$240,2,'USER INPUTS'!$B$4))/100</f>
        <v>0</v>
      </c>
      <c r="X164" s="150">
        <f>W164*(100+INDEX(DEFAULT!$E$238:$AJ$240,2,'USER INPUTS'!$B$4))/100</f>
        <v>0</v>
      </c>
      <c r="Y164" s="150">
        <f>X164*(100+INDEX(DEFAULT!$E$238:$AJ$240,3,'USER INPUTS'!$B$4))/100</f>
        <v>0</v>
      </c>
      <c r="Z164" s="150">
        <f>Y164*(100+INDEX(DEFAULT!$E$238:$AJ$240,3,'USER INPUTS'!$B$4))/100</f>
        <v>0</v>
      </c>
      <c r="AA164" s="150">
        <f>Z164*(100+INDEX(DEFAULT!$E$238:$AJ$240,3,'USER INPUTS'!$B$4))/100</f>
        <v>0</v>
      </c>
      <c r="AB164" s="150">
        <f>AA164*(100+INDEX(DEFAULT!$E$238:$AJ$240,3,'USER INPUTS'!$B$4))/100</f>
        <v>0</v>
      </c>
      <c r="AC164" s="150">
        <f>AB164*(100+INDEX(DEFAULT!$E$238:$AJ$240,3,'USER INPUTS'!$B$4))/100</f>
        <v>0</v>
      </c>
      <c r="AD164" s="150">
        <f>AC164*(100+INDEX(DEFAULT!$E$238:$AJ$240,3,'USER INPUTS'!$B$4))/100</f>
        <v>0</v>
      </c>
      <c r="AE164" s="150">
        <f>AD164*(100+INDEX(DEFAULT!$E$238:$AJ$240,3,'USER INPUTS'!$B$4))/100</f>
        <v>0</v>
      </c>
      <c r="AF164" s="150">
        <f>AE164*(100+INDEX(DEFAULT!$E$238:$AJ$240,3,'USER INPUTS'!$B$4))/100</f>
        <v>0</v>
      </c>
      <c r="AG164" s="150">
        <f>AF164*(100+INDEX(DEFAULT!$E$238:$AJ$240,3,'USER INPUTS'!$B$4))/100</f>
        <v>0</v>
      </c>
      <c r="AH164" s="150">
        <f>AG164*(100+INDEX(DEFAULT!$E$238:$AJ$240,3,'USER INPUTS'!$B$4))/100</f>
        <v>0</v>
      </c>
      <c r="AI164" s="139"/>
      <c r="AJ164" s="133"/>
    </row>
    <row r="165" spans="1:36" s="134" customFormat="1">
      <c r="A165" s="243" t="str">
        <f>INDEX(DEFAULT!$E$274:$AJ$331,13,'USER INPUTS'!$B$4)</f>
        <v>-</v>
      </c>
      <c r="B165" s="294"/>
      <c r="C165" s="100">
        <f>'USER INPUTS'!I25</f>
        <v>0</v>
      </c>
      <c r="D165" s="295"/>
      <c r="E165" s="150">
        <f>(INDEX(DEFAULT!$E$339:$AJ$396,13,'USER INPUTS'!$B$4)/100)*($C165/100)*E$133</f>
        <v>0</v>
      </c>
      <c r="F165" s="150">
        <f>E165*(100+INDEX(DEFAULT!$E$238:$AJ$240,1,'USER INPUTS'!$B$4))/100</f>
        <v>0</v>
      </c>
      <c r="G165" s="150">
        <f>F165*(100+INDEX(DEFAULT!$E$238:$AJ$240,1,'USER INPUTS'!$B$4))/100</f>
        <v>0</v>
      </c>
      <c r="H165" s="150">
        <f>G165*(100+INDEX(DEFAULT!$E$238:$AJ$240,1,'USER INPUTS'!$B$4))/100</f>
        <v>0</v>
      </c>
      <c r="I165" s="150">
        <f>H165*(100+INDEX(DEFAULT!$E$238:$AJ$240,1,'USER INPUTS'!$B$4))/100</f>
        <v>0</v>
      </c>
      <c r="J165" s="150">
        <f>I165*(100+INDEX(DEFAULT!$E$238:$AJ$240,1,'USER INPUTS'!$B$4))/100</f>
        <v>0</v>
      </c>
      <c r="K165" s="150">
        <f>J165*(100+INDEX(DEFAULT!$E$238:$AJ$240,1,'USER INPUTS'!$B$4))/100</f>
        <v>0</v>
      </c>
      <c r="L165" s="150">
        <f>K165*(100+INDEX(DEFAULT!$E$238:$AJ$240,1,'USER INPUTS'!$B$4))/100</f>
        <v>0</v>
      </c>
      <c r="M165" s="150">
        <f>L165*(100+INDEX(DEFAULT!$E$238:$AJ$240,1,'USER INPUTS'!$B$4))/100</f>
        <v>0</v>
      </c>
      <c r="N165" s="150">
        <f>M165*(100+INDEX(DEFAULT!$E$238:$AJ$240,1,'USER INPUTS'!$B$4))/100</f>
        <v>0</v>
      </c>
      <c r="O165" s="150">
        <f>N165*(100+INDEX(DEFAULT!$E$238:$AJ$240,2,'USER INPUTS'!$B$4))/100</f>
        <v>0</v>
      </c>
      <c r="P165" s="150">
        <f>O165*(100+INDEX(DEFAULT!$E$238:$AJ$240,2,'USER INPUTS'!$B$4))/100</f>
        <v>0</v>
      </c>
      <c r="Q165" s="150">
        <f>P165*(100+INDEX(DEFAULT!$E$238:$AJ$240,2,'USER INPUTS'!$B$4))/100</f>
        <v>0</v>
      </c>
      <c r="R165" s="150">
        <f>Q165*(100+INDEX(DEFAULT!$E$238:$AJ$240,2,'USER INPUTS'!$B$4))/100</f>
        <v>0</v>
      </c>
      <c r="S165" s="150">
        <f>R165*(100+INDEX(DEFAULT!$E$238:$AJ$240,2,'USER INPUTS'!$B$4))/100</f>
        <v>0</v>
      </c>
      <c r="T165" s="150">
        <f>S165*(100+INDEX(DEFAULT!$E$238:$AJ$240,2,'USER INPUTS'!$B$4))/100</f>
        <v>0</v>
      </c>
      <c r="U165" s="150">
        <f>T165*(100+INDEX(DEFAULT!$E$238:$AJ$240,2,'USER INPUTS'!$B$4))/100</f>
        <v>0</v>
      </c>
      <c r="V165" s="150">
        <f>U165*(100+INDEX(DEFAULT!$E$238:$AJ$240,2,'USER INPUTS'!$B$4))/100</f>
        <v>0</v>
      </c>
      <c r="W165" s="150">
        <f>V165*(100+INDEX(DEFAULT!$E$238:$AJ$240,2,'USER INPUTS'!$B$4))/100</f>
        <v>0</v>
      </c>
      <c r="X165" s="150">
        <f>W165*(100+INDEX(DEFAULT!$E$238:$AJ$240,2,'USER INPUTS'!$B$4))/100</f>
        <v>0</v>
      </c>
      <c r="Y165" s="150">
        <f>X165*(100+INDEX(DEFAULT!$E$238:$AJ$240,3,'USER INPUTS'!$B$4))/100</f>
        <v>0</v>
      </c>
      <c r="Z165" s="150">
        <f>Y165*(100+INDEX(DEFAULT!$E$238:$AJ$240,3,'USER INPUTS'!$B$4))/100</f>
        <v>0</v>
      </c>
      <c r="AA165" s="150">
        <f>Z165*(100+INDEX(DEFAULT!$E$238:$AJ$240,3,'USER INPUTS'!$B$4))/100</f>
        <v>0</v>
      </c>
      <c r="AB165" s="150">
        <f>AA165*(100+INDEX(DEFAULT!$E$238:$AJ$240,3,'USER INPUTS'!$B$4))/100</f>
        <v>0</v>
      </c>
      <c r="AC165" s="150">
        <f>AB165*(100+INDEX(DEFAULT!$E$238:$AJ$240,3,'USER INPUTS'!$B$4))/100</f>
        <v>0</v>
      </c>
      <c r="AD165" s="150">
        <f>AC165*(100+INDEX(DEFAULT!$E$238:$AJ$240,3,'USER INPUTS'!$B$4))/100</f>
        <v>0</v>
      </c>
      <c r="AE165" s="150">
        <f>AD165*(100+INDEX(DEFAULT!$E$238:$AJ$240,3,'USER INPUTS'!$B$4))/100</f>
        <v>0</v>
      </c>
      <c r="AF165" s="150">
        <f>AE165*(100+INDEX(DEFAULT!$E$238:$AJ$240,3,'USER INPUTS'!$B$4))/100</f>
        <v>0</v>
      </c>
      <c r="AG165" s="150">
        <f>AF165*(100+INDEX(DEFAULT!$E$238:$AJ$240,3,'USER INPUTS'!$B$4))/100</f>
        <v>0</v>
      </c>
      <c r="AH165" s="150">
        <f>AG165*(100+INDEX(DEFAULT!$E$238:$AJ$240,3,'USER INPUTS'!$B$4))/100</f>
        <v>0</v>
      </c>
      <c r="AI165" s="139"/>
      <c r="AJ165" s="133"/>
    </row>
    <row r="166" spans="1:36" s="134" customFormat="1">
      <c r="A166" s="243" t="str">
        <f>INDEX(DEFAULT!$E$274:$AJ$331,14,'USER INPUTS'!$B$4)</f>
        <v>-</v>
      </c>
      <c r="B166" s="294"/>
      <c r="C166" s="100">
        <f>'USER INPUTS'!I26</f>
        <v>0</v>
      </c>
      <c r="D166" s="295"/>
      <c r="E166" s="150">
        <f>(INDEX(DEFAULT!$E$339:$AJ$396,14,'USER INPUTS'!$B$4)/100)*($C166/100)*E$133</f>
        <v>0</v>
      </c>
      <c r="F166" s="150">
        <f>E166*(100+INDEX(DEFAULT!$E$238:$AJ$240,1,'USER INPUTS'!$B$4))/100</f>
        <v>0</v>
      </c>
      <c r="G166" s="150">
        <f>F166*(100+INDEX(DEFAULT!$E$238:$AJ$240,1,'USER INPUTS'!$B$4))/100</f>
        <v>0</v>
      </c>
      <c r="H166" s="150">
        <f>G166*(100+INDEX(DEFAULT!$E$238:$AJ$240,1,'USER INPUTS'!$B$4))/100</f>
        <v>0</v>
      </c>
      <c r="I166" s="150">
        <f>H166*(100+INDEX(DEFAULT!$E$238:$AJ$240,1,'USER INPUTS'!$B$4))/100</f>
        <v>0</v>
      </c>
      <c r="J166" s="150">
        <f>I166*(100+INDEX(DEFAULT!$E$238:$AJ$240,1,'USER INPUTS'!$B$4))/100</f>
        <v>0</v>
      </c>
      <c r="K166" s="150">
        <f>J166*(100+INDEX(DEFAULT!$E$238:$AJ$240,1,'USER INPUTS'!$B$4))/100</f>
        <v>0</v>
      </c>
      <c r="L166" s="150">
        <f>K166*(100+INDEX(DEFAULT!$E$238:$AJ$240,1,'USER INPUTS'!$B$4))/100</f>
        <v>0</v>
      </c>
      <c r="M166" s="150">
        <f>L166*(100+INDEX(DEFAULT!$E$238:$AJ$240,1,'USER INPUTS'!$B$4))/100</f>
        <v>0</v>
      </c>
      <c r="N166" s="150">
        <f>M166*(100+INDEX(DEFAULT!$E$238:$AJ$240,1,'USER INPUTS'!$B$4))/100</f>
        <v>0</v>
      </c>
      <c r="O166" s="150">
        <f>N166*(100+INDEX(DEFAULT!$E$238:$AJ$240,2,'USER INPUTS'!$B$4))/100</f>
        <v>0</v>
      </c>
      <c r="P166" s="150">
        <f>O166*(100+INDEX(DEFAULT!$E$238:$AJ$240,2,'USER INPUTS'!$B$4))/100</f>
        <v>0</v>
      </c>
      <c r="Q166" s="150">
        <f>P166*(100+INDEX(DEFAULT!$E$238:$AJ$240,2,'USER INPUTS'!$B$4))/100</f>
        <v>0</v>
      </c>
      <c r="R166" s="150">
        <f>Q166*(100+INDEX(DEFAULT!$E$238:$AJ$240,2,'USER INPUTS'!$B$4))/100</f>
        <v>0</v>
      </c>
      <c r="S166" s="150">
        <f>R166*(100+INDEX(DEFAULT!$E$238:$AJ$240,2,'USER INPUTS'!$B$4))/100</f>
        <v>0</v>
      </c>
      <c r="T166" s="150">
        <f>S166*(100+INDEX(DEFAULT!$E$238:$AJ$240,2,'USER INPUTS'!$B$4))/100</f>
        <v>0</v>
      </c>
      <c r="U166" s="150">
        <f>T166*(100+INDEX(DEFAULT!$E$238:$AJ$240,2,'USER INPUTS'!$B$4))/100</f>
        <v>0</v>
      </c>
      <c r="V166" s="150">
        <f>U166*(100+INDEX(DEFAULT!$E$238:$AJ$240,2,'USER INPUTS'!$B$4))/100</f>
        <v>0</v>
      </c>
      <c r="W166" s="150">
        <f>V166*(100+INDEX(DEFAULT!$E$238:$AJ$240,2,'USER INPUTS'!$B$4))/100</f>
        <v>0</v>
      </c>
      <c r="X166" s="150">
        <f>W166*(100+INDEX(DEFAULT!$E$238:$AJ$240,2,'USER INPUTS'!$B$4))/100</f>
        <v>0</v>
      </c>
      <c r="Y166" s="150">
        <f>X166*(100+INDEX(DEFAULT!$E$238:$AJ$240,3,'USER INPUTS'!$B$4))/100</f>
        <v>0</v>
      </c>
      <c r="Z166" s="150">
        <f>Y166*(100+INDEX(DEFAULT!$E$238:$AJ$240,3,'USER INPUTS'!$B$4))/100</f>
        <v>0</v>
      </c>
      <c r="AA166" s="150">
        <f>Z166*(100+INDEX(DEFAULT!$E$238:$AJ$240,3,'USER INPUTS'!$B$4))/100</f>
        <v>0</v>
      </c>
      <c r="AB166" s="150">
        <f>AA166*(100+INDEX(DEFAULT!$E$238:$AJ$240,3,'USER INPUTS'!$B$4))/100</f>
        <v>0</v>
      </c>
      <c r="AC166" s="150">
        <f>AB166*(100+INDEX(DEFAULT!$E$238:$AJ$240,3,'USER INPUTS'!$B$4))/100</f>
        <v>0</v>
      </c>
      <c r="AD166" s="150">
        <f>AC166*(100+INDEX(DEFAULT!$E$238:$AJ$240,3,'USER INPUTS'!$B$4))/100</f>
        <v>0</v>
      </c>
      <c r="AE166" s="150">
        <f>AD166*(100+INDEX(DEFAULT!$E$238:$AJ$240,3,'USER INPUTS'!$B$4))/100</f>
        <v>0</v>
      </c>
      <c r="AF166" s="150">
        <f>AE166*(100+INDEX(DEFAULT!$E$238:$AJ$240,3,'USER INPUTS'!$B$4))/100</f>
        <v>0</v>
      </c>
      <c r="AG166" s="150">
        <f>AF166*(100+INDEX(DEFAULT!$E$238:$AJ$240,3,'USER INPUTS'!$B$4))/100</f>
        <v>0</v>
      </c>
      <c r="AH166" s="150">
        <f>AG166*(100+INDEX(DEFAULT!$E$238:$AJ$240,3,'USER INPUTS'!$B$4))/100</f>
        <v>0</v>
      </c>
      <c r="AI166" s="139"/>
      <c r="AJ166" s="133"/>
    </row>
    <row r="167" spans="1:36" s="134" customFormat="1">
      <c r="A167" s="243" t="str">
        <f>INDEX(DEFAULT!$E$274:$AJ$331,15,'USER INPUTS'!$B$4)</f>
        <v>-</v>
      </c>
      <c r="B167" s="294"/>
      <c r="C167" s="100">
        <f>'USER INPUTS'!I27</f>
        <v>0</v>
      </c>
      <c r="D167" s="295"/>
      <c r="E167" s="150">
        <f>(INDEX(DEFAULT!$E$339:$AJ$396,15,'USER INPUTS'!$B$4)/100)*($C167/100)*E$133</f>
        <v>0</v>
      </c>
      <c r="F167" s="150">
        <f>E167*(100+INDEX(DEFAULT!$E$238:$AJ$240,1,'USER INPUTS'!$B$4))/100</f>
        <v>0</v>
      </c>
      <c r="G167" s="150">
        <f>F167*(100+INDEX(DEFAULT!$E$238:$AJ$240,1,'USER INPUTS'!$B$4))/100</f>
        <v>0</v>
      </c>
      <c r="H167" s="150">
        <f>G167*(100+INDEX(DEFAULT!$E$238:$AJ$240,1,'USER INPUTS'!$B$4))/100</f>
        <v>0</v>
      </c>
      <c r="I167" s="150">
        <f>H167*(100+INDEX(DEFAULT!$E$238:$AJ$240,1,'USER INPUTS'!$B$4))/100</f>
        <v>0</v>
      </c>
      <c r="J167" s="150">
        <f>I167*(100+INDEX(DEFAULT!$E$238:$AJ$240,1,'USER INPUTS'!$B$4))/100</f>
        <v>0</v>
      </c>
      <c r="K167" s="150">
        <f>J167*(100+INDEX(DEFAULT!$E$238:$AJ$240,1,'USER INPUTS'!$B$4))/100</f>
        <v>0</v>
      </c>
      <c r="L167" s="150">
        <f>K167*(100+INDEX(DEFAULT!$E$238:$AJ$240,1,'USER INPUTS'!$B$4))/100</f>
        <v>0</v>
      </c>
      <c r="M167" s="150">
        <f>L167*(100+INDEX(DEFAULT!$E$238:$AJ$240,1,'USER INPUTS'!$B$4))/100</f>
        <v>0</v>
      </c>
      <c r="N167" s="150">
        <f>M167*(100+INDEX(DEFAULT!$E$238:$AJ$240,1,'USER INPUTS'!$B$4))/100</f>
        <v>0</v>
      </c>
      <c r="O167" s="150">
        <f>N167*(100+INDEX(DEFAULT!$E$238:$AJ$240,2,'USER INPUTS'!$B$4))/100</f>
        <v>0</v>
      </c>
      <c r="P167" s="150">
        <f>O167*(100+INDEX(DEFAULT!$E$238:$AJ$240,2,'USER INPUTS'!$B$4))/100</f>
        <v>0</v>
      </c>
      <c r="Q167" s="150">
        <f>P167*(100+INDEX(DEFAULT!$E$238:$AJ$240,2,'USER INPUTS'!$B$4))/100</f>
        <v>0</v>
      </c>
      <c r="R167" s="150">
        <f>Q167*(100+INDEX(DEFAULT!$E$238:$AJ$240,2,'USER INPUTS'!$B$4))/100</f>
        <v>0</v>
      </c>
      <c r="S167" s="150">
        <f>R167*(100+INDEX(DEFAULT!$E$238:$AJ$240,2,'USER INPUTS'!$B$4))/100</f>
        <v>0</v>
      </c>
      <c r="T167" s="150">
        <f>S167*(100+INDEX(DEFAULT!$E$238:$AJ$240,2,'USER INPUTS'!$B$4))/100</f>
        <v>0</v>
      </c>
      <c r="U167" s="150">
        <f>T167*(100+INDEX(DEFAULT!$E$238:$AJ$240,2,'USER INPUTS'!$B$4))/100</f>
        <v>0</v>
      </c>
      <c r="V167" s="150">
        <f>U167*(100+INDEX(DEFAULT!$E$238:$AJ$240,2,'USER INPUTS'!$B$4))/100</f>
        <v>0</v>
      </c>
      <c r="W167" s="150">
        <f>V167*(100+INDEX(DEFAULT!$E$238:$AJ$240,2,'USER INPUTS'!$B$4))/100</f>
        <v>0</v>
      </c>
      <c r="X167" s="150">
        <f>W167*(100+INDEX(DEFAULT!$E$238:$AJ$240,2,'USER INPUTS'!$B$4))/100</f>
        <v>0</v>
      </c>
      <c r="Y167" s="150">
        <f>X167*(100+INDEX(DEFAULT!$E$238:$AJ$240,3,'USER INPUTS'!$B$4))/100</f>
        <v>0</v>
      </c>
      <c r="Z167" s="150">
        <f>Y167*(100+INDEX(DEFAULT!$E$238:$AJ$240,3,'USER INPUTS'!$B$4))/100</f>
        <v>0</v>
      </c>
      <c r="AA167" s="150">
        <f>Z167*(100+INDEX(DEFAULT!$E$238:$AJ$240,3,'USER INPUTS'!$B$4))/100</f>
        <v>0</v>
      </c>
      <c r="AB167" s="150">
        <f>AA167*(100+INDEX(DEFAULT!$E$238:$AJ$240,3,'USER INPUTS'!$B$4))/100</f>
        <v>0</v>
      </c>
      <c r="AC167" s="150">
        <f>AB167*(100+INDEX(DEFAULT!$E$238:$AJ$240,3,'USER INPUTS'!$B$4))/100</f>
        <v>0</v>
      </c>
      <c r="AD167" s="150">
        <f>AC167*(100+INDEX(DEFAULT!$E$238:$AJ$240,3,'USER INPUTS'!$B$4))/100</f>
        <v>0</v>
      </c>
      <c r="AE167" s="150">
        <f>AD167*(100+INDEX(DEFAULT!$E$238:$AJ$240,3,'USER INPUTS'!$B$4))/100</f>
        <v>0</v>
      </c>
      <c r="AF167" s="150">
        <f>AE167*(100+INDEX(DEFAULT!$E$238:$AJ$240,3,'USER INPUTS'!$B$4))/100</f>
        <v>0</v>
      </c>
      <c r="AG167" s="150">
        <f>AF167*(100+INDEX(DEFAULT!$E$238:$AJ$240,3,'USER INPUTS'!$B$4))/100</f>
        <v>0</v>
      </c>
      <c r="AH167" s="150">
        <f>AG167*(100+INDEX(DEFAULT!$E$238:$AJ$240,3,'USER INPUTS'!$B$4))/100</f>
        <v>0</v>
      </c>
      <c r="AI167" s="139"/>
      <c r="AJ167" s="133"/>
    </row>
    <row r="168" spans="1:36" s="134" customFormat="1">
      <c r="A168" s="243" t="str">
        <f>INDEX(DEFAULT!$E$274:$AJ$331,16,'USER INPUTS'!$B$4)</f>
        <v>-</v>
      </c>
      <c r="B168" s="294"/>
      <c r="C168" s="100">
        <f>'USER INPUTS'!I28</f>
        <v>0</v>
      </c>
      <c r="D168" s="295"/>
      <c r="E168" s="150">
        <f>(INDEX(DEFAULT!$E$339:$AJ$396,16,'USER INPUTS'!$B$4)/100)*($C168/100)*E$133</f>
        <v>0</v>
      </c>
      <c r="F168" s="150">
        <f>E168*(100+INDEX(DEFAULT!$E$238:$AJ$240,1,'USER INPUTS'!$B$4))/100</f>
        <v>0</v>
      </c>
      <c r="G168" s="150">
        <f>F168*(100+INDEX(DEFAULT!$E$238:$AJ$240,1,'USER INPUTS'!$B$4))/100</f>
        <v>0</v>
      </c>
      <c r="H168" s="150">
        <f>G168*(100+INDEX(DEFAULT!$E$238:$AJ$240,1,'USER INPUTS'!$B$4))/100</f>
        <v>0</v>
      </c>
      <c r="I168" s="150">
        <f>H168*(100+INDEX(DEFAULT!$E$238:$AJ$240,1,'USER INPUTS'!$B$4))/100</f>
        <v>0</v>
      </c>
      <c r="J168" s="150">
        <f>I168*(100+INDEX(DEFAULT!$E$238:$AJ$240,1,'USER INPUTS'!$B$4))/100</f>
        <v>0</v>
      </c>
      <c r="K168" s="150">
        <f>J168*(100+INDEX(DEFAULT!$E$238:$AJ$240,1,'USER INPUTS'!$B$4))/100</f>
        <v>0</v>
      </c>
      <c r="L168" s="150">
        <f>K168*(100+INDEX(DEFAULT!$E$238:$AJ$240,1,'USER INPUTS'!$B$4))/100</f>
        <v>0</v>
      </c>
      <c r="M168" s="150">
        <f>L168*(100+INDEX(DEFAULT!$E$238:$AJ$240,1,'USER INPUTS'!$B$4))/100</f>
        <v>0</v>
      </c>
      <c r="N168" s="150">
        <f>M168*(100+INDEX(DEFAULT!$E$238:$AJ$240,1,'USER INPUTS'!$B$4))/100</f>
        <v>0</v>
      </c>
      <c r="O168" s="150">
        <f>N168*(100+INDEX(DEFAULT!$E$238:$AJ$240,2,'USER INPUTS'!$B$4))/100</f>
        <v>0</v>
      </c>
      <c r="P168" s="150">
        <f>O168*(100+INDEX(DEFAULT!$E$238:$AJ$240,2,'USER INPUTS'!$B$4))/100</f>
        <v>0</v>
      </c>
      <c r="Q168" s="150">
        <f>P168*(100+INDEX(DEFAULT!$E$238:$AJ$240,2,'USER INPUTS'!$B$4))/100</f>
        <v>0</v>
      </c>
      <c r="R168" s="150">
        <f>Q168*(100+INDEX(DEFAULT!$E$238:$AJ$240,2,'USER INPUTS'!$B$4))/100</f>
        <v>0</v>
      </c>
      <c r="S168" s="150">
        <f>R168*(100+INDEX(DEFAULT!$E$238:$AJ$240,2,'USER INPUTS'!$B$4))/100</f>
        <v>0</v>
      </c>
      <c r="T168" s="150">
        <f>S168*(100+INDEX(DEFAULT!$E$238:$AJ$240,2,'USER INPUTS'!$B$4))/100</f>
        <v>0</v>
      </c>
      <c r="U168" s="150">
        <f>T168*(100+INDEX(DEFAULT!$E$238:$AJ$240,2,'USER INPUTS'!$B$4))/100</f>
        <v>0</v>
      </c>
      <c r="V168" s="150">
        <f>U168*(100+INDEX(DEFAULT!$E$238:$AJ$240,2,'USER INPUTS'!$B$4))/100</f>
        <v>0</v>
      </c>
      <c r="W168" s="150">
        <f>V168*(100+INDEX(DEFAULT!$E$238:$AJ$240,2,'USER INPUTS'!$B$4))/100</f>
        <v>0</v>
      </c>
      <c r="X168" s="150">
        <f>W168*(100+INDEX(DEFAULT!$E$238:$AJ$240,2,'USER INPUTS'!$B$4))/100</f>
        <v>0</v>
      </c>
      <c r="Y168" s="150">
        <f>X168*(100+INDEX(DEFAULT!$E$238:$AJ$240,3,'USER INPUTS'!$B$4))/100</f>
        <v>0</v>
      </c>
      <c r="Z168" s="150">
        <f>Y168*(100+INDEX(DEFAULT!$E$238:$AJ$240,3,'USER INPUTS'!$B$4))/100</f>
        <v>0</v>
      </c>
      <c r="AA168" s="150">
        <f>Z168*(100+INDEX(DEFAULT!$E$238:$AJ$240,3,'USER INPUTS'!$B$4))/100</f>
        <v>0</v>
      </c>
      <c r="AB168" s="150">
        <f>AA168*(100+INDEX(DEFAULT!$E$238:$AJ$240,3,'USER INPUTS'!$B$4))/100</f>
        <v>0</v>
      </c>
      <c r="AC168" s="150">
        <f>AB168*(100+INDEX(DEFAULT!$E$238:$AJ$240,3,'USER INPUTS'!$B$4))/100</f>
        <v>0</v>
      </c>
      <c r="AD168" s="150">
        <f>AC168*(100+INDEX(DEFAULT!$E$238:$AJ$240,3,'USER INPUTS'!$B$4))/100</f>
        <v>0</v>
      </c>
      <c r="AE168" s="150">
        <f>AD168*(100+INDEX(DEFAULT!$E$238:$AJ$240,3,'USER INPUTS'!$B$4))/100</f>
        <v>0</v>
      </c>
      <c r="AF168" s="150">
        <f>AE168*(100+INDEX(DEFAULT!$E$238:$AJ$240,3,'USER INPUTS'!$B$4))/100</f>
        <v>0</v>
      </c>
      <c r="AG168" s="150">
        <f>AF168*(100+INDEX(DEFAULT!$E$238:$AJ$240,3,'USER INPUTS'!$B$4))/100</f>
        <v>0</v>
      </c>
      <c r="AH168" s="150">
        <f>AG168*(100+INDEX(DEFAULT!$E$238:$AJ$240,3,'USER INPUTS'!$B$4))/100</f>
        <v>0</v>
      </c>
      <c r="AI168" s="139"/>
      <c r="AJ168" s="133"/>
    </row>
    <row r="169" spans="1:36" s="134" customFormat="1">
      <c r="A169" s="243" t="str">
        <f>INDEX(DEFAULT!$E$274:$AJ$331,17,'USER INPUTS'!$B$4)</f>
        <v>-</v>
      </c>
      <c r="B169" s="294"/>
      <c r="C169" s="100">
        <f>'USER INPUTS'!I29</f>
        <v>0</v>
      </c>
      <c r="D169" s="295"/>
      <c r="E169" s="150">
        <f>(INDEX(DEFAULT!$E$339:$AJ$396,17,'USER INPUTS'!$B$4)/100)*($C169/100)*E$133</f>
        <v>0</v>
      </c>
      <c r="F169" s="150">
        <f>E169*(100+INDEX(DEFAULT!$E$238:$AJ$240,1,'USER INPUTS'!$B$4))/100</f>
        <v>0</v>
      </c>
      <c r="G169" s="150">
        <f>F169*(100+INDEX(DEFAULT!$E$238:$AJ$240,1,'USER INPUTS'!$B$4))/100</f>
        <v>0</v>
      </c>
      <c r="H169" s="150">
        <f>G169*(100+INDEX(DEFAULT!$E$238:$AJ$240,1,'USER INPUTS'!$B$4))/100</f>
        <v>0</v>
      </c>
      <c r="I169" s="150">
        <f>H169*(100+INDEX(DEFAULT!$E$238:$AJ$240,1,'USER INPUTS'!$B$4))/100</f>
        <v>0</v>
      </c>
      <c r="J169" s="150">
        <f>I169*(100+INDEX(DEFAULT!$E$238:$AJ$240,1,'USER INPUTS'!$B$4))/100</f>
        <v>0</v>
      </c>
      <c r="K169" s="150">
        <f>J169*(100+INDEX(DEFAULT!$E$238:$AJ$240,1,'USER INPUTS'!$B$4))/100</f>
        <v>0</v>
      </c>
      <c r="L169" s="150">
        <f>K169*(100+INDEX(DEFAULT!$E$238:$AJ$240,1,'USER INPUTS'!$B$4))/100</f>
        <v>0</v>
      </c>
      <c r="M169" s="150">
        <f>L169*(100+INDEX(DEFAULT!$E$238:$AJ$240,1,'USER INPUTS'!$B$4))/100</f>
        <v>0</v>
      </c>
      <c r="N169" s="150">
        <f>M169*(100+INDEX(DEFAULT!$E$238:$AJ$240,1,'USER INPUTS'!$B$4))/100</f>
        <v>0</v>
      </c>
      <c r="O169" s="150">
        <f>N169*(100+INDEX(DEFAULT!$E$238:$AJ$240,2,'USER INPUTS'!$B$4))/100</f>
        <v>0</v>
      </c>
      <c r="P169" s="150">
        <f>O169*(100+INDEX(DEFAULT!$E$238:$AJ$240,2,'USER INPUTS'!$B$4))/100</f>
        <v>0</v>
      </c>
      <c r="Q169" s="150">
        <f>P169*(100+INDEX(DEFAULT!$E$238:$AJ$240,2,'USER INPUTS'!$B$4))/100</f>
        <v>0</v>
      </c>
      <c r="R169" s="150">
        <f>Q169*(100+INDEX(DEFAULT!$E$238:$AJ$240,2,'USER INPUTS'!$B$4))/100</f>
        <v>0</v>
      </c>
      <c r="S169" s="150">
        <f>R169*(100+INDEX(DEFAULT!$E$238:$AJ$240,2,'USER INPUTS'!$B$4))/100</f>
        <v>0</v>
      </c>
      <c r="T169" s="150">
        <f>S169*(100+INDEX(DEFAULT!$E$238:$AJ$240,2,'USER INPUTS'!$B$4))/100</f>
        <v>0</v>
      </c>
      <c r="U169" s="150">
        <f>T169*(100+INDEX(DEFAULT!$E$238:$AJ$240,2,'USER INPUTS'!$B$4))/100</f>
        <v>0</v>
      </c>
      <c r="V169" s="150">
        <f>U169*(100+INDEX(DEFAULT!$E$238:$AJ$240,2,'USER INPUTS'!$B$4))/100</f>
        <v>0</v>
      </c>
      <c r="W169" s="150">
        <f>V169*(100+INDEX(DEFAULT!$E$238:$AJ$240,2,'USER INPUTS'!$B$4))/100</f>
        <v>0</v>
      </c>
      <c r="X169" s="150">
        <f>W169*(100+INDEX(DEFAULT!$E$238:$AJ$240,2,'USER INPUTS'!$B$4))/100</f>
        <v>0</v>
      </c>
      <c r="Y169" s="150">
        <f>X169*(100+INDEX(DEFAULT!$E$238:$AJ$240,3,'USER INPUTS'!$B$4))/100</f>
        <v>0</v>
      </c>
      <c r="Z169" s="150">
        <f>Y169*(100+INDEX(DEFAULT!$E$238:$AJ$240,3,'USER INPUTS'!$B$4))/100</f>
        <v>0</v>
      </c>
      <c r="AA169" s="150">
        <f>Z169*(100+INDEX(DEFAULT!$E$238:$AJ$240,3,'USER INPUTS'!$B$4))/100</f>
        <v>0</v>
      </c>
      <c r="AB169" s="150">
        <f>AA169*(100+INDEX(DEFAULT!$E$238:$AJ$240,3,'USER INPUTS'!$B$4))/100</f>
        <v>0</v>
      </c>
      <c r="AC169" s="150">
        <f>AB169*(100+INDEX(DEFAULT!$E$238:$AJ$240,3,'USER INPUTS'!$B$4))/100</f>
        <v>0</v>
      </c>
      <c r="AD169" s="150">
        <f>AC169*(100+INDEX(DEFAULT!$E$238:$AJ$240,3,'USER INPUTS'!$B$4))/100</f>
        <v>0</v>
      </c>
      <c r="AE169" s="150">
        <f>AD169*(100+INDEX(DEFAULT!$E$238:$AJ$240,3,'USER INPUTS'!$B$4))/100</f>
        <v>0</v>
      </c>
      <c r="AF169" s="150">
        <f>AE169*(100+INDEX(DEFAULT!$E$238:$AJ$240,3,'USER INPUTS'!$B$4))/100</f>
        <v>0</v>
      </c>
      <c r="AG169" s="150">
        <f>AF169*(100+INDEX(DEFAULT!$E$238:$AJ$240,3,'USER INPUTS'!$B$4))/100</f>
        <v>0</v>
      </c>
      <c r="AH169" s="150">
        <f>AG169*(100+INDEX(DEFAULT!$E$238:$AJ$240,3,'USER INPUTS'!$B$4))/100</f>
        <v>0</v>
      </c>
      <c r="AI169" s="139"/>
      <c r="AJ169" s="133"/>
    </row>
    <row r="170" spans="1:36" s="134" customFormat="1">
      <c r="A170" s="243" t="str">
        <f>INDEX(DEFAULT!$E$274:$AJ$331,18,'USER INPUTS'!$B$4)</f>
        <v>-</v>
      </c>
      <c r="B170" s="294"/>
      <c r="C170" s="100">
        <f>'USER INPUTS'!I30</f>
        <v>0</v>
      </c>
      <c r="D170" s="295"/>
      <c r="E170" s="150">
        <f>(INDEX(DEFAULT!$E$339:$AJ$396,18,'USER INPUTS'!$B$4)/100)*($C170/100)*E$133</f>
        <v>0</v>
      </c>
      <c r="F170" s="150">
        <f>E170*(100+INDEX(DEFAULT!$E$238:$AJ$240,1,'USER INPUTS'!$B$4))/100</f>
        <v>0</v>
      </c>
      <c r="G170" s="150">
        <f>F170*(100+INDEX(DEFAULT!$E$238:$AJ$240,1,'USER INPUTS'!$B$4))/100</f>
        <v>0</v>
      </c>
      <c r="H170" s="150">
        <f>G170*(100+INDEX(DEFAULT!$E$238:$AJ$240,1,'USER INPUTS'!$B$4))/100</f>
        <v>0</v>
      </c>
      <c r="I170" s="150">
        <f>H170*(100+INDEX(DEFAULT!$E$238:$AJ$240,1,'USER INPUTS'!$B$4))/100</f>
        <v>0</v>
      </c>
      <c r="J170" s="150">
        <f>I170*(100+INDEX(DEFAULT!$E$238:$AJ$240,1,'USER INPUTS'!$B$4))/100</f>
        <v>0</v>
      </c>
      <c r="K170" s="150">
        <f>J170*(100+INDEX(DEFAULT!$E$238:$AJ$240,1,'USER INPUTS'!$B$4))/100</f>
        <v>0</v>
      </c>
      <c r="L170" s="150">
        <f>K170*(100+INDEX(DEFAULT!$E$238:$AJ$240,1,'USER INPUTS'!$B$4))/100</f>
        <v>0</v>
      </c>
      <c r="M170" s="150">
        <f>L170*(100+INDEX(DEFAULT!$E$238:$AJ$240,1,'USER INPUTS'!$B$4))/100</f>
        <v>0</v>
      </c>
      <c r="N170" s="150">
        <f>M170*(100+INDEX(DEFAULT!$E$238:$AJ$240,1,'USER INPUTS'!$B$4))/100</f>
        <v>0</v>
      </c>
      <c r="O170" s="150">
        <f>N170*(100+INDEX(DEFAULT!$E$238:$AJ$240,2,'USER INPUTS'!$B$4))/100</f>
        <v>0</v>
      </c>
      <c r="P170" s="150">
        <f>O170*(100+INDEX(DEFAULT!$E$238:$AJ$240,2,'USER INPUTS'!$B$4))/100</f>
        <v>0</v>
      </c>
      <c r="Q170" s="150">
        <f>P170*(100+INDEX(DEFAULT!$E$238:$AJ$240,2,'USER INPUTS'!$B$4))/100</f>
        <v>0</v>
      </c>
      <c r="R170" s="150">
        <f>Q170*(100+INDEX(DEFAULT!$E$238:$AJ$240,2,'USER INPUTS'!$B$4))/100</f>
        <v>0</v>
      </c>
      <c r="S170" s="150">
        <f>R170*(100+INDEX(DEFAULT!$E$238:$AJ$240,2,'USER INPUTS'!$B$4))/100</f>
        <v>0</v>
      </c>
      <c r="T170" s="150">
        <f>S170*(100+INDEX(DEFAULT!$E$238:$AJ$240,2,'USER INPUTS'!$B$4))/100</f>
        <v>0</v>
      </c>
      <c r="U170" s="150">
        <f>T170*(100+INDEX(DEFAULT!$E$238:$AJ$240,2,'USER INPUTS'!$B$4))/100</f>
        <v>0</v>
      </c>
      <c r="V170" s="150">
        <f>U170*(100+INDEX(DEFAULT!$E$238:$AJ$240,2,'USER INPUTS'!$B$4))/100</f>
        <v>0</v>
      </c>
      <c r="W170" s="150">
        <f>V170*(100+INDEX(DEFAULT!$E$238:$AJ$240,2,'USER INPUTS'!$B$4))/100</f>
        <v>0</v>
      </c>
      <c r="X170" s="150">
        <f>W170*(100+INDEX(DEFAULT!$E$238:$AJ$240,2,'USER INPUTS'!$B$4))/100</f>
        <v>0</v>
      </c>
      <c r="Y170" s="150">
        <f>X170*(100+INDEX(DEFAULT!$E$238:$AJ$240,3,'USER INPUTS'!$B$4))/100</f>
        <v>0</v>
      </c>
      <c r="Z170" s="150">
        <f>Y170*(100+INDEX(DEFAULT!$E$238:$AJ$240,3,'USER INPUTS'!$B$4))/100</f>
        <v>0</v>
      </c>
      <c r="AA170" s="150">
        <f>Z170*(100+INDEX(DEFAULT!$E$238:$AJ$240,3,'USER INPUTS'!$B$4))/100</f>
        <v>0</v>
      </c>
      <c r="AB170" s="150">
        <f>AA170*(100+INDEX(DEFAULT!$E$238:$AJ$240,3,'USER INPUTS'!$B$4))/100</f>
        <v>0</v>
      </c>
      <c r="AC170" s="150">
        <f>AB170*(100+INDEX(DEFAULT!$E$238:$AJ$240,3,'USER INPUTS'!$B$4))/100</f>
        <v>0</v>
      </c>
      <c r="AD170" s="150">
        <f>AC170*(100+INDEX(DEFAULT!$E$238:$AJ$240,3,'USER INPUTS'!$B$4))/100</f>
        <v>0</v>
      </c>
      <c r="AE170" s="150">
        <f>AD170*(100+INDEX(DEFAULT!$E$238:$AJ$240,3,'USER INPUTS'!$B$4))/100</f>
        <v>0</v>
      </c>
      <c r="AF170" s="150">
        <f>AE170*(100+INDEX(DEFAULT!$E$238:$AJ$240,3,'USER INPUTS'!$B$4))/100</f>
        <v>0</v>
      </c>
      <c r="AG170" s="150">
        <f>AF170*(100+INDEX(DEFAULT!$E$238:$AJ$240,3,'USER INPUTS'!$B$4))/100</f>
        <v>0</v>
      </c>
      <c r="AH170" s="150">
        <f>AG170*(100+INDEX(DEFAULT!$E$238:$AJ$240,3,'USER INPUTS'!$B$4))/100</f>
        <v>0</v>
      </c>
      <c r="AI170" s="139"/>
      <c r="AJ170" s="133"/>
    </row>
    <row r="171" spans="1:36" s="134" customFormat="1">
      <c r="A171" s="243" t="str">
        <f>INDEX(DEFAULT!$E$274:$AJ$331,19,'USER INPUTS'!$B$4)</f>
        <v>-</v>
      </c>
      <c r="B171" s="294"/>
      <c r="C171" s="100">
        <f>'USER INPUTS'!I31</f>
        <v>0</v>
      </c>
      <c r="D171" s="295"/>
      <c r="E171" s="150">
        <f>(INDEX(DEFAULT!$E$339:$AJ$396,19,'USER INPUTS'!$B$4)/100)*($C171/100)*E$133</f>
        <v>0</v>
      </c>
      <c r="F171" s="150">
        <f>E171*(100+INDEX(DEFAULT!$E$238:$AJ$240,1,'USER INPUTS'!$B$4))/100</f>
        <v>0</v>
      </c>
      <c r="G171" s="150">
        <f>F171*(100+INDEX(DEFAULT!$E$238:$AJ$240,1,'USER INPUTS'!$B$4))/100</f>
        <v>0</v>
      </c>
      <c r="H171" s="150">
        <f>G171*(100+INDEX(DEFAULT!$E$238:$AJ$240,1,'USER INPUTS'!$B$4))/100</f>
        <v>0</v>
      </c>
      <c r="I171" s="150">
        <f>H171*(100+INDEX(DEFAULT!$E$238:$AJ$240,1,'USER INPUTS'!$B$4))/100</f>
        <v>0</v>
      </c>
      <c r="J171" s="150">
        <f>I171*(100+INDEX(DEFAULT!$E$238:$AJ$240,1,'USER INPUTS'!$B$4))/100</f>
        <v>0</v>
      </c>
      <c r="K171" s="150">
        <f>J171*(100+INDEX(DEFAULT!$E$238:$AJ$240,1,'USER INPUTS'!$B$4))/100</f>
        <v>0</v>
      </c>
      <c r="L171" s="150">
        <f>K171*(100+INDEX(DEFAULT!$E$238:$AJ$240,1,'USER INPUTS'!$B$4))/100</f>
        <v>0</v>
      </c>
      <c r="M171" s="150">
        <f>L171*(100+INDEX(DEFAULT!$E$238:$AJ$240,1,'USER INPUTS'!$B$4))/100</f>
        <v>0</v>
      </c>
      <c r="N171" s="150">
        <f>M171*(100+INDEX(DEFAULT!$E$238:$AJ$240,1,'USER INPUTS'!$B$4))/100</f>
        <v>0</v>
      </c>
      <c r="O171" s="150">
        <f>N171*(100+INDEX(DEFAULT!$E$238:$AJ$240,2,'USER INPUTS'!$B$4))/100</f>
        <v>0</v>
      </c>
      <c r="P171" s="150">
        <f>O171*(100+INDEX(DEFAULT!$E$238:$AJ$240,2,'USER INPUTS'!$B$4))/100</f>
        <v>0</v>
      </c>
      <c r="Q171" s="150">
        <f>P171*(100+INDEX(DEFAULT!$E$238:$AJ$240,2,'USER INPUTS'!$B$4))/100</f>
        <v>0</v>
      </c>
      <c r="R171" s="150">
        <f>Q171*(100+INDEX(DEFAULT!$E$238:$AJ$240,2,'USER INPUTS'!$B$4))/100</f>
        <v>0</v>
      </c>
      <c r="S171" s="150">
        <f>R171*(100+INDEX(DEFAULT!$E$238:$AJ$240,2,'USER INPUTS'!$B$4))/100</f>
        <v>0</v>
      </c>
      <c r="T171" s="150">
        <f>S171*(100+INDEX(DEFAULT!$E$238:$AJ$240,2,'USER INPUTS'!$B$4))/100</f>
        <v>0</v>
      </c>
      <c r="U171" s="150">
        <f>T171*(100+INDEX(DEFAULT!$E$238:$AJ$240,2,'USER INPUTS'!$B$4))/100</f>
        <v>0</v>
      </c>
      <c r="V171" s="150">
        <f>U171*(100+INDEX(DEFAULT!$E$238:$AJ$240,2,'USER INPUTS'!$B$4))/100</f>
        <v>0</v>
      </c>
      <c r="W171" s="150">
        <f>V171*(100+INDEX(DEFAULT!$E$238:$AJ$240,2,'USER INPUTS'!$B$4))/100</f>
        <v>0</v>
      </c>
      <c r="X171" s="150">
        <f>W171*(100+INDEX(DEFAULT!$E$238:$AJ$240,2,'USER INPUTS'!$B$4))/100</f>
        <v>0</v>
      </c>
      <c r="Y171" s="150">
        <f>X171*(100+INDEX(DEFAULT!$E$238:$AJ$240,3,'USER INPUTS'!$B$4))/100</f>
        <v>0</v>
      </c>
      <c r="Z171" s="150">
        <f>Y171*(100+INDEX(DEFAULT!$E$238:$AJ$240,3,'USER INPUTS'!$B$4))/100</f>
        <v>0</v>
      </c>
      <c r="AA171" s="150">
        <f>Z171*(100+INDEX(DEFAULT!$E$238:$AJ$240,3,'USER INPUTS'!$B$4))/100</f>
        <v>0</v>
      </c>
      <c r="AB171" s="150">
        <f>AA171*(100+INDEX(DEFAULT!$E$238:$AJ$240,3,'USER INPUTS'!$B$4))/100</f>
        <v>0</v>
      </c>
      <c r="AC171" s="150">
        <f>AB171*(100+INDEX(DEFAULT!$E$238:$AJ$240,3,'USER INPUTS'!$B$4))/100</f>
        <v>0</v>
      </c>
      <c r="AD171" s="150">
        <f>AC171*(100+INDEX(DEFAULT!$E$238:$AJ$240,3,'USER INPUTS'!$B$4))/100</f>
        <v>0</v>
      </c>
      <c r="AE171" s="150">
        <f>AD171*(100+INDEX(DEFAULT!$E$238:$AJ$240,3,'USER INPUTS'!$B$4))/100</f>
        <v>0</v>
      </c>
      <c r="AF171" s="150">
        <f>AE171*(100+INDEX(DEFAULT!$E$238:$AJ$240,3,'USER INPUTS'!$B$4))/100</f>
        <v>0</v>
      </c>
      <c r="AG171" s="150">
        <f>AF171*(100+INDEX(DEFAULT!$E$238:$AJ$240,3,'USER INPUTS'!$B$4))/100</f>
        <v>0</v>
      </c>
      <c r="AH171" s="150">
        <f>AG171*(100+INDEX(DEFAULT!$E$238:$AJ$240,3,'USER INPUTS'!$B$4))/100</f>
        <v>0</v>
      </c>
      <c r="AI171" s="139"/>
      <c r="AJ171" s="133"/>
    </row>
    <row r="172" spans="1:36" s="134" customFormat="1">
      <c r="A172" s="243" t="str">
        <f>INDEX(DEFAULT!$E$274:$AJ$331,20,'USER INPUTS'!$B$4)</f>
        <v>-</v>
      </c>
      <c r="B172" s="294"/>
      <c r="C172" s="100">
        <f>'USER INPUTS'!I32</f>
        <v>0</v>
      </c>
      <c r="D172" s="295"/>
      <c r="E172" s="150">
        <f>(INDEX(DEFAULT!$E$339:$AJ$396,20,'USER INPUTS'!$B$4)/100)*($C172/100)*E$133</f>
        <v>0</v>
      </c>
      <c r="F172" s="150">
        <f>E172*(100+INDEX(DEFAULT!$E$238:$AJ$240,1,'USER INPUTS'!$B$4))/100</f>
        <v>0</v>
      </c>
      <c r="G172" s="150">
        <f>F172*(100+INDEX(DEFAULT!$E$238:$AJ$240,1,'USER INPUTS'!$B$4))/100</f>
        <v>0</v>
      </c>
      <c r="H172" s="150">
        <f>G172*(100+INDEX(DEFAULT!$E$238:$AJ$240,1,'USER INPUTS'!$B$4))/100</f>
        <v>0</v>
      </c>
      <c r="I172" s="150">
        <f>H172*(100+INDEX(DEFAULT!$E$238:$AJ$240,1,'USER INPUTS'!$B$4))/100</f>
        <v>0</v>
      </c>
      <c r="J172" s="150">
        <f>I172*(100+INDEX(DEFAULT!$E$238:$AJ$240,1,'USER INPUTS'!$B$4))/100</f>
        <v>0</v>
      </c>
      <c r="K172" s="150">
        <f>J172*(100+INDEX(DEFAULT!$E$238:$AJ$240,1,'USER INPUTS'!$B$4))/100</f>
        <v>0</v>
      </c>
      <c r="L172" s="150">
        <f>K172*(100+INDEX(DEFAULT!$E$238:$AJ$240,1,'USER INPUTS'!$B$4))/100</f>
        <v>0</v>
      </c>
      <c r="M172" s="150">
        <f>L172*(100+INDEX(DEFAULT!$E$238:$AJ$240,1,'USER INPUTS'!$B$4))/100</f>
        <v>0</v>
      </c>
      <c r="N172" s="150">
        <f>M172*(100+INDEX(DEFAULT!$E$238:$AJ$240,1,'USER INPUTS'!$B$4))/100</f>
        <v>0</v>
      </c>
      <c r="O172" s="150">
        <f>N172*(100+INDEX(DEFAULT!$E$238:$AJ$240,2,'USER INPUTS'!$B$4))/100</f>
        <v>0</v>
      </c>
      <c r="P172" s="150">
        <f>O172*(100+INDEX(DEFAULT!$E$238:$AJ$240,2,'USER INPUTS'!$B$4))/100</f>
        <v>0</v>
      </c>
      <c r="Q172" s="150">
        <f>P172*(100+INDEX(DEFAULT!$E$238:$AJ$240,2,'USER INPUTS'!$B$4))/100</f>
        <v>0</v>
      </c>
      <c r="R172" s="150">
        <f>Q172*(100+INDEX(DEFAULT!$E$238:$AJ$240,2,'USER INPUTS'!$B$4))/100</f>
        <v>0</v>
      </c>
      <c r="S172" s="150">
        <f>R172*(100+INDEX(DEFAULT!$E$238:$AJ$240,2,'USER INPUTS'!$B$4))/100</f>
        <v>0</v>
      </c>
      <c r="T172" s="150">
        <f>S172*(100+INDEX(DEFAULT!$E$238:$AJ$240,2,'USER INPUTS'!$B$4))/100</f>
        <v>0</v>
      </c>
      <c r="U172" s="150">
        <f>T172*(100+INDEX(DEFAULT!$E$238:$AJ$240,2,'USER INPUTS'!$B$4))/100</f>
        <v>0</v>
      </c>
      <c r="V172" s="150">
        <f>U172*(100+INDEX(DEFAULT!$E$238:$AJ$240,2,'USER INPUTS'!$B$4))/100</f>
        <v>0</v>
      </c>
      <c r="W172" s="150">
        <f>V172*(100+INDEX(DEFAULT!$E$238:$AJ$240,2,'USER INPUTS'!$B$4))/100</f>
        <v>0</v>
      </c>
      <c r="X172" s="150">
        <f>W172*(100+INDEX(DEFAULT!$E$238:$AJ$240,2,'USER INPUTS'!$B$4))/100</f>
        <v>0</v>
      </c>
      <c r="Y172" s="150">
        <f>X172*(100+INDEX(DEFAULT!$E$238:$AJ$240,3,'USER INPUTS'!$B$4))/100</f>
        <v>0</v>
      </c>
      <c r="Z172" s="150">
        <f>Y172*(100+INDEX(DEFAULT!$E$238:$AJ$240,3,'USER INPUTS'!$B$4))/100</f>
        <v>0</v>
      </c>
      <c r="AA172" s="150">
        <f>Z172*(100+INDEX(DEFAULT!$E$238:$AJ$240,3,'USER INPUTS'!$B$4))/100</f>
        <v>0</v>
      </c>
      <c r="AB172" s="150">
        <f>AA172*(100+INDEX(DEFAULT!$E$238:$AJ$240,3,'USER INPUTS'!$B$4))/100</f>
        <v>0</v>
      </c>
      <c r="AC172" s="150">
        <f>AB172*(100+INDEX(DEFAULT!$E$238:$AJ$240,3,'USER INPUTS'!$B$4))/100</f>
        <v>0</v>
      </c>
      <c r="AD172" s="150">
        <f>AC172*(100+INDEX(DEFAULT!$E$238:$AJ$240,3,'USER INPUTS'!$B$4))/100</f>
        <v>0</v>
      </c>
      <c r="AE172" s="150">
        <f>AD172*(100+INDEX(DEFAULT!$E$238:$AJ$240,3,'USER INPUTS'!$B$4))/100</f>
        <v>0</v>
      </c>
      <c r="AF172" s="150">
        <f>AE172*(100+INDEX(DEFAULT!$E$238:$AJ$240,3,'USER INPUTS'!$B$4))/100</f>
        <v>0</v>
      </c>
      <c r="AG172" s="150">
        <f>AF172*(100+INDEX(DEFAULT!$E$238:$AJ$240,3,'USER INPUTS'!$B$4))/100</f>
        <v>0</v>
      </c>
      <c r="AH172" s="150">
        <f>AG172*(100+INDEX(DEFAULT!$E$238:$AJ$240,3,'USER INPUTS'!$B$4))/100</f>
        <v>0</v>
      </c>
      <c r="AI172" s="139"/>
      <c r="AJ172" s="133"/>
    </row>
    <row r="173" spans="1:36" s="134" customFormat="1">
      <c r="A173" s="243" t="str">
        <f>INDEX(DEFAULT!$E$274:$AJ$331,21,'USER INPUTS'!$B$4)</f>
        <v>-</v>
      </c>
      <c r="B173" s="294"/>
      <c r="C173" s="100">
        <f>'USER INPUTS'!I33</f>
        <v>0</v>
      </c>
      <c r="D173" s="295"/>
      <c r="E173" s="150">
        <f>(INDEX(DEFAULT!$E$339:$AJ$396,21,'USER INPUTS'!$B$4)/100)*($C173/100)*E$133</f>
        <v>0</v>
      </c>
      <c r="F173" s="150">
        <f>E173*(100+INDEX(DEFAULT!$E$238:$AJ$240,1,'USER INPUTS'!$B$4))/100</f>
        <v>0</v>
      </c>
      <c r="G173" s="150">
        <f>F173*(100+INDEX(DEFAULT!$E$238:$AJ$240,1,'USER INPUTS'!$B$4))/100</f>
        <v>0</v>
      </c>
      <c r="H173" s="150">
        <f>G173*(100+INDEX(DEFAULT!$E$238:$AJ$240,1,'USER INPUTS'!$B$4))/100</f>
        <v>0</v>
      </c>
      <c r="I173" s="150">
        <f>H173*(100+INDEX(DEFAULT!$E$238:$AJ$240,1,'USER INPUTS'!$B$4))/100</f>
        <v>0</v>
      </c>
      <c r="J173" s="150">
        <f>I173*(100+INDEX(DEFAULT!$E$238:$AJ$240,1,'USER INPUTS'!$B$4))/100</f>
        <v>0</v>
      </c>
      <c r="K173" s="150">
        <f>J173*(100+INDEX(DEFAULT!$E$238:$AJ$240,1,'USER INPUTS'!$B$4))/100</f>
        <v>0</v>
      </c>
      <c r="L173" s="150">
        <f>K173*(100+INDEX(DEFAULT!$E$238:$AJ$240,1,'USER INPUTS'!$B$4))/100</f>
        <v>0</v>
      </c>
      <c r="M173" s="150">
        <f>L173*(100+INDEX(DEFAULT!$E$238:$AJ$240,1,'USER INPUTS'!$B$4))/100</f>
        <v>0</v>
      </c>
      <c r="N173" s="150">
        <f>M173*(100+INDEX(DEFAULT!$E$238:$AJ$240,1,'USER INPUTS'!$B$4))/100</f>
        <v>0</v>
      </c>
      <c r="O173" s="150">
        <f>N173*(100+INDEX(DEFAULT!$E$238:$AJ$240,2,'USER INPUTS'!$B$4))/100</f>
        <v>0</v>
      </c>
      <c r="P173" s="150">
        <f>O173*(100+INDEX(DEFAULT!$E$238:$AJ$240,2,'USER INPUTS'!$B$4))/100</f>
        <v>0</v>
      </c>
      <c r="Q173" s="150">
        <f>P173*(100+INDEX(DEFAULT!$E$238:$AJ$240,2,'USER INPUTS'!$B$4))/100</f>
        <v>0</v>
      </c>
      <c r="R173" s="150">
        <f>Q173*(100+INDEX(DEFAULT!$E$238:$AJ$240,2,'USER INPUTS'!$B$4))/100</f>
        <v>0</v>
      </c>
      <c r="S173" s="150">
        <f>R173*(100+INDEX(DEFAULT!$E$238:$AJ$240,2,'USER INPUTS'!$B$4))/100</f>
        <v>0</v>
      </c>
      <c r="T173" s="150">
        <f>S173*(100+INDEX(DEFAULT!$E$238:$AJ$240,2,'USER INPUTS'!$B$4))/100</f>
        <v>0</v>
      </c>
      <c r="U173" s="150">
        <f>T173*(100+INDEX(DEFAULT!$E$238:$AJ$240,2,'USER INPUTS'!$B$4))/100</f>
        <v>0</v>
      </c>
      <c r="V173" s="150">
        <f>U173*(100+INDEX(DEFAULT!$E$238:$AJ$240,2,'USER INPUTS'!$B$4))/100</f>
        <v>0</v>
      </c>
      <c r="W173" s="150">
        <f>V173*(100+INDEX(DEFAULT!$E$238:$AJ$240,2,'USER INPUTS'!$B$4))/100</f>
        <v>0</v>
      </c>
      <c r="X173" s="150">
        <f>W173*(100+INDEX(DEFAULT!$E$238:$AJ$240,2,'USER INPUTS'!$B$4))/100</f>
        <v>0</v>
      </c>
      <c r="Y173" s="150">
        <f>X173*(100+INDEX(DEFAULT!$E$238:$AJ$240,3,'USER INPUTS'!$B$4))/100</f>
        <v>0</v>
      </c>
      <c r="Z173" s="150">
        <f>Y173*(100+INDEX(DEFAULT!$E$238:$AJ$240,3,'USER INPUTS'!$B$4))/100</f>
        <v>0</v>
      </c>
      <c r="AA173" s="150">
        <f>Z173*(100+INDEX(DEFAULT!$E$238:$AJ$240,3,'USER INPUTS'!$B$4))/100</f>
        <v>0</v>
      </c>
      <c r="AB173" s="150">
        <f>AA173*(100+INDEX(DEFAULT!$E$238:$AJ$240,3,'USER INPUTS'!$B$4))/100</f>
        <v>0</v>
      </c>
      <c r="AC173" s="150">
        <f>AB173*(100+INDEX(DEFAULT!$E$238:$AJ$240,3,'USER INPUTS'!$B$4))/100</f>
        <v>0</v>
      </c>
      <c r="AD173" s="150">
        <f>AC173*(100+INDEX(DEFAULT!$E$238:$AJ$240,3,'USER INPUTS'!$B$4))/100</f>
        <v>0</v>
      </c>
      <c r="AE173" s="150">
        <f>AD173*(100+INDEX(DEFAULT!$E$238:$AJ$240,3,'USER INPUTS'!$B$4))/100</f>
        <v>0</v>
      </c>
      <c r="AF173" s="150">
        <f>AE173*(100+INDEX(DEFAULT!$E$238:$AJ$240,3,'USER INPUTS'!$B$4))/100</f>
        <v>0</v>
      </c>
      <c r="AG173" s="150">
        <f>AF173*(100+INDEX(DEFAULT!$E$238:$AJ$240,3,'USER INPUTS'!$B$4))/100</f>
        <v>0</v>
      </c>
      <c r="AH173" s="150">
        <f>AG173*(100+INDEX(DEFAULT!$E$238:$AJ$240,3,'USER INPUTS'!$B$4))/100</f>
        <v>0</v>
      </c>
      <c r="AI173" s="139"/>
      <c r="AJ173" s="133"/>
    </row>
    <row r="174" spans="1:36" s="134" customFormat="1">
      <c r="A174" s="243" t="str">
        <f>INDEX(DEFAULT!$E$274:$AJ$331,22,'USER INPUTS'!$B$4)</f>
        <v>-</v>
      </c>
      <c r="B174" s="294"/>
      <c r="C174" s="100">
        <f>'USER INPUTS'!I34</f>
        <v>0</v>
      </c>
      <c r="D174" s="295"/>
      <c r="E174" s="150">
        <f>(INDEX(DEFAULT!$E$339:$AJ$396,22,'USER INPUTS'!$B$4)/100)*($C174/100)*E$133</f>
        <v>0</v>
      </c>
      <c r="F174" s="150">
        <f>E174*(100+INDEX(DEFAULT!$E$238:$AJ$240,1,'USER INPUTS'!$B$4))/100</f>
        <v>0</v>
      </c>
      <c r="G174" s="150">
        <f>F174*(100+INDEX(DEFAULT!$E$238:$AJ$240,1,'USER INPUTS'!$B$4))/100</f>
        <v>0</v>
      </c>
      <c r="H174" s="150">
        <f>G174*(100+INDEX(DEFAULT!$E$238:$AJ$240,1,'USER INPUTS'!$B$4))/100</f>
        <v>0</v>
      </c>
      <c r="I174" s="150">
        <f>H174*(100+INDEX(DEFAULT!$E$238:$AJ$240,1,'USER INPUTS'!$B$4))/100</f>
        <v>0</v>
      </c>
      <c r="J174" s="150">
        <f>I174*(100+INDEX(DEFAULT!$E$238:$AJ$240,1,'USER INPUTS'!$B$4))/100</f>
        <v>0</v>
      </c>
      <c r="K174" s="150">
        <f>J174*(100+INDEX(DEFAULT!$E$238:$AJ$240,1,'USER INPUTS'!$B$4))/100</f>
        <v>0</v>
      </c>
      <c r="L174" s="150">
        <f>K174*(100+INDEX(DEFAULT!$E$238:$AJ$240,1,'USER INPUTS'!$B$4))/100</f>
        <v>0</v>
      </c>
      <c r="M174" s="150">
        <f>L174*(100+INDEX(DEFAULT!$E$238:$AJ$240,1,'USER INPUTS'!$B$4))/100</f>
        <v>0</v>
      </c>
      <c r="N174" s="150">
        <f>M174*(100+INDEX(DEFAULT!$E$238:$AJ$240,1,'USER INPUTS'!$B$4))/100</f>
        <v>0</v>
      </c>
      <c r="O174" s="150">
        <f>N174*(100+INDEX(DEFAULT!$E$238:$AJ$240,2,'USER INPUTS'!$B$4))/100</f>
        <v>0</v>
      </c>
      <c r="P174" s="150">
        <f>O174*(100+INDEX(DEFAULT!$E$238:$AJ$240,2,'USER INPUTS'!$B$4))/100</f>
        <v>0</v>
      </c>
      <c r="Q174" s="150">
        <f>P174*(100+INDEX(DEFAULT!$E$238:$AJ$240,2,'USER INPUTS'!$B$4))/100</f>
        <v>0</v>
      </c>
      <c r="R174" s="150">
        <f>Q174*(100+INDEX(DEFAULT!$E$238:$AJ$240,2,'USER INPUTS'!$B$4))/100</f>
        <v>0</v>
      </c>
      <c r="S174" s="150">
        <f>R174*(100+INDEX(DEFAULT!$E$238:$AJ$240,2,'USER INPUTS'!$B$4))/100</f>
        <v>0</v>
      </c>
      <c r="T174" s="150">
        <f>S174*(100+INDEX(DEFAULT!$E$238:$AJ$240,2,'USER INPUTS'!$B$4))/100</f>
        <v>0</v>
      </c>
      <c r="U174" s="150">
        <f>T174*(100+INDEX(DEFAULT!$E$238:$AJ$240,2,'USER INPUTS'!$B$4))/100</f>
        <v>0</v>
      </c>
      <c r="V174" s="150">
        <f>U174*(100+INDEX(DEFAULT!$E$238:$AJ$240,2,'USER INPUTS'!$B$4))/100</f>
        <v>0</v>
      </c>
      <c r="W174" s="150">
        <f>V174*(100+INDEX(DEFAULT!$E$238:$AJ$240,2,'USER INPUTS'!$B$4))/100</f>
        <v>0</v>
      </c>
      <c r="X174" s="150">
        <f>W174*(100+INDEX(DEFAULT!$E$238:$AJ$240,2,'USER INPUTS'!$B$4))/100</f>
        <v>0</v>
      </c>
      <c r="Y174" s="150">
        <f>X174*(100+INDEX(DEFAULT!$E$238:$AJ$240,3,'USER INPUTS'!$B$4))/100</f>
        <v>0</v>
      </c>
      <c r="Z174" s="150">
        <f>Y174*(100+INDEX(DEFAULT!$E$238:$AJ$240,3,'USER INPUTS'!$B$4))/100</f>
        <v>0</v>
      </c>
      <c r="AA174" s="150">
        <f>Z174*(100+INDEX(DEFAULT!$E$238:$AJ$240,3,'USER INPUTS'!$B$4))/100</f>
        <v>0</v>
      </c>
      <c r="AB174" s="150">
        <f>AA174*(100+INDEX(DEFAULT!$E$238:$AJ$240,3,'USER INPUTS'!$B$4))/100</f>
        <v>0</v>
      </c>
      <c r="AC174" s="150">
        <f>AB174*(100+INDEX(DEFAULT!$E$238:$AJ$240,3,'USER INPUTS'!$B$4))/100</f>
        <v>0</v>
      </c>
      <c r="AD174" s="150">
        <f>AC174*(100+INDEX(DEFAULT!$E$238:$AJ$240,3,'USER INPUTS'!$B$4))/100</f>
        <v>0</v>
      </c>
      <c r="AE174" s="150">
        <f>AD174*(100+INDEX(DEFAULT!$E$238:$AJ$240,3,'USER INPUTS'!$B$4))/100</f>
        <v>0</v>
      </c>
      <c r="AF174" s="150">
        <f>AE174*(100+INDEX(DEFAULT!$E$238:$AJ$240,3,'USER INPUTS'!$B$4))/100</f>
        <v>0</v>
      </c>
      <c r="AG174" s="150">
        <f>AF174*(100+INDEX(DEFAULT!$E$238:$AJ$240,3,'USER INPUTS'!$B$4))/100</f>
        <v>0</v>
      </c>
      <c r="AH174" s="150">
        <f>AG174*(100+INDEX(DEFAULT!$E$238:$AJ$240,3,'USER INPUTS'!$B$4))/100</f>
        <v>0</v>
      </c>
      <c r="AI174" s="139"/>
      <c r="AJ174" s="133"/>
    </row>
    <row r="175" spans="1:36" s="134" customFormat="1">
      <c r="A175" s="243" t="str">
        <f>INDEX(DEFAULT!$E$274:$AJ$331,23,'USER INPUTS'!$B$4)</f>
        <v>-</v>
      </c>
      <c r="B175" s="294"/>
      <c r="C175" s="100">
        <f>'USER INPUTS'!I35</f>
        <v>0</v>
      </c>
      <c r="D175" s="295"/>
      <c r="E175" s="150">
        <f>(INDEX(DEFAULT!$E$339:$AJ$396,23,'USER INPUTS'!$B$4)/100)*($C175/100)*E$133</f>
        <v>0</v>
      </c>
      <c r="F175" s="150">
        <f>E175*(100+INDEX(DEFAULT!$E$238:$AJ$240,1,'USER INPUTS'!$B$4))/100</f>
        <v>0</v>
      </c>
      <c r="G175" s="150">
        <f>F175*(100+INDEX(DEFAULT!$E$238:$AJ$240,1,'USER INPUTS'!$B$4))/100</f>
        <v>0</v>
      </c>
      <c r="H175" s="150">
        <f>G175*(100+INDEX(DEFAULT!$E$238:$AJ$240,1,'USER INPUTS'!$B$4))/100</f>
        <v>0</v>
      </c>
      <c r="I175" s="150">
        <f>H175*(100+INDEX(DEFAULT!$E$238:$AJ$240,1,'USER INPUTS'!$B$4))/100</f>
        <v>0</v>
      </c>
      <c r="J175" s="150">
        <f>I175*(100+INDEX(DEFAULT!$E$238:$AJ$240,1,'USER INPUTS'!$B$4))/100</f>
        <v>0</v>
      </c>
      <c r="K175" s="150">
        <f>J175*(100+INDEX(DEFAULT!$E$238:$AJ$240,1,'USER INPUTS'!$B$4))/100</f>
        <v>0</v>
      </c>
      <c r="L175" s="150">
        <f>K175*(100+INDEX(DEFAULT!$E$238:$AJ$240,1,'USER INPUTS'!$B$4))/100</f>
        <v>0</v>
      </c>
      <c r="M175" s="150">
        <f>L175*(100+INDEX(DEFAULT!$E$238:$AJ$240,1,'USER INPUTS'!$B$4))/100</f>
        <v>0</v>
      </c>
      <c r="N175" s="150">
        <f>M175*(100+INDEX(DEFAULT!$E$238:$AJ$240,1,'USER INPUTS'!$B$4))/100</f>
        <v>0</v>
      </c>
      <c r="O175" s="150">
        <f>N175*(100+INDEX(DEFAULT!$E$238:$AJ$240,2,'USER INPUTS'!$B$4))/100</f>
        <v>0</v>
      </c>
      <c r="P175" s="150">
        <f>O175*(100+INDEX(DEFAULT!$E$238:$AJ$240,2,'USER INPUTS'!$B$4))/100</f>
        <v>0</v>
      </c>
      <c r="Q175" s="150">
        <f>P175*(100+INDEX(DEFAULT!$E$238:$AJ$240,2,'USER INPUTS'!$B$4))/100</f>
        <v>0</v>
      </c>
      <c r="R175" s="150">
        <f>Q175*(100+INDEX(DEFAULT!$E$238:$AJ$240,2,'USER INPUTS'!$B$4))/100</f>
        <v>0</v>
      </c>
      <c r="S175" s="150">
        <f>R175*(100+INDEX(DEFAULT!$E$238:$AJ$240,2,'USER INPUTS'!$B$4))/100</f>
        <v>0</v>
      </c>
      <c r="T175" s="150">
        <f>S175*(100+INDEX(DEFAULT!$E$238:$AJ$240,2,'USER INPUTS'!$B$4))/100</f>
        <v>0</v>
      </c>
      <c r="U175" s="150">
        <f>T175*(100+INDEX(DEFAULT!$E$238:$AJ$240,2,'USER INPUTS'!$B$4))/100</f>
        <v>0</v>
      </c>
      <c r="V175" s="150">
        <f>U175*(100+INDEX(DEFAULT!$E$238:$AJ$240,2,'USER INPUTS'!$B$4))/100</f>
        <v>0</v>
      </c>
      <c r="W175" s="150">
        <f>V175*(100+INDEX(DEFAULT!$E$238:$AJ$240,2,'USER INPUTS'!$B$4))/100</f>
        <v>0</v>
      </c>
      <c r="X175" s="150">
        <f>W175*(100+INDEX(DEFAULT!$E$238:$AJ$240,2,'USER INPUTS'!$B$4))/100</f>
        <v>0</v>
      </c>
      <c r="Y175" s="150">
        <f>X175*(100+INDEX(DEFAULT!$E$238:$AJ$240,3,'USER INPUTS'!$B$4))/100</f>
        <v>0</v>
      </c>
      <c r="Z175" s="150">
        <f>Y175*(100+INDEX(DEFAULT!$E$238:$AJ$240,3,'USER INPUTS'!$B$4))/100</f>
        <v>0</v>
      </c>
      <c r="AA175" s="150">
        <f>Z175*(100+INDEX(DEFAULT!$E$238:$AJ$240,3,'USER INPUTS'!$B$4))/100</f>
        <v>0</v>
      </c>
      <c r="AB175" s="150">
        <f>AA175*(100+INDEX(DEFAULT!$E$238:$AJ$240,3,'USER INPUTS'!$B$4))/100</f>
        <v>0</v>
      </c>
      <c r="AC175" s="150">
        <f>AB175*(100+INDEX(DEFAULT!$E$238:$AJ$240,3,'USER INPUTS'!$B$4))/100</f>
        <v>0</v>
      </c>
      <c r="AD175" s="150">
        <f>AC175*(100+INDEX(DEFAULT!$E$238:$AJ$240,3,'USER INPUTS'!$B$4))/100</f>
        <v>0</v>
      </c>
      <c r="AE175" s="150">
        <f>AD175*(100+INDEX(DEFAULT!$E$238:$AJ$240,3,'USER INPUTS'!$B$4))/100</f>
        <v>0</v>
      </c>
      <c r="AF175" s="150">
        <f>AE175*(100+INDEX(DEFAULT!$E$238:$AJ$240,3,'USER INPUTS'!$B$4))/100</f>
        <v>0</v>
      </c>
      <c r="AG175" s="150">
        <f>AF175*(100+INDEX(DEFAULT!$E$238:$AJ$240,3,'USER INPUTS'!$B$4))/100</f>
        <v>0</v>
      </c>
      <c r="AH175" s="150">
        <f>AG175*(100+INDEX(DEFAULT!$E$238:$AJ$240,3,'USER INPUTS'!$B$4))/100</f>
        <v>0</v>
      </c>
      <c r="AI175" s="139"/>
      <c r="AJ175" s="133"/>
    </row>
    <row r="176" spans="1:36" s="134" customFormat="1">
      <c r="A176" s="243" t="str">
        <f>INDEX(DEFAULT!$E$274:$AJ$331,24,'USER INPUTS'!$B$4)</f>
        <v>-</v>
      </c>
      <c r="B176" s="294"/>
      <c r="C176" s="100">
        <f>'USER INPUTS'!I36</f>
        <v>0</v>
      </c>
      <c r="D176" s="295"/>
      <c r="E176" s="150">
        <f>(INDEX(DEFAULT!$E$339:$AJ$396,24,'USER INPUTS'!$B$4)/100)*($C176/100)*E$133</f>
        <v>0</v>
      </c>
      <c r="F176" s="150">
        <f>E176*(100+INDEX(DEFAULT!$E$238:$AJ$240,1,'USER INPUTS'!$B$4))/100</f>
        <v>0</v>
      </c>
      <c r="G176" s="150">
        <f>F176*(100+INDEX(DEFAULT!$E$238:$AJ$240,1,'USER INPUTS'!$B$4))/100</f>
        <v>0</v>
      </c>
      <c r="H176" s="150">
        <f>G176*(100+INDEX(DEFAULT!$E$238:$AJ$240,1,'USER INPUTS'!$B$4))/100</f>
        <v>0</v>
      </c>
      <c r="I176" s="150">
        <f>H176*(100+INDEX(DEFAULT!$E$238:$AJ$240,1,'USER INPUTS'!$B$4))/100</f>
        <v>0</v>
      </c>
      <c r="J176" s="150">
        <f>I176*(100+INDEX(DEFAULT!$E$238:$AJ$240,1,'USER INPUTS'!$B$4))/100</f>
        <v>0</v>
      </c>
      <c r="K176" s="150">
        <f>J176*(100+INDEX(DEFAULT!$E$238:$AJ$240,1,'USER INPUTS'!$B$4))/100</f>
        <v>0</v>
      </c>
      <c r="L176" s="150">
        <f>K176*(100+INDEX(DEFAULT!$E$238:$AJ$240,1,'USER INPUTS'!$B$4))/100</f>
        <v>0</v>
      </c>
      <c r="M176" s="150">
        <f>L176*(100+INDEX(DEFAULT!$E$238:$AJ$240,1,'USER INPUTS'!$B$4))/100</f>
        <v>0</v>
      </c>
      <c r="N176" s="150">
        <f>M176*(100+INDEX(DEFAULT!$E$238:$AJ$240,1,'USER INPUTS'!$B$4))/100</f>
        <v>0</v>
      </c>
      <c r="O176" s="150">
        <f>N176*(100+INDEX(DEFAULT!$E$238:$AJ$240,2,'USER INPUTS'!$B$4))/100</f>
        <v>0</v>
      </c>
      <c r="P176" s="150">
        <f>O176*(100+INDEX(DEFAULT!$E$238:$AJ$240,2,'USER INPUTS'!$B$4))/100</f>
        <v>0</v>
      </c>
      <c r="Q176" s="150">
        <f>P176*(100+INDEX(DEFAULT!$E$238:$AJ$240,2,'USER INPUTS'!$B$4))/100</f>
        <v>0</v>
      </c>
      <c r="R176" s="150">
        <f>Q176*(100+INDEX(DEFAULT!$E$238:$AJ$240,2,'USER INPUTS'!$B$4))/100</f>
        <v>0</v>
      </c>
      <c r="S176" s="150">
        <f>R176*(100+INDEX(DEFAULT!$E$238:$AJ$240,2,'USER INPUTS'!$B$4))/100</f>
        <v>0</v>
      </c>
      <c r="T176" s="150">
        <f>S176*(100+INDEX(DEFAULT!$E$238:$AJ$240,2,'USER INPUTS'!$B$4))/100</f>
        <v>0</v>
      </c>
      <c r="U176" s="150">
        <f>T176*(100+INDEX(DEFAULT!$E$238:$AJ$240,2,'USER INPUTS'!$B$4))/100</f>
        <v>0</v>
      </c>
      <c r="V176" s="150">
        <f>U176*(100+INDEX(DEFAULT!$E$238:$AJ$240,2,'USER INPUTS'!$B$4))/100</f>
        <v>0</v>
      </c>
      <c r="W176" s="150">
        <f>V176*(100+INDEX(DEFAULT!$E$238:$AJ$240,2,'USER INPUTS'!$B$4))/100</f>
        <v>0</v>
      </c>
      <c r="X176" s="150">
        <f>W176*(100+INDEX(DEFAULT!$E$238:$AJ$240,2,'USER INPUTS'!$B$4))/100</f>
        <v>0</v>
      </c>
      <c r="Y176" s="150">
        <f>X176*(100+INDEX(DEFAULT!$E$238:$AJ$240,3,'USER INPUTS'!$B$4))/100</f>
        <v>0</v>
      </c>
      <c r="Z176" s="150">
        <f>Y176*(100+INDEX(DEFAULT!$E$238:$AJ$240,3,'USER INPUTS'!$B$4))/100</f>
        <v>0</v>
      </c>
      <c r="AA176" s="150">
        <f>Z176*(100+INDEX(DEFAULT!$E$238:$AJ$240,3,'USER INPUTS'!$B$4))/100</f>
        <v>0</v>
      </c>
      <c r="AB176" s="150">
        <f>AA176*(100+INDEX(DEFAULT!$E$238:$AJ$240,3,'USER INPUTS'!$B$4))/100</f>
        <v>0</v>
      </c>
      <c r="AC176" s="150">
        <f>AB176*(100+INDEX(DEFAULT!$E$238:$AJ$240,3,'USER INPUTS'!$B$4))/100</f>
        <v>0</v>
      </c>
      <c r="AD176" s="150">
        <f>AC176*(100+INDEX(DEFAULT!$E$238:$AJ$240,3,'USER INPUTS'!$B$4))/100</f>
        <v>0</v>
      </c>
      <c r="AE176" s="150">
        <f>AD176*(100+INDEX(DEFAULT!$E$238:$AJ$240,3,'USER INPUTS'!$B$4))/100</f>
        <v>0</v>
      </c>
      <c r="AF176" s="150">
        <f>AE176*(100+INDEX(DEFAULT!$E$238:$AJ$240,3,'USER INPUTS'!$B$4))/100</f>
        <v>0</v>
      </c>
      <c r="AG176" s="150">
        <f>AF176*(100+INDEX(DEFAULT!$E$238:$AJ$240,3,'USER INPUTS'!$B$4))/100</f>
        <v>0</v>
      </c>
      <c r="AH176" s="150">
        <f>AG176*(100+INDEX(DEFAULT!$E$238:$AJ$240,3,'USER INPUTS'!$B$4))/100</f>
        <v>0</v>
      </c>
      <c r="AI176" s="139"/>
      <c r="AJ176" s="133"/>
    </row>
    <row r="177" spans="1:36" s="134" customFormat="1">
      <c r="A177" s="243" t="str">
        <f>INDEX(DEFAULT!$E$274:$AJ$331,25,'USER INPUTS'!$B$4)</f>
        <v>-</v>
      </c>
      <c r="B177" s="294"/>
      <c r="C177" s="100">
        <f>'USER INPUTS'!I37</f>
        <v>0</v>
      </c>
      <c r="D177" s="295"/>
      <c r="E177" s="150">
        <f>(INDEX(DEFAULT!$E$339:$AJ$396,25,'USER INPUTS'!$B$4)/100)*($C177/100)*E$133</f>
        <v>0</v>
      </c>
      <c r="F177" s="150">
        <f>E177*(100+INDEX(DEFAULT!$E$238:$AJ$240,1,'USER INPUTS'!$B$4))/100</f>
        <v>0</v>
      </c>
      <c r="G177" s="150">
        <f>F177*(100+INDEX(DEFAULT!$E$238:$AJ$240,1,'USER INPUTS'!$B$4))/100</f>
        <v>0</v>
      </c>
      <c r="H177" s="150">
        <f>G177*(100+INDEX(DEFAULT!$E$238:$AJ$240,1,'USER INPUTS'!$B$4))/100</f>
        <v>0</v>
      </c>
      <c r="I177" s="150">
        <f>H177*(100+INDEX(DEFAULT!$E$238:$AJ$240,1,'USER INPUTS'!$B$4))/100</f>
        <v>0</v>
      </c>
      <c r="J177" s="150">
        <f>I177*(100+INDEX(DEFAULT!$E$238:$AJ$240,1,'USER INPUTS'!$B$4))/100</f>
        <v>0</v>
      </c>
      <c r="K177" s="150">
        <f>J177*(100+INDEX(DEFAULT!$E$238:$AJ$240,1,'USER INPUTS'!$B$4))/100</f>
        <v>0</v>
      </c>
      <c r="L177" s="150">
        <f>K177*(100+INDEX(DEFAULT!$E$238:$AJ$240,1,'USER INPUTS'!$B$4))/100</f>
        <v>0</v>
      </c>
      <c r="M177" s="150">
        <f>L177*(100+INDEX(DEFAULT!$E$238:$AJ$240,1,'USER INPUTS'!$B$4))/100</f>
        <v>0</v>
      </c>
      <c r="N177" s="150">
        <f>M177*(100+INDEX(DEFAULT!$E$238:$AJ$240,1,'USER INPUTS'!$B$4))/100</f>
        <v>0</v>
      </c>
      <c r="O177" s="150">
        <f>N177*(100+INDEX(DEFAULT!$E$238:$AJ$240,2,'USER INPUTS'!$B$4))/100</f>
        <v>0</v>
      </c>
      <c r="P177" s="150">
        <f>O177*(100+INDEX(DEFAULT!$E$238:$AJ$240,2,'USER INPUTS'!$B$4))/100</f>
        <v>0</v>
      </c>
      <c r="Q177" s="150">
        <f>P177*(100+INDEX(DEFAULT!$E$238:$AJ$240,2,'USER INPUTS'!$B$4))/100</f>
        <v>0</v>
      </c>
      <c r="R177" s="150">
        <f>Q177*(100+INDEX(DEFAULT!$E$238:$AJ$240,2,'USER INPUTS'!$B$4))/100</f>
        <v>0</v>
      </c>
      <c r="S177" s="150">
        <f>R177*(100+INDEX(DEFAULT!$E$238:$AJ$240,2,'USER INPUTS'!$B$4))/100</f>
        <v>0</v>
      </c>
      <c r="T177" s="150">
        <f>S177*(100+INDEX(DEFAULT!$E$238:$AJ$240,2,'USER INPUTS'!$B$4))/100</f>
        <v>0</v>
      </c>
      <c r="U177" s="150">
        <f>T177*(100+INDEX(DEFAULT!$E$238:$AJ$240,2,'USER INPUTS'!$B$4))/100</f>
        <v>0</v>
      </c>
      <c r="V177" s="150">
        <f>U177*(100+INDEX(DEFAULT!$E$238:$AJ$240,2,'USER INPUTS'!$B$4))/100</f>
        <v>0</v>
      </c>
      <c r="W177" s="150">
        <f>V177*(100+INDEX(DEFAULT!$E$238:$AJ$240,2,'USER INPUTS'!$B$4))/100</f>
        <v>0</v>
      </c>
      <c r="X177" s="150">
        <f>W177*(100+INDEX(DEFAULT!$E$238:$AJ$240,2,'USER INPUTS'!$B$4))/100</f>
        <v>0</v>
      </c>
      <c r="Y177" s="150">
        <f>X177*(100+INDEX(DEFAULT!$E$238:$AJ$240,3,'USER INPUTS'!$B$4))/100</f>
        <v>0</v>
      </c>
      <c r="Z177" s="150">
        <f>Y177*(100+INDEX(DEFAULT!$E$238:$AJ$240,3,'USER INPUTS'!$B$4))/100</f>
        <v>0</v>
      </c>
      <c r="AA177" s="150">
        <f>Z177*(100+INDEX(DEFAULT!$E$238:$AJ$240,3,'USER INPUTS'!$B$4))/100</f>
        <v>0</v>
      </c>
      <c r="AB177" s="150">
        <f>AA177*(100+INDEX(DEFAULT!$E$238:$AJ$240,3,'USER INPUTS'!$B$4))/100</f>
        <v>0</v>
      </c>
      <c r="AC177" s="150">
        <f>AB177*(100+INDEX(DEFAULT!$E$238:$AJ$240,3,'USER INPUTS'!$B$4))/100</f>
        <v>0</v>
      </c>
      <c r="AD177" s="150">
        <f>AC177*(100+INDEX(DEFAULT!$E$238:$AJ$240,3,'USER INPUTS'!$B$4))/100</f>
        <v>0</v>
      </c>
      <c r="AE177" s="150">
        <f>AD177*(100+INDEX(DEFAULT!$E$238:$AJ$240,3,'USER INPUTS'!$B$4))/100</f>
        <v>0</v>
      </c>
      <c r="AF177" s="150">
        <f>AE177*(100+INDEX(DEFAULT!$E$238:$AJ$240,3,'USER INPUTS'!$B$4))/100</f>
        <v>0</v>
      </c>
      <c r="AG177" s="150">
        <f>AF177*(100+INDEX(DEFAULT!$E$238:$AJ$240,3,'USER INPUTS'!$B$4))/100</f>
        <v>0</v>
      </c>
      <c r="AH177" s="150">
        <f>AG177*(100+INDEX(DEFAULT!$E$238:$AJ$240,3,'USER INPUTS'!$B$4))/100</f>
        <v>0</v>
      </c>
      <c r="AI177" s="139"/>
      <c r="AJ177" s="133"/>
    </row>
    <row r="178" spans="1:36" s="134" customFormat="1">
      <c r="A178" s="243" t="str">
        <f>INDEX(DEFAULT!$E$274:$AJ$331,26,'USER INPUTS'!$B$4)</f>
        <v>-</v>
      </c>
      <c r="B178" s="294"/>
      <c r="C178" s="100">
        <f>'USER INPUTS'!I38</f>
        <v>0</v>
      </c>
      <c r="D178" s="295"/>
      <c r="E178" s="150">
        <f>(INDEX(DEFAULT!$E$339:$AJ$396,26,'USER INPUTS'!$B$4)/100)*($C178/100)*E$133</f>
        <v>0</v>
      </c>
      <c r="F178" s="150">
        <f>E178*(100+INDEX(DEFAULT!$E$238:$AJ$240,1,'USER INPUTS'!$B$4))/100</f>
        <v>0</v>
      </c>
      <c r="G178" s="150">
        <f>F178*(100+INDEX(DEFAULT!$E$238:$AJ$240,1,'USER INPUTS'!$B$4))/100</f>
        <v>0</v>
      </c>
      <c r="H178" s="150">
        <f>G178*(100+INDEX(DEFAULT!$E$238:$AJ$240,1,'USER INPUTS'!$B$4))/100</f>
        <v>0</v>
      </c>
      <c r="I178" s="150">
        <f>H178*(100+INDEX(DEFAULT!$E$238:$AJ$240,1,'USER INPUTS'!$B$4))/100</f>
        <v>0</v>
      </c>
      <c r="J178" s="150">
        <f>I178*(100+INDEX(DEFAULT!$E$238:$AJ$240,1,'USER INPUTS'!$B$4))/100</f>
        <v>0</v>
      </c>
      <c r="K178" s="150">
        <f>J178*(100+INDEX(DEFAULT!$E$238:$AJ$240,1,'USER INPUTS'!$B$4))/100</f>
        <v>0</v>
      </c>
      <c r="L178" s="150">
        <f>K178*(100+INDEX(DEFAULT!$E$238:$AJ$240,1,'USER INPUTS'!$B$4))/100</f>
        <v>0</v>
      </c>
      <c r="M178" s="150">
        <f>L178*(100+INDEX(DEFAULT!$E$238:$AJ$240,1,'USER INPUTS'!$B$4))/100</f>
        <v>0</v>
      </c>
      <c r="N178" s="150">
        <f>M178*(100+INDEX(DEFAULT!$E$238:$AJ$240,1,'USER INPUTS'!$B$4))/100</f>
        <v>0</v>
      </c>
      <c r="O178" s="150">
        <f>N178*(100+INDEX(DEFAULT!$E$238:$AJ$240,2,'USER INPUTS'!$B$4))/100</f>
        <v>0</v>
      </c>
      <c r="P178" s="150">
        <f>O178*(100+INDEX(DEFAULT!$E$238:$AJ$240,2,'USER INPUTS'!$B$4))/100</f>
        <v>0</v>
      </c>
      <c r="Q178" s="150">
        <f>P178*(100+INDEX(DEFAULT!$E$238:$AJ$240,2,'USER INPUTS'!$B$4))/100</f>
        <v>0</v>
      </c>
      <c r="R178" s="150">
        <f>Q178*(100+INDEX(DEFAULT!$E$238:$AJ$240,2,'USER INPUTS'!$B$4))/100</f>
        <v>0</v>
      </c>
      <c r="S178" s="150">
        <f>R178*(100+INDEX(DEFAULT!$E$238:$AJ$240,2,'USER INPUTS'!$B$4))/100</f>
        <v>0</v>
      </c>
      <c r="T178" s="150">
        <f>S178*(100+INDEX(DEFAULT!$E$238:$AJ$240,2,'USER INPUTS'!$B$4))/100</f>
        <v>0</v>
      </c>
      <c r="U178" s="150">
        <f>T178*(100+INDEX(DEFAULT!$E$238:$AJ$240,2,'USER INPUTS'!$B$4))/100</f>
        <v>0</v>
      </c>
      <c r="V178" s="150">
        <f>U178*(100+INDEX(DEFAULT!$E$238:$AJ$240,2,'USER INPUTS'!$B$4))/100</f>
        <v>0</v>
      </c>
      <c r="W178" s="150">
        <f>V178*(100+INDEX(DEFAULT!$E$238:$AJ$240,2,'USER INPUTS'!$B$4))/100</f>
        <v>0</v>
      </c>
      <c r="X178" s="150">
        <f>W178*(100+INDEX(DEFAULT!$E$238:$AJ$240,2,'USER INPUTS'!$B$4))/100</f>
        <v>0</v>
      </c>
      <c r="Y178" s="150">
        <f>X178*(100+INDEX(DEFAULT!$E$238:$AJ$240,3,'USER INPUTS'!$B$4))/100</f>
        <v>0</v>
      </c>
      <c r="Z178" s="150">
        <f>Y178*(100+INDEX(DEFAULT!$E$238:$AJ$240,3,'USER INPUTS'!$B$4))/100</f>
        <v>0</v>
      </c>
      <c r="AA178" s="150">
        <f>Z178*(100+INDEX(DEFAULT!$E$238:$AJ$240,3,'USER INPUTS'!$B$4))/100</f>
        <v>0</v>
      </c>
      <c r="AB178" s="150">
        <f>AA178*(100+INDEX(DEFAULT!$E$238:$AJ$240,3,'USER INPUTS'!$B$4))/100</f>
        <v>0</v>
      </c>
      <c r="AC178" s="150">
        <f>AB178*(100+INDEX(DEFAULT!$E$238:$AJ$240,3,'USER INPUTS'!$B$4))/100</f>
        <v>0</v>
      </c>
      <c r="AD178" s="150">
        <f>AC178*(100+INDEX(DEFAULT!$E$238:$AJ$240,3,'USER INPUTS'!$B$4))/100</f>
        <v>0</v>
      </c>
      <c r="AE178" s="150">
        <f>AD178*(100+INDEX(DEFAULT!$E$238:$AJ$240,3,'USER INPUTS'!$B$4))/100</f>
        <v>0</v>
      </c>
      <c r="AF178" s="150">
        <f>AE178*(100+INDEX(DEFAULT!$E$238:$AJ$240,3,'USER INPUTS'!$B$4))/100</f>
        <v>0</v>
      </c>
      <c r="AG178" s="150">
        <f>AF178*(100+INDEX(DEFAULT!$E$238:$AJ$240,3,'USER INPUTS'!$B$4))/100</f>
        <v>0</v>
      </c>
      <c r="AH178" s="150">
        <f>AG178*(100+INDEX(DEFAULT!$E$238:$AJ$240,3,'USER INPUTS'!$B$4))/100</f>
        <v>0</v>
      </c>
      <c r="AI178" s="139"/>
      <c r="AJ178" s="133"/>
    </row>
    <row r="179" spans="1:36" s="134" customFormat="1">
      <c r="A179" s="243" t="str">
        <f>INDEX(DEFAULT!$E$274:$AJ$331,27,'USER INPUTS'!$B$4)</f>
        <v>-</v>
      </c>
      <c r="B179" s="294"/>
      <c r="C179" s="100">
        <f>'USER INPUTS'!I39</f>
        <v>0</v>
      </c>
      <c r="D179" s="295"/>
      <c r="E179" s="150">
        <f>(INDEX(DEFAULT!$E$339:$AJ$396,27,'USER INPUTS'!$B$4)/100)*($C179/100)*E$133</f>
        <v>0</v>
      </c>
      <c r="F179" s="150">
        <f>E179*(100+INDEX(DEFAULT!$E$238:$AJ$240,1,'USER INPUTS'!$B$4))/100</f>
        <v>0</v>
      </c>
      <c r="G179" s="150">
        <f>F179*(100+INDEX(DEFAULT!$E$238:$AJ$240,1,'USER INPUTS'!$B$4))/100</f>
        <v>0</v>
      </c>
      <c r="H179" s="150">
        <f>G179*(100+INDEX(DEFAULT!$E$238:$AJ$240,1,'USER INPUTS'!$B$4))/100</f>
        <v>0</v>
      </c>
      <c r="I179" s="150">
        <f>H179*(100+INDEX(DEFAULT!$E$238:$AJ$240,1,'USER INPUTS'!$B$4))/100</f>
        <v>0</v>
      </c>
      <c r="J179" s="150">
        <f>I179*(100+INDEX(DEFAULT!$E$238:$AJ$240,1,'USER INPUTS'!$B$4))/100</f>
        <v>0</v>
      </c>
      <c r="K179" s="150">
        <f>J179*(100+INDEX(DEFAULT!$E$238:$AJ$240,1,'USER INPUTS'!$B$4))/100</f>
        <v>0</v>
      </c>
      <c r="L179" s="150">
        <f>K179*(100+INDEX(DEFAULT!$E$238:$AJ$240,1,'USER INPUTS'!$B$4))/100</f>
        <v>0</v>
      </c>
      <c r="M179" s="150">
        <f>L179*(100+INDEX(DEFAULT!$E$238:$AJ$240,1,'USER INPUTS'!$B$4))/100</f>
        <v>0</v>
      </c>
      <c r="N179" s="150">
        <f>M179*(100+INDEX(DEFAULT!$E$238:$AJ$240,1,'USER INPUTS'!$B$4))/100</f>
        <v>0</v>
      </c>
      <c r="O179" s="150">
        <f>N179*(100+INDEX(DEFAULT!$E$238:$AJ$240,2,'USER INPUTS'!$B$4))/100</f>
        <v>0</v>
      </c>
      <c r="P179" s="150">
        <f>O179*(100+INDEX(DEFAULT!$E$238:$AJ$240,2,'USER INPUTS'!$B$4))/100</f>
        <v>0</v>
      </c>
      <c r="Q179" s="150">
        <f>P179*(100+INDEX(DEFAULT!$E$238:$AJ$240,2,'USER INPUTS'!$B$4))/100</f>
        <v>0</v>
      </c>
      <c r="R179" s="150">
        <f>Q179*(100+INDEX(DEFAULT!$E$238:$AJ$240,2,'USER INPUTS'!$B$4))/100</f>
        <v>0</v>
      </c>
      <c r="S179" s="150">
        <f>R179*(100+INDEX(DEFAULT!$E$238:$AJ$240,2,'USER INPUTS'!$B$4))/100</f>
        <v>0</v>
      </c>
      <c r="T179" s="150">
        <f>S179*(100+INDEX(DEFAULT!$E$238:$AJ$240,2,'USER INPUTS'!$B$4))/100</f>
        <v>0</v>
      </c>
      <c r="U179" s="150">
        <f>T179*(100+INDEX(DEFAULT!$E$238:$AJ$240,2,'USER INPUTS'!$B$4))/100</f>
        <v>0</v>
      </c>
      <c r="V179" s="150">
        <f>U179*(100+INDEX(DEFAULT!$E$238:$AJ$240,2,'USER INPUTS'!$B$4))/100</f>
        <v>0</v>
      </c>
      <c r="W179" s="150">
        <f>V179*(100+INDEX(DEFAULT!$E$238:$AJ$240,2,'USER INPUTS'!$B$4))/100</f>
        <v>0</v>
      </c>
      <c r="X179" s="150">
        <f>W179*(100+INDEX(DEFAULT!$E$238:$AJ$240,2,'USER INPUTS'!$B$4))/100</f>
        <v>0</v>
      </c>
      <c r="Y179" s="150">
        <f>X179*(100+INDEX(DEFAULT!$E$238:$AJ$240,3,'USER INPUTS'!$B$4))/100</f>
        <v>0</v>
      </c>
      <c r="Z179" s="150">
        <f>Y179*(100+INDEX(DEFAULT!$E$238:$AJ$240,3,'USER INPUTS'!$B$4))/100</f>
        <v>0</v>
      </c>
      <c r="AA179" s="150">
        <f>Z179*(100+INDEX(DEFAULT!$E$238:$AJ$240,3,'USER INPUTS'!$B$4))/100</f>
        <v>0</v>
      </c>
      <c r="AB179" s="150">
        <f>AA179*(100+INDEX(DEFAULT!$E$238:$AJ$240,3,'USER INPUTS'!$B$4))/100</f>
        <v>0</v>
      </c>
      <c r="AC179" s="150">
        <f>AB179*(100+INDEX(DEFAULT!$E$238:$AJ$240,3,'USER INPUTS'!$B$4))/100</f>
        <v>0</v>
      </c>
      <c r="AD179" s="150">
        <f>AC179*(100+INDEX(DEFAULT!$E$238:$AJ$240,3,'USER INPUTS'!$B$4))/100</f>
        <v>0</v>
      </c>
      <c r="AE179" s="150">
        <f>AD179*(100+INDEX(DEFAULT!$E$238:$AJ$240,3,'USER INPUTS'!$B$4))/100</f>
        <v>0</v>
      </c>
      <c r="AF179" s="150">
        <f>AE179*(100+INDEX(DEFAULT!$E$238:$AJ$240,3,'USER INPUTS'!$B$4))/100</f>
        <v>0</v>
      </c>
      <c r="AG179" s="150">
        <f>AF179*(100+INDEX(DEFAULT!$E$238:$AJ$240,3,'USER INPUTS'!$B$4))/100</f>
        <v>0</v>
      </c>
      <c r="AH179" s="150">
        <f>AG179*(100+INDEX(DEFAULT!$E$238:$AJ$240,3,'USER INPUTS'!$B$4))/100</f>
        <v>0</v>
      </c>
      <c r="AI179" s="139"/>
      <c r="AJ179" s="133"/>
    </row>
    <row r="180" spans="1:36" s="134" customFormat="1">
      <c r="A180" s="243" t="str">
        <f>INDEX(DEFAULT!$E$274:$AJ$331,28,'USER INPUTS'!$B$4)</f>
        <v>-</v>
      </c>
      <c r="B180" s="294"/>
      <c r="C180" s="100">
        <f>'USER INPUTS'!I40</f>
        <v>0</v>
      </c>
      <c r="D180" s="295"/>
      <c r="E180" s="150">
        <f>(INDEX(DEFAULT!$E$339:$AJ$396,28,'USER INPUTS'!$B$4)/100)*($C180/100)*E$133</f>
        <v>0</v>
      </c>
      <c r="F180" s="150">
        <f>E180*(100+INDEX(DEFAULT!$E$238:$AJ$240,1,'USER INPUTS'!$B$4))/100</f>
        <v>0</v>
      </c>
      <c r="G180" s="150">
        <f>F180*(100+INDEX(DEFAULT!$E$238:$AJ$240,1,'USER INPUTS'!$B$4))/100</f>
        <v>0</v>
      </c>
      <c r="H180" s="150">
        <f>G180*(100+INDEX(DEFAULT!$E$238:$AJ$240,1,'USER INPUTS'!$B$4))/100</f>
        <v>0</v>
      </c>
      <c r="I180" s="150">
        <f>H180*(100+INDEX(DEFAULT!$E$238:$AJ$240,1,'USER INPUTS'!$B$4))/100</f>
        <v>0</v>
      </c>
      <c r="J180" s="150">
        <f>I180*(100+INDEX(DEFAULT!$E$238:$AJ$240,1,'USER INPUTS'!$B$4))/100</f>
        <v>0</v>
      </c>
      <c r="K180" s="150">
        <f>J180*(100+INDEX(DEFAULT!$E$238:$AJ$240,1,'USER INPUTS'!$B$4))/100</f>
        <v>0</v>
      </c>
      <c r="L180" s="150">
        <f>K180*(100+INDEX(DEFAULT!$E$238:$AJ$240,1,'USER INPUTS'!$B$4))/100</f>
        <v>0</v>
      </c>
      <c r="M180" s="150">
        <f>L180*(100+INDEX(DEFAULT!$E$238:$AJ$240,1,'USER INPUTS'!$B$4))/100</f>
        <v>0</v>
      </c>
      <c r="N180" s="150">
        <f>M180*(100+INDEX(DEFAULT!$E$238:$AJ$240,1,'USER INPUTS'!$B$4))/100</f>
        <v>0</v>
      </c>
      <c r="O180" s="150">
        <f>N180*(100+INDEX(DEFAULT!$E$238:$AJ$240,2,'USER INPUTS'!$B$4))/100</f>
        <v>0</v>
      </c>
      <c r="P180" s="150">
        <f>O180*(100+INDEX(DEFAULT!$E$238:$AJ$240,2,'USER INPUTS'!$B$4))/100</f>
        <v>0</v>
      </c>
      <c r="Q180" s="150">
        <f>P180*(100+INDEX(DEFAULT!$E$238:$AJ$240,2,'USER INPUTS'!$B$4))/100</f>
        <v>0</v>
      </c>
      <c r="R180" s="150">
        <f>Q180*(100+INDEX(DEFAULT!$E$238:$AJ$240,2,'USER INPUTS'!$B$4))/100</f>
        <v>0</v>
      </c>
      <c r="S180" s="150">
        <f>R180*(100+INDEX(DEFAULT!$E$238:$AJ$240,2,'USER INPUTS'!$B$4))/100</f>
        <v>0</v>
      </c>
      <c r="T180" s="150">
        <f>S180*(100+INDEX(DEFAULT!$E$238:$AJ$240,2,'USER INPUTS'!$B$4))/100</f>
        <v>0</v>
      </c>
      <c r="U180" s="150">
        <f>T180*(100+INDEX(DEFAULT!$E$238:$AJ$240,2,'USER INPUTS'!$B$4))/100</f>
        <v>0</v>
      </c>
      <c r="V180" s="150">
        <f>U180*(100+INDEX(DEFAULT!$E$238:$AJ$240,2,'USER INPUTS'!$B$4))/100</f>
        <v>0</v>
      </c>
      <c r="W180" s="150">
        <f>V180*(100+INDEX(DEFAULT!$E$238:$AJ$240,2,'USER INPUTS'!$B$4))/100</f>
        <v>0</v>
      </c>
      <c r="X180" s="150">
        <f>W180*(100+INDEX(DEFAULT!$E$238:$AJ$240,2,'USER INPUTS'!$B$4))/100</f>
        <v>0</v>
      </c>
      <c r="Y180" s="150">
        <f>X180*(100+INDEX(DEFAULT!$E$238:$AJ$240,3,'USER INPUTS'!$B$4))/100</f>
        <v>0</v>
      </c>
      <c r="Z180" s="150">
        <f>Y180*(100+INDEX(DEFAULT!$E$238:$AJ$240,3,'USER INPUTS'!$B$4))/100</f>
        <v>0</v>
      </c>
      <c r="AA180" s="150">
        <f>Z180*(100+INDEX(DEFAULT!$E$238:$AJ$240,3,'USER INPUTS'!$B$4))/100</f>
        <v>0</v>
      </c>
      <c r="AB180" s="150">
        <f>AA180*(100+INDEX(DEFAULT!$E$238:$AJ$240,3,'USER INPUTS'!$B$4))/100</f>
        <v>0</v>
      </c>
      <c r="AC180" s="150">
        <f>AB180*(100+INDEX(DEFAULT!$E$238:$AJ$240,3,'USER INPUTS'!$B$4))/100</f>
        <v>0</v>
      </c>
      <c r="AD180" s="150">
        <f>AC180*(100+INDEX(DEFAULT!$E$238:$AJ$240,3,'USER INPUTS'!$B$4))/100</f>
        <v>0</v>
      </c>
      <c r="AE180" s="150">
        <f>AD180*(100+INDEX(DEFAULT!$E$238:$AJ$240,3,'USER INPUTS'!$B$4))/100</f>
        <v>0</v>
      </c>
      <c r="AF180" s="150">
        <f>AE180*(100+INDEX(DEFAULT!$E$238:$AJ$240,3,'USER INPUTS'!$B$4))/100</f>
        <v>0</v>
      </c>
      <c r="AG180" s="150">
        <f>AF180*(100+INDEX(DEFAULT!$E$238:$AJ$240,3,'USER INPUTS'!$B$4))/100</f>
        <v>0</v>
      </c>
      <c r="AH180" s="150">
        <f>AG180*(100+INDEX(DEFAULT!$E$238:$AJ$240,3,'USER INPUTS'!$B$4))/100</f>
        <v>0</v>
      </c>
      <c r="AI180" s="139"/>
      <c r="AJ180" s="133"/>
    </row>
    <row r="181" spans="1:36" s="134" customFormat="1">
      <c r="A181" s="243" t="str">
        <f>INDEX(DEFAULT!$E$274:$AJ$331,29,'USER INPUTS'!$B$4)</f>
        <v>-</v>
      </c>
      <c r="B181" s="294"/>
      <c r="C181" s="100">
        <f>'USER INPUTS'!I41</f>
        <v>0</v>
      </c>
      <c r="D181" s="295"/>
      <c r="E181" s="150">
        <f>(INDEX(DEFAULT!$E$339:$AJ$396,29,'USER INPUTS'!$B$4)/100)*($C181/100)*E$133</f>
        <v>0</v>
      </c>
      <c r="F181" s="150">
        <f>E181*(100+INDEX(DEFAULT!$E$238:$AJ$240,1,'USER INPUTS'!$B$4))/100</f>
        <v>0</v>
      </c>
      <c r="G181" s="150">
        <f>F181*(100+INDEX(DEFAULT!$E$238:$AJ$240,1,'USER INPUTS'!$B$4))/100</f>
        <v>0</v>
      </c>
      <c r="H181" s="150">
        <f>G181*(100+INDEX(DEFAULT!$E$238:$AJ$240,1,'USER INPUTS'!$B$4))/100</f>
        <v>0</v>
      </c>
      <c r="I181" s="150">
        <f>H181*(100+INDEX(DEFAULT!$E$238:$AJ$240,1,'USER INPUTS'!$B$4))/100</f>
        <v>0</v>
      </c>
      <c r="J181" s="150">
        <f>I181*(100+INDEX(DEFAULT!$E$238:$AJ$240,1,'USER INPUTS'!$B$4))/100</f>
        <v>0</v>
      </c>
      <c r="K181" s="150">
        <f>J181*(100+INDEX(DEFAULT!$E$238:$AJ$240,1,'USER INPUTS'!$B$4))/100</f>
        <v>0</v>
      </c>
      <c r="L181" s="150">
        <f>K181*(100+INDEX(DEFAULT!$E$238:$AJ$240,1,'USER INPUTS'!$B$4))/100</f>
        <v>0</v>
      </c>
      <c r="M181" s="150">
        <f>L181*(100+INDEX(DEFAULT!$E$238:$AJ$240,1,'USER INPUTS'!$B$4))/100</f>
        <v>0</v>
      </c>
      <c r="N181" s="150">
        <f>M181*(100+INDEX(DEFAULT!$E$238:$AJ$240,1,'USER INPUTS'!$B$4))/100</f>
        <v>0</v>
      </c>
      <c r="O181" s="150">
        <f>N181*(100+INDEX(DEFAULT!$E$238:$AJ$240,2,'USER INPUTS'!$B$4))/100</f>
        <v>0</v>
      </c>
      <c r="P181" s="150">
        <f>O181*(100+INDEX(DEFAULT!$E$238:$AJ$240,2,'USER INPUTS'!$B$4))/100</f>
        <v>0</v>
      </c>
      <c r="Q181" s="150">
        <f>P181*(100+INDEX(DEFAULT!$E$238:$AJ$240,2,'USER INPUTS'!$B$4))/100</f>
        <v>0</v>
      </c>
      <c r="R181" s="150">
        <f>Q181*(100+INDEX(DEFAULT!$E$238:$AJ$240,2,'USER INPUTS'!$B$4))/100</f>
        <v>0</v>
      </c>
      <c r="S181" s="150">
        <f>R181*(100+INDEX(DEFAULT!$E$238:$AJ$240,2,'USER INPUTS'!$B$4))/100</f>
        <v>0</v>
      </c>
      <c r="T181" s="150">
        <f>S181*(100+INDEX(DEFAULT!$E$238:$AJ$240,2,'USER INPUTS'!$B$4))/100</f>
        <v>0</v>
      </c>
      <c r="U181" s="150">
        <f>T181*(100+INDEX(DEFAULT!$E$238:$AJ$240,2,'USER INPUTS'!$B$4))/100</f>
        <v>0</v>
      </c>
      <c r="V181" s="150">
        <f>U181*(100+INDEX(DEFAULT!$E$238:$AJ$240,2,'USER INPUTS'!$B$4))/100</f>
        <v>0</v>
      </c>
      <c r="W181" s="150">
        <f>V181*(100+INDEX(DEFAULT!$E$238:$AJ$240,2,'USER INPUTS'!$B$4))/100</f>
        <v>0</v>
      </c>
      <c r="X181" s="150">
        <f>W181*(100+INDEX(DEFAULT!$E$238:$AJ$240,2,'USER INPUTS'!$B$4))/100</f>
        <v>0</v>
      </c>
      <c r="Y181" s="150">
        <f>X181*(100+INDEX(DEFAULT!$E$238:$AJ$240,3,'USER INPUTS'!$B$4))/100</f>
        <v>0</v>
      </c>
      <c r="Z181" s="150">
        <f>Y181*(100+INDEX(DEFAULT!$E$238:$AJ$240,3,'USER INPUTS'!$B$4))/100</f>
        <v>0</v>
      </c>
      <c r="AA181" s="150">
        <f>Z181*(100+INDEX(DEFAULT!$E$238:$AJ$240,3,'USER INPUTS'!$B$4))/100</f>
        <v>0</v>
      </c>
      <c r="AB181" s="150">
        <f>AA181*(100+INDEX(DEFAULT!$E$238:$AJ$240,3,'USER INPUTS'!$B$4))/100</f>
        <v>0</v>
      </c>
      <c r="AC181" s="150">
        <f>AB181*(100+INDEX(DEFAULT!$E$238:$AJ$240,3,'USER INPUTS'!$B$4))/100</f>
        <v>0</v>
      </c>
      <c r="AD181" s="150">
        <f>AC181*(100+INDEX(DEFAULT!$E$238:$AJ$240,3,'USER INPUTS'!$B$4))/100</f>
        <v>0</v>
      </c>
      <c r="AE181" s="150">
        <f>AD181*(100+INDEX(DEFAULT!$E$238:$AJ$240,3,'USER INPUTS'!$B$4))/100</f>
        <v>0</v>
      </c>
      <c r="AF181" s="150">
        <f>AE181*(100+INDEX(DEFAULT!$E$238:$AJ$240,3,'USER INPUTS'!$B$4))/100</f>
        <v>0</v>
      </c>
      <c r="AG181" s="150">
        <f>AF181*(100+INDEX(DEFAULT!$E$238:$AJ$240,3,'USER INPUTS'!$B$4))/100</f>
        <v>0</v>
      </c>
      <c r="AH181" s="150">
        <f>AG181*(100+INDEX(DEFAULT!$E$238:$AJ$240,3,'USER INPUTS'!$B$4))/100</f>
        <v>0</v>
      </c>
      <c r="AI181" s="139"/>
      <c r="AJ181" s="133"/>
    </row>
    <row r="182" spans="1:36" s="134" customFormat="1">
      <c r="A182" s="243" t="str">
        <f>INDEX(DEFAULT!$E$274:$AJ$331,30,'USER INPUTS'!$B$4)</f>
        <v>-</v>
      </c>
      <c r="B182" s="294"/>
      <c r="C182" s="100">
        <f>'USER INPUTS'!I42</f>
        <v>0</v>
      </c>
      <c r="D182" s="295"/>
      <c r="E182" s="150">
        <f>(INDEX(DEFAULT!$E$339:$AJ$396,30,'USER INPUTS'!$B$4)/100)*($C182/100)*E$133</f>
        <v>0</v>
      </c>
      <c r="F182" s="150">
        <f>E182*(100+INDEX(DEFAULT!$E$238:$AJ$240,1,'USER INPUTS'!$B$4))/100</f>
        <v>0</v>
      </c>
      <c r="G182" s="150">
        <f>F182*(100+INDEX(DEFAULT!$E$238:$AJ$240,1,'USER INPUTS'!$B$4))/100</f>
        <v>0</v>
      </c>
      <c r="H182" s="150">
        <f>G182*(100+INDEX(DEFAULT!$E$238:$AJ$240,1,'USER INPUTS'!$B$4))/100</f>
        <v>0</v>
      </c>
      <c r="I182" s="150">
        <f>H182*(100+INDEX(DEFAULT!$E$238:$AJ$240,1,'USER INPUTS'!$B$4))/100</f>
        <v>0</v>
      </c>
      <c r="J182" s="150">
        <f>I182*(100+INDEX(DEFAULT!$E$238:$AJ$240,1,'USER INPUTS'!$B$4))/100</f>
        <v>0</v>
      </c>
      <c r="K182" s="150">
        <f>J182*(100+INDEX(DEFAULT!$E$238:$AJ$240,1,'USER INPUTS'!$B$4))/100</f>
        <v>0</v>
      </c>
      <c r="L182" s="150">
        <f>K182*(100+INDEX(DEFAULT!$E$238:$AJ$240,1,'USER INPUTS'!$B$4))/100</f>
        <v>0</v>
      </c>
      <c r="M182" s="150">
        <f>L182*(100+INDEX(DEFAULT!$E$238:$AJ$240,1,'USER INPUTS'!$B$4))/100</f>
        <v>0</v>
      </c>
      <c r="N182" s="150">
        <f>M182*(100+INDEX(DEFAULT!$E$238:$AJ$240,1,'USER INPUTS'!$B$4))/100</f>
        <v>0</v>
      </c>
      <c r="O182" s="150">
        <f>N182*(100+INDEX(DEFAULT!$E$238:$AJ$240,2,'USER INPUTS'!$B$4))/100</f>
        <v>0</v>
      </c>
      <c r="P182" s="150">
        <f>O182*(100+INDEX(DEFAULT!$E$238:$AJ$240,2,'USER INPUTS'!$B$4))/100</f>
        <v>0</v>
      </c>
      <c r="Q182" s="150">
        <f>P182*(100+INDEX(DEFAULT!$E$238:$AJ$240,2,'USER INPUTS'!$B$4))/100</f>
        <v>0</v>
      </c>
      <c r="R182" s="150">
        <f>Q182*(100+INDEX(DEFAULT!$E$238:$AJ$240,2,'USER INPUTS'!$B$4))/100</f>
        <v>0</v>
      </c>
      <c r="S182" s="150">
        <f>R182*(100+INDEX(DEFAULT!$E$238:$AJ$240,2,'USER INPUTS'!$B$4))/100</f>
        <v>0</v>
      </c>
      <c r="T182" s="150">
        <f>S182*(100+INDEX(DEFAULT!$E$238:$AJ$240,2,'USER INPUTS'!$B$4))/100</f>
        <v>0</v>
      </c>
      <c r="U182" s="150">
        <f>T182*(100+INDEX(DEFAULT!$E$238:$AJ$240,2,'USER INPUTS'!$B$4))/100</f>
        <v>0</v>
      </c>
      <c r="V182" s="150">
        <f>U182*(100+INDEX(DEFAULT!$E$238:$AJ$240,2,'USER INPUTS'!$B$4))/100</f>
        <v>0</v>
      </c>
      <c r="W182" s="150">
        <f>V182*(100+INDEX(DEFAULT!$E$238:$AJ$240,2,'USER INPUTS'!$B$4))/100</f>
        <v>0</v>
      </c>
      <c r="X182" s="150">
        <f>W182*(100+INDEX(DEFAULT!$E$238:$AJ$240,2,'USER INPUTS'!$B$4))/100</f>
        <v>0</v>
      </c>
      <c r="Y182" s="150">
        <f>X182*(100+INDEX(DEFAULT!$E$238:$AJ$240,3,'USER INPUTS'!$B$4))/100</f>
        <v>0</v>
      </c>
      <c r="Z182" s="150">
        <f>Y182*(100+INDEX(DEFAULT!$E$238:$AJ$240,3,'USER INPUTS'!$B$4))/100</f>
        <v>0</v>
      </c>
      <c r="AA182" s="150">
        <f>Z182*(100+INDEX(DEFAULT!$E$238:$AJ$240,3,'USER INPUTS'!$B$4))/100</f>
        <v>0</v>
      </c>
      <c r="AB182" s="150">
        <f>AA182*(100+INDEX(DEFAULT!$E$238:$AJ$240,3,'USER INPUTS'!$B$4))/100</f>
        <v>0</v>
      </c>
      <c r="AC182" s="150">
        <f>AB182*(100+INDEX(DEFAULT!$E$238:$AJ$240,3,'USER INPUTS'!$B$4))/100</f>
        <v>0</v>
      </c>
      <c r="AD182" s="150">
        <f>AC182*(100+INDEX(DEFAULT!$E$238:$AJ$240,3,'USER INPUTS'!$B$4))/100</f>
        <v>0</v>
      </c>
      <c r="AE182" s="150">
        <f>AD182*(100+INDEX(DEFAULT!$E$238:$AJ$240,3,'USER INPUTS'!$B$4))/100</f>
        <v>0</v>
      </c>
      <c r="AF182" s="150">
        <f>AE182*(100+INDEX(DEFAULT!$E$238:$AJ$240,3,'USER INPUTS'!$B$4))/100</f>
        <v>0</v>
      </c>
      <c r="AG182" s="150">
        <f>AF182*(100+INDEX(DEFAULT!$E$238:$AJ$240,3,'USER INPUTS'!$B$4))/100</f>
        <v>0</v>
      </c>
      <c r="AH182" s="150">
        <f>AG182*(100+INDEX(DEFAULT!$E$238:$AJ$240,3,'USER INPUTS'!$B$4))/100</f>
        <v>0</v>
      </c>
      <c r="AI182" s="139"/>
      <c r="AJ182" s="133"/>
    </row>
    <row r="183" spans="1:36" s="134" customFormat="1">
      <c r="A183" s="243" t="str">
        <f>INDEX(DEFAULT!$E$274:$AJ$331,31,'USER INPUTS'!$B$4)</f>
        <v>-</v>
      </c>
      <c r="B183" s="294"/>
      <c r="C183" s="100">
        <f>'USER INPUTS'!I43</f>
        <v>0</v>
      </c>
      <c r="D183" s="295"/>
      <c r="E183" s="150">
        <f>(INDEX(DEFAULT!$E$339:$AJ$396,31,'USER INPUTS'!$B$4)/100)*($C183/100)*E$133</f>
        <v>0</v>
      </c>
      <c r="F183" s="150">
        <f>E183*(100+INDEX(DEFAULT!$E$238:$AJ$240,1,'USER INPUTS'!$B$4))/100</f>
        <v>0</v>
      </c>
      <c r="G183" s="150">
        <f>F183*(100+INDEX(DEFAULT!$E$238:$AJ$240,1,'USER INPUTS'!$B$4))/100</f>
        <v>0</v>
      </c>
      <c r="H183" s="150">
        <f>G183*(100+INDEX(DEFAULT!$E$238:$AJ$240,1,'USER INPUTS'!$B$4))/100</f>
        <v>0</v>
      </c>
      <c r="I183" s="150">
        <f>H183*(100+INDEX(DEFAULT!$E$238:$AJ$240,1,'USER INPUTS'!$B$4))/100</f>
        <v>0</v>
      </c>
      <c r="J183" s="150">
        <f>I183*(100+INDEX(DEFAULT!$E$238:$AJ$240,1,'USER INPUTS'!$B$4))/100</f>
        <v>0</v>
      </c>
      <c r="K183" s="150">
        <f>J183*(100+INDEX(DEFAULT!$E$238:$AJ$240,1,'USER INPUTS'!$B$4))/100</f>
        <v>0</v>
      </c>
      <c r="L183" s="150">
        <f>K183*(100+INDEX(DEFAULT!$E$238:$AJ$240,1,'USER INPUTS'!$B$4))/100</f>
        <v>0</v>
      </c>
      <c r="M183" s="150">
        <f>L183*(100+INDEX(DEFAULT!$E$238:$AJ$240,1,'USER INPUTS'!$B$4))/100</f>
        <v>0</v>
      </c>
      <c r="N183" s="150">
        <f>M183*(100+INDEX(DEFAULT!$E$238:$AJ$240,1,'USER INPUTS'!$B$4))/100</f>
        <v>0</v>
      </c>
      <c r="O183" s="150">
        <f>N183*(100+INDEX(DEFAULT!$E$238:$AJ$240,2,'USER INPUTS'!$B$4))/100</f>
        <v>0</v>
      </c>
      <c r="P183" s="150">
        <f>O183*(100+INDEX(DEFAULT!$E$238:$AJ$240,2,'USER INPUTS'!$B$4))/100</f>
        <v>0</v>
      </c>
      <c r="Q183" s="150">
        <f>P183*(100+INDEX(DEFAULT!$E$238:$AJ$240,2,'USER INPUTS'!$B$4))/100</f>
        <v>0</v>
      </c>
      <c r="R183" s="150">
        <f>Q183*(100+INDEX(DEFAULT!$E$238:$AJ$240,2,'USER INPUTS'!$B$4))/100</f>
        <v>0</v>
      </c>
      <c r="S183" s="150">
        <f>R183*(100+INDEX(DEFAULT!$E$238:$AJ$240,2,'USER INPUTS'!$B$4))/100</f>
        <v>0</v>
      </c>
      <c r="T183" s="150">
        <f>S183*(100+INDEX(DEFAULT!$E$238:$AJ$240,2,'USER INPUTS'!$B$4))/100</f>
        <v>0</v>
      </c>
      <c r="U183" s="150">
        <f>T183*(100+INDEX(DEFAULT!$E$238:$AJ$240,2,'USER INPUTS'!$B$4))/100</f>
        <v>0</v>
      </c>
      <c r="V183" s="150">
        <f>U183*(100+INDEX(DEFAULT!$E$238:$AJ$240,2,'USER INPUTS'!$B$4))/100</f>
        <v>0</v>
      </c>
      <c r="W183" s="150">
        <f>V183*(100+INDEX(DEFAULT!$E$238:$AJ$240,2,'USER INPUTS'!$B$4))/100</f>
        <v>0</v>
      </c>
      <c r="X183" s="150">
        <f>W183*(100+INDEX(DEFAULT!$E$238:$AJ$240,2,'USER INPUTS'!$B$4))/100</f>
        <v>0</v>
      </c>
      <c r="Y183" s="150">
        <f>X183*(100+INDEX(DEFAULT!$E$238:$AJ$240,3,'USER INPUTS'!$B$4))/100</f>
        <v>0</v>
      </c>
      <c r="Z183" s="150">
        <f>Y183*(100+INDEX(DEFAULT!$E$238:$AJ$240,3,'USER INPUTS'!$B$4))/100</f>
        <v>0</v>
      </c>
      <c r="AA183" s="150">
        <f>Z183*(100+INDEX(DEFAULT!$E$238:$AJ$240,3,'USER INPUTS'!$B$4))/100</f>
        <v>0</v>
      </c>
      <c r="AB183" s="150">
        <f>AA183*(100+INDEX(DEFAULT!$E$238:$AJ$240,3,'USER INPUTS'!$B$4))/100</f>
        <v>0</v>
      </c>
      <c r="AC183" s="150">
        <f>AB183*(100+INDEX(DEFAULT!$E$238:$AJ$240,3,'USER INPUTS'!$B$4))/100</f>
        <v>0</v>
      </c>
      <c r="AD183" s="150">
        <f>AC183*(100+INDEX(DEFAULT!$E$238:$AJ$240,3,'USER INPUTS'!$B$4))/100</f>
        <v>0</v>
      </c>
      <c r="AE183" s="150">
        <f>AD183*(100+INDEX(DEFAULT!$E$238:$AJ$240,3,'USER INPUTS'!$B$4))/100</f>
        <v>0</v>
      </c>
      <c r="AF183" s="150">
        <f>AE183*(100+INDEX(DEFAULT!$E$238:$AJ$240,3,'USER INPUTS'!$B$4))/100</f>
        <v>0</v>
      </c>
      <c r="AG183" s="150">
        <f>AF183*(100+INDEX(DEFAULT!$E$238:$AJ$240,3,'USER INPUTS'!$B$4))/100</f>
        <v>0</v>
      </c>
      <c r="AH183" s="150">
        <f>AG183*(100+INDEX(DEFAULT!$E$238:$AJ$240,3,'USER INPUTS'!$B$4))/100</f>
        <v>0</v>
      </c>
      <c r="AI183" s="139"/>
      <c r="AJ183" s="133"/>
    </row>
    <row r="184" spans="1:36" s="134" customFormat="1">
      <c r="A184" s="243" t="str">
        <f>INDEX(DEFAULT!$E$274:$AJ$331,32,'USER INPUTS'!$B$4)</f>
        <v>-</v>
      </c>
      <c r="B184" s="294"/>
      <c r="C184" s="100">
        <f>'USER INPUTS'!I44</f>
        <v>0</v>
      </c>
      <c r="D184" s="295"/>
      <c r="E184" s="150">
        <f>(INDEX(DEFAULT!$E$339:$AJ$396,32,'USER INPUTS'!$B$4)/100)*($C184/100)*E$133</f>
        <v>0</v>
      </c>
      <c r="F184" s="150">
        <f>E184*(100+INDEX(DEFAULT!$E$238:$AJ$240,1,'USER INPUTS'!$B$4))/100</f>
        <v>0</v>
      </c>
      <c r="G184" s="150">
        <f>F184*(100+INDEX(DEFAULT!$E$238:$AJ$240,1,'USER INPUTS'!$B$4))/100</f>
        <v>0</v>
      </c>
      <c r="H184" s="150">
        <f>G184*(100+INDEX(DEFAULT!$E$238:$AJ$240,1,'USER INPUTS'!$B$4))/100</f>
        <v>0</v>
      </c>
      <c r="I184" s="150">
        <f>H184*(100+INDEX(DEFAULT!$E$238:$AJ$240,1,'USER INPUTS'!$B$4))/100</f>
        <v>0</v>
      </c>
      <c r="J184" s="150">
        <f>I184*(100+INDEX(DEFAULT!$E$238:$AJ$240,1,'USER INPUTS'!$B$4))/100</f>
        <v>0</v>
      </c>
      <c r="K184" s="150">
        <f>J184*(100+INDEX(DEFAULT!$E$238:$AJ$240,1,'USER INPUTS'!$B$4))/100</f>
        <v>0</v>
      </c>
      <c r="L184" s="150">
        <f>K184*(100+INDEX(DEFAULT!$E$238:$AJ$240,1,'USER INPUTS'!$B$4))/100</f>
        <v>0</v>
      </c>
      <c r="M184" s="150">
        <f>L184*(100+INDEX(DEFAULT!$E$238:$AJ$240,1,'USER INPUTS'!$B$4))/100</f>
        <v>0</v>
      </c>
      <c r="N184" s="150">
        <f>M184*(100+INDEX(DEFAULT!$E$238:$AJ$240,1,'USER INPUTS'!$B$4))/100</f>
        <v>0</v>
      </c>
      <c r="O184" s="150">
        <f>N184*(100+INDEX(DEFAULT!$E$238:$AJ$240,2,'USER INPUTS'!$B$4))/100</f>
        <v>0</v>
      </c>
      <c r="P184" s="150">
        <f>O184*(100+INDEX(DEFAULT!$E$238:$AJ$240,2,'USER INPUTS'!$B$4))/100</f>
        <v>0</v>
      </c>
      <c r="Q184" s="150">
        <f>P184*(100+INDEX(DEFAULT!$E$238:$AJ$240,2,'USER INPUTS'!$B$4))/100</f>
        <v>0</v>
      </c>
      <c r="R184" s="150">
        <f>Q184*(100+INDEX(DEFAULT!$E$238:$AJ$240,2,'USER INPUTS'!$B$4))/100</f>
        <v>0</v>
      </c>
      <c r="S184" s="150">
        <f>R184*(100+INDEX(DEFAULT!$E$238:$AJ$240,2,'USER INPUTS'!$B$4))/100</f>
        <v>0</v>
      </c>
      <c r="T184" s="150">
        <f>S184*(100+INDEX(DEFAULT!$E$238:$AJ$240,2,'USER INPUTS'!$B$4))/100</f>
        <v>0</v>
      </c>
      <c r="U184" s="150">
        <f>T184*(100+INDEX(DEFAULT!$E$238:$AJ$240,2,'USER INPUTS'!$B$4))/100</f>
        <v>0</v>
      </c>
      <c r="V184" s="150">
        <f>U184*(100+INDEX(DEFAULT!$E$238:$AJ$240,2,'USER INPUTS'!$B$4))/100</f>
        <v>0</v>
      </c>
      <c r="W184" s="150">
        <f>V184*(100+INDEX(DEFAULT!$E$238:$AJ$240,2,'USER INPUTS'!$B$4))/100</f>
        <v>0</v>
      </c>
      <c r="X184" s="150">
        <f>W184*(100+INDEX(DEFAULT!$E$238:$AJ$240,2,'USER INPUTS'!$B$4))/100</f>
        <v>0</v>
      </c>
      <c r="Y184" s="150">
        <f>X184*(100+INDEX(DEFAULT!$E$238:$AJ$240,3,'USER INPUTS'!$B$4))/100</f>
        <v>0</v>
      </c>
      <c r="Z184" s="150">
        <f>Y184*(100+INDEX(DEFAULT!$E$238:$AJ$240,3,'USER INPUTS'!$B$4))/100</f>
        <v>0</v>
      </c>
      <c r="AA184" s="150">
        <f>Z184*(100+INDEX(DEFAULT!$E$238:$AJ$240,3,'USER INPUTS'!$B$4))/100</f>
        <v>0</v>
      </c>
      <c r="AB184" s="150">
        <f>AA184*(100+INDEX(DEFAULT!$E$238:$AJ$240,3,'USER INPUTS'!$B$4))/100</f>
        <v>0</v>
      </c>
      <c r="AC184" s="150">
        <f>AB184*(100+INDEX(DEFAULT!$E$238:$AJ$240,3,'USER INPUTS'!$B$4))/100</f>
        <v>0</v>
      </c>
      <c r="AD184" s="150">
        <f>AC184*(100+INDEX(DEFAULT!$E$238:$AJ$240,3,'USER INPUTS'!$B$4))/100</f>
        <v>0</v>
      </c>
      <c r="AE184" s="150">
        <f>AD184*(100+INDEX(DEFAULT!$E$238:$AJ$240,3,'USER INPUTS'!$B$4))/100</f>
        <v>0</v>
      </c>
      <c r="AF184" s="150">
        <f>AE184*(100+INDEX(DEFAULT!$E$238:$AJ$240,3,'USER INPUTS'!$B$4))/100</f>
        <v>0</v>
      </c>
      <c r="AG184" s="150">
        <f>AF184*(100+INDEX(DEFAULT!$E$238:$AJ$240,3,'USER INPUTS'!$B$4))/100</f>
        <v>0</v>
      </c>
      <c r="AH184" s="150">
        <f>AG184*(100+INDEX(DEFAULT!$E$238:$AJ$240,3,'USER INPUTS'!$B$4))/100</f>
        <v>0</v>
      </c>
      <c r="AI184" s="139"/>
      <c r="AJ184" s="133"/>
    </row>
    <row r="185" spans="1:36" s="134" customFormat="1">
      <c r="A185" s="243" t="str">
        <f>INDEX(DEFAULT!$E$274:$AJ$331,33,'USER INPUTS'!$B$4)</f>
        <v>-</v>
      </c>
      <c r="B185" s="294"/>
      <c r="C185" s="100">
        <f>'USER INPUTS'!I45</f>
        <v>0</v>
      </c>
      <c r="D185" s="295"/>
      <c r="E185" s="150">
        <f>(INDEX(DEFAULT!$E$339:$AJ$396,33,'USER INPUTS'!$B$4)/100)*($C185/100)*E$133</f>
        <v>0</v>
      </c>
      <c r="F185" s="150">
        <f>E185*(100+INDEX(DEFAULT!$E$238:$AJ$240,1,'USER INPUTS'!$B$4))/100</f>
        <v>0</v>
      </c>
      <c r="G185" s="150">
        <f>F185*(100+INDEX(DEFAULT!$E$238:$AJ$240,1,'USER INPUTS'!$B$4))/100</f>
        <v>0</v>
      </c>
      <c r="H185" s="150">
        <f>G185*(100+INDEX(DEFAULT!$E$238:$AJ$240,1,'USER INPUTS'!$B$4))/100</f>
        <v>0</v>
      </c>
      <c r="I185" s="150">
        <f>H185*(100+INDEX(DEFAULT!$E$238:$AJ$240,1,'USER INPUTS'!$B$4))/100</f>
        <v>0</v>
      </c>
      <c r="J185" s="150">
        <f>I185*(100+INDEX(DEFAULT!$E$238:$AJ$240,1,'USER INPUTS'!$B$4))/100</f>
        <v>0</v>
      </c>
      <c r="K185" s="150">
        <f>J185*(100+INDEX(DEFAULT!$E$238:$AJ$240,1,'USER INPUTS'!$B$4))/100</f>
        <v>0</v>
      </c>
      <c r="L185" s="150">
        <f>K185*(100+INDEX(DEFAULT!$E$238:$AJ$240,1,'USER INPUTS'!$B$4))/100</f>
        <v>0</v>
      </c>
      <c r="M185" s="150">
        <f>L185*(100+INDEX(DEFAULT!$E$238:$AJ$240,1,'USER INPUTS'!$B$4))/100</f>
        <v>0</v>
      </c>
      <c r="N185" s="150">
        <f>M185*(100+INDEX(DEFAULT!$E$238:$AJ$240,1,'USER INPUTS'!$B$4))/100</f>
        <v>0</v>
      </c>
      <c r="O185" s="150">
        <f>N185*(100+INDEX(DEFAULT!$E$238:$AJ$240,2,'USER INPUTS'!$B$4))/100</f>
        <v>0</v>
      </c>
      <c r="P185" s="150">
        <f>O185*(100+INDEX(DEFAULT!$E$238:$AJ$240,2,'USER INPUTS'!$B$4))/100</f>
        <v>0</v>
      </c>
      <c r="Q185" s="150">
        <f>P185*(100+INDEX(DEFAULT!$E$238:$AJ$240,2,'USER INPUTS'!$B$4))/100</f>
        <v>0</v>
      </c>
      <c r="R185" s="150">
        <f>Q185*(100+INDEX(DEFAULT!$E$238:$AJ$240,2,'USER INPUTS'!$B$4))/100</f>
        <v>0</v>
      </c>
      <c r="S185" s="150">
        <f>R185*(100+INDEX(DEFAULT!$E$238:$AJ$240,2,'USER INPUTS'!$B$4))/100</f>
        <v>0</v>
      </c>
      <c r="T185" s="150">
        <f>S185*(100+INDEX(DEFAULT!$E$238:$AJ$240,2,'USER INPUTS'!$B$4))/100</f>
        <v>0</v>
      </c>
      <c r="U185" s="150">
        <f>T185*(100+INDEX(DEFAULT!$E$238:$AJ$240,2,'USER INPUTS'!$B$4))/100</f>
        <v>0</v>
      </c>
      <c r="V185" s="150">
        <f>U185*(100+INDEX(DEFAULT!$E$238:$AJ$240,2,'USER INPUTS'!$B$4))/100</f>
        <v>0</v>
      </c>
      <c r="W185" s="150">
        <f>V185*(100+INDEX(DEFAULT!$E$238:$AJ$240,2,'USER INPUTS'!$B$4))/100</f>
        <v>0</v>
      </c>
      <c r="X185" s="150">
        <f>W185*(100+INDEX(DEFAULT!$E$238:$AJ$240,2,'USER INPUTS'!$B$4))/100</f>
        <v>0</v>
      </c>
      <c r="Y185" s="150">
        <f>X185*(100+INDEX(DEFAULT!$E$238:$AJ$240,3,'USER INPUTS'!$B$4))/100</f>
        <v>0</v>
      </c>
      <c r="Z185" s="150">
        <f>Y185*(100+INDEX(DEFAULT!$E$238:$AJ$240,3,'USER INPUTS'!$B$4))/100</f>
        <v>0</v>
      </c>
      <c r="AA185" s="150">
        <f>Z185*(100+INDEX(DEFAULT!$E$238:$AJ$240,3,'USER INPUTS'!$B$4))/100</f>
        <v>0</v>
      </c>
      <c r="AB185" s="150">
        <f>AA185*(100+INDEX(DEFAULT!$E$238:$AJ$240,3,'USER INPUTS'!$B$4))/100</f>
        <v>0</v>
      </c>
      <c r="AC185" s="150">
        <f>AB185*(100+INDEX(DEFAULT!$E$238:$AJ$240,3,'USER INPUTS'!$B$4))/100</f>
        <v>0</v>
      </c>
      <c r="AD185" s="150">
        <f>AC185*(100+INDEX(DEFAULT!$E$238:$AJ$240,3,'USER INPUTS'!$B$4))/100</f>
        <v>0</v>
      </c>
      <c r="AE185" s="150">
        <f>AD185*(100+INDEX(DEFAULT!$E$238:$AJ$240,3,'USER INPUTS'!$B$4))/100</f>
        <v>0</v>
      </c>
      <c r="AF185" s="150">
        <f>AE185*(100+INDEX(DEFAULT!$E$238:$AJ$240,3,'USER INPUTS'!$B$4))/100</f>
        <v>0</v>
      </c>
      <c r="AG185" s="150">
        <f>AF185*(100+INDEX(DEFAULT!$E$238:$AJ$240,3,'USER INPUTS'!$B$4))/100</f>
        <v>0</v>
      </c>
      <c r="AH185" s="150">
        <f>AG185*(100+INDEX(DEFAULT!$E$238:$AJ$240,3,'USER INPUTS'!$B$4))/100</f>
        <v>0</v>
      </c>
      <c r="AI185" s="139"/>
      <c r="AJ185" s="133"/>
    </row>
    <row r="186" spans="1:36" s="134" customFormat="1">
      <c r="A186" s="243" t="str">
        <f>INDEX(DEFAULT!$E$274:$AJ$331,34,'USER INPUTS'!$B$4)</f>
        <v>-</v>
      </c>
      <c r="B186" s="294"/>
      <c r="C186" s="100">
        <f>'USER INPUTS'!I46</f>
        <v>0</v>
      </c>
      <c r="D186" s="295"/>
      <c r="E186" s="150">
        <f>(INDEX(DEFAULT!$E$339:$AJ$396,34,'USER INPUTS'!$B$4)/100)*($C186/100)*E$133</f>
        <v>0</v>
      </c>
      <c r="F186" s="150">
        <f>E186*(100+INDEX(DEFAULT!$E$238:$AJ$240,1,'USER INPUTS'!$B$4))/100</f>
        <v>0</v>
      </c>
      <c r="G186" s="150">
        <f>F186*(100+INDEX(DEFAULT!$E$238:$AJ$240,1,'USER INPUTS'!$B$4))/100</f>
        <v>0</v>
      </c>
      <c r="H186" s="150">
        <f>G186*(100+INDEX(DEFAULT!$E$238:$AJ$240,1,'USER INPUTS'!$B$4))/100</f>
        <v>0</v>
      </c>
      <c r="I186" s="150">
        <f>H186*(100+INDEX(DEFAULT!$E$238:$AJ$240,1,'USER INPUTS'!$B$4))/100</f>
        <v>0</v>
      </c>
      <c r="J186" s="150">
        <f>I186*(100+INDEX(DEFAULT!$E$238:$AJ$240,1,'USER INPUTS'!$B$4))/100</f>
        <v>0</v>
      </c>
      <c r="K186" s="150">
        <f>J186*(100+INDEX(DEFAULT!$E$238:$AJ$240,1,'USER INPUTS'!$B$4))/100</f>
        <v>0</v>
      </c>
      <c r="L186" s="150">
        <f>K186*(100+INDEX(DEFAULT!$E$238:$AJ$240,1,'USER INPUTS'!$B$4))/100</f>
        <v>0</v>
      </c>
      <c r="M186" s="150">
        <f>L186*(100+INDEX(DEFAULT!$E$238:$AJ$240,1,'USER INPUTS'!$B$4))/100</f>
        <v>0</v>
      </c>
      <c r="N186" s="150">
        <f>M186*(100+INDEX(DEFAULT!$E$238:$AJ$240,1,'USER INPUTS'!$B$4))/100</f>
        <v>0</v>
      </c>
      <c r="O186" s="150">
        <f>N186*(100+INDEX(DEFAULT!$E$238:$AJ$240,2,'USER INPUTS'!$B$4))/100</f>
        <v>0</v>
      </c>
      <c r="P186" s="150">
        <f>O186*(100+INDEX(DEFAULT!$E$238:$AJ$240,2,'USER INPUTS'!$B$4))/100</f>
        <v>0</v>
      </c>
      <c r="Q186" s="150">
        <f>P186*(100+INDEX(DEFAULT!$E$238:$AJ$240,2,'USER INPUTS'!$B$4))/100</f>
        <v>0</v>
      </c>
      <c r="R186" s="150">
        <f>Q186*(100+INDEX(DEFAULT!$E$238:$AJ$240,2,'USER INPUTS'!$B$4))/100</f>
        <v>0</v>
      </c>
      <c r="S186" s="150">
        <f>R186*(100+INDEX(DEFAULT!$E$238:$AJ$240,2,'USER INPUTS'!$B$4))/100</f>
        <v>0</v>
      </c>
      <c r="T186" s="150">
        <f>S186*(100+INDEX(DEFAULT!$E$238:$AJ$240,2,'USER INPUTS'!$B$4))/100</f>
        <v>0</v>
      </c>
      <c r="U186" s="150">
        <f>T186*(100+INDEX(DEFAULT!$E$238:$AJ$240,2,'USER INPUTS'!$B$4))/100</f>
        <v>0</v>
      </c>
      <c r="V186" s="150">
        <f>U186*(100+INDEX(DEFAULT!$E$238:$AJ$240,2,'USER INPUTS'!$B$4))/100</f>
        <v>0</v>
      </c>
      <c r="W186" s="150">
        <f>V186*(100+INDEX(DEFAULT!$E$238:$AJ$240,2,'USER INPUTS'!$B$4))/100</f>
        <v>0</v>
      </c>
      <c r="X186" s="150">
        <f>W186*(100+INDEX(DEFAULT!$E$238:$AJ$240,2,'USER INPUTS'!$B$4))/100</f>
        <v>0</v>
      </c>
      <c r="Y186" s="150">
        <f>X186*(100+INDEX(DEFAULT!$E$238:$AJ$240,3,'USER INPUTS'!$B$4))/100</f>
        <v>0</v>
      </c>
      <c r="Z186" s="150">
        <f>Y186*(100+INDEX(DEFAULT!$E$238:$AJ$240,3,'USER INPUTS'!$B$4))/100</f>
        <v>0</v>
      </c>
      <c r="AA186" s="150">
        <f>Z186*(100+INDEX(DEFAULT!$E$238:$AJ$240,3,'USER INPUTS'!$B$4))/100</f>
        <v>0</v>
      </c>
      <c r="AB186" s="150">
        <f>AA186*(100+INDEX(DEFAULT!$E$238:$AJ$240,3,'USER INPUTS'!$B$4))/100</f>
        <v>0</v>
      </c>
      <c r="AC186" s="150">
        <f>AB186*(100+INDEX(DEFAULT!$E$238:$AJ$240,3,'USER INPUTS'!$B$4))/100</f>
        <v>0</v>
      </c>
      <c r="AD186" s="150">
        <f>AC186*(100+INDEX(DEFAULT!$E$238:$AJ$240,3,'USER INPUTS'!$B$4))/100</f>
        <v>0</v>
      </c>
      <c r="AE186" s="150">
        <f>AD186*(100+INDEX(DEFAULT!$E$238:$AJ$240,3,'USER INPUTS'!$B$4))/100</f>
        <v>0</v>
      </c>
      <c r="AF186" s="150">
        <f>AE186*(100+INDEX(DEFAULT!$E$238:$AJ$240,3,'USER INPUTS'!$B$4))/100</f>
        <v>0</v>
      </c>
      <c r="AG186" s="150">
        <f>AF186*(100+INDEX(DEFAULT!$E$238:$AJ$240,3,'USER INPUTS'!$B$4))/100</f>
        <v>0</v>
      </c>
      <c r="AH186" s="150">
        <f>AG186*(100+INDEX(DEFAULT!$E$238:$AJ$240,3,'USER INPUTS'!$B$4))/100</f>
        <v>0</v>
      </c>
      <c r="AI186" s="139"/>
      <c r="AJ186" s="133"/>
    </row>
    <row r="187" spans="1:36" s="134" customFormat="1">
      <c r="A187" s="243" t="str">
        <f>INDEX(DEFAULT!$E$274:$AJ$331,35,'USER INPUTS'!$B$4)</f>
        <v>-</v>
      </c>
      <c r="B187" s="294"/>
      <c r="C187" s="100">
        <f>'USER INPUTS'!I47</f>
        <v>0</v>
      </c>
      <c r="D187" s="295"/>
      <c r="E187" s="150">
        <f>(INDEX(DEFAULT!$E$339:$AJ$396,35,'USER INPUTS'!$B$4)/100)*($C187/100)*E$133</f>
        <v>0</v>
      </c>
      <c r="F187" s="150">
        <f>E187*(100+INDEX(DEFAULT!$E$238:$AJ$240,1,'USER INPUTS'!$B$4))/100</f>
        <v>0</v>
      </c>
      <c r="G187" s="150">
        <f>F187*(100+INDEX(DEFAULT!$E$238:$AJ$240,1,'USER INPUTS'!$B$4))/100</f>
        <v>0</v>
      </c>
      <c r="H187" s="150">
        <f>G187*(100+INDEX(DEFAULT!$E$238:$AJ$240,1,'USER INPUTS'!$B$4))/100</f>
        <v>0</v>
      </c>
      <c r="I187" s="150">
        <f>H187*(100+INDEX(DEFAULT!$E$238:$AJ$240,1,'USER INPUTS'!$B$4))/100</f>
        <v>0</v>
      </c>
      <c r="J187" s="150">
        <f>I187*(100+INDEX(DEFAULT!$E$238:$AJ$240,1,'USER INPUTS'!$B$4))/100</f>
        <v>0</v>
      </c>
      <c r="K187" s="150">
        <f>J187*(100+INDEX(DEFAULT!$E$238:$AJ$240,1,'USER INPUTS'!$B$4))/100</f>
        <v>0</v>
      </c>
      <c r="L187" s="150">
        <f>K187*(100+INDEX(DEFAULT!$E$238:$AJ$240,1,'USER INPUTS'!$B$4))/100</f>
        <v>0</v>
      </c>
      <c r="M187" s="150">
        <f>L187*(100+INDEX(DEFAULT!$E$238:$AJ$240,1,'USER INPUTS'!$B$4))/100</f>
        <v>0</v>
      </c>
      <c r="N187" s="150">
        <f>M187*(100+INDEX(DEFAULT!$E$238:$AJ$240,1,'USER INPUTS'!$B$4))/100</f>
        <v>0</v>
      </c>
      <c r="O187" s="150">
        <f>N187*(100+INDEX(DEFAULT!$E$238:$AJ$240,2,'USER INPUTS'!$B$4))/100</f>
        <v>0</v>
      </c>
      <c r="P187" s="150">
        <f>O187*(100+INDEX(DEFAULT!$E$238:$AJ$240,2,'USER INPUTS'!$B$4))/100</f>
        <v>0</v>
      </c>
      <c r="Q187" s="150">
        <f>P187*(100+INDEX(DEFAULT!$E$238:$AJ$240,2,'USER INPUTS'!$B$4))/100</f>
        <v>0</v>
      </c>
      <c r="R187" s="150">
        <f>Q187*(100+INDEX(DEFAULT!$E$238:$AJ$240,2,'USER INPUTS'!$B$4))/100</f>
        <v>0</v>
      </c>
      <c r="S187" s="150">
        <f>R187*(100+INDEX(DEFAULT!$E$238:$AJ$240,2,'USER INPUTS'!$B$4))/100</f>
        <v>0</v>
      </c>
      <c r="T187" s="150">
        <f>S187*(100+INDEX(DEFAULT!$E$238:$AJ$240,2,'USER INPUTS'!$B$4))/100</f>
        <v>0</v>
      </c>
      <c r="U187" s="150">
        <f>T187*(100+INDEX(DEFAULT!$E$238:$AJ$240,2,'USER INPUTS'!$B$4))/100</f>
        <v>0</v>
      </c>
      <c r="V187" s="150">
        <f>U187*(100+INDEX(DEFAULT!$E$238:$AJ$240,2,'USER INPUTS'!$B$4))/100</f>
        <v>0</v>
      </c>
      <c r="W187" s="150">
        <f>V187*(100+INDEX(DEFAULT!$E$238:$AJ$240,2,'USER INPUTS'!$B$4))/100</f>
        <v>0</v>
      </c>
      <c r="X187" s="150">
        <f>W187*(100+INDEX(DEFAULT!$E$238:$AJ$240,2,'USER INPUTS'!$B$4))/100</f>
        <v>0</v>
      </c>
      <c r="Y187" s="150">
        <f>X187*(100+INDEX(DEFAULT!$E$238:$AJ$240,3,'USER INPUTS'!$B$4))/100</f>
        <v>0</v>
      </c>
      <c r="Z187" s="150">
        <f>Y187*(100+INDEX(DEFAULT!$E$238:$AJ$240,3,'USER INPUTS'!$B$4))/100</f>
        <v>0</v>
      </c>
      <c r="AA187" s="150">
        <f>Z187*(100+INDEX(DEFAULT!$E$238:$AJ$240,3,'USER INPUTS'!$B$4))/100</f>
        <v>0</v>
      </c>
      <c r="AB187" s="150">
        <f>AA187*(100+INDEX(DEFAULT!$E$238:$AJ$240,3,'USER INPUTS'!$B$4))/100</f>
        <v>0</v>
      </c>
      <c r="AC187" s="150">
        <f>AB187*(100+INDEX(DEFAULT!$E$238:$AJ$240,3,'USER INPUTS'!$B$4))/100</f>
        <v>0</v>
      </c>
      <c r="AD187" s="150">
        <f>AC187*(100+INDEX(DEFAULT!$E$238:$AJ$240,3,'USER INPUTS'!$B$4))/100</f>
        <v>0</v>
      </c>
      <c r="AE187" s="150">
        <f>AD187*(100+INDEX(DEFAULT!$E$238:$AJ$240,3,'USER INPUTS'!$B$4))/100</f>
        <v>0</v>
      </c>
      <c r="AF187" s="150">
        <f>AE187*(100+INDEX(DEFAULT!$E$238:$AJ$240,3,'USER INPUTS'!$B$4))/100</f>
        <v>0</v>
      </c>
      <c r="AG187" s="150">
        <f>AF187*(100+INDEX(DEFAULT!$E$238:$AJ$240,3,'USER INPUTS'!$B$4))/100</f>
        <v>0</v>
      </c>
      <c r="AH187" s="150">
        <f>AG187*(100+INDEX(DEFAULT!$E$238:$AJ$240,3,'USER INPUTS'!$B$4))/100</f>
        <v>0</v>
      </c>
      <c r="AI187" s="139"/>
      <c r="AJ187" s="133"/>
    </row>
    <row r="188" spans="1:36" s="134" customFormat="1">
      <c r="A188" s="243" t="str">
        <f>INDEX(DEFAULT!$E$274:$AJ$331,36,'USER INPUTS'!$B$4)</f>
        <v>-</v>
      </c>
      <c r="B188" s="294"/>
      <c r="C188" s="100">
        <f>'USER INPUTS'!I48</f>
        <v>0</v>
      </c>
      <c r="D188" s="295"/>
      <c r="E188" s="150">
        <f>(INDEX(DEFAULT!$E$339:$AJ$396,36,'USER INPUTS'!$B$4)/100)*($C188/100)*E$133</f>
        <v>0</v>
      </c>
      <c r="F188" s="150">
        <f>E188*(100+INDEX(DEFAULT!$E$238:$AJ$240,1,'USER INPUTS'!$B$4))/100</f>
        <v>0</v>
      </c>
      <c r="G188" s="150">
        <f>F188*(100+INDEX(DEFAULT!$E$238:$AJ$240,1,'USER INPUTS'!$B$4))/100</f>
        <v>0</v>
      </c>
      <c r="H188" s="150">
        <f>G188*(100+INDEX(DEFAULT!$E$238:$AJ$240,1,'USER INPUTS'!$B$4))/100</f>
        <v>0</v>
      </c>
      <c r="I188" s="150">
        <f>H188*(100+INDEX(DEFAULT!$E$238:$AJ$240,1,'USER INPUTS'!$B$4))/100</f>
        <v>0</v>
      </c>
      <c r="J188" s="150">
        <f>I188*(100+INDEX(DEFAULT!$E$238:$AJ$240,1,'USER INPUTS'!$B$4))/100</f>
        <v>0</v>
      </c>
      <c r="K188" s="150">
        <f>J188*(100+INDEX(DEFAULT!$E$238:$AJ$240,1,'USER INPUTS'!$B$4))/100</f>
        <v>0</v>
      </c>
      <c r="L188" s="150">
        <f>K188*(100+INDEX(DEFAULT!$E$238:$AJ$240,1,'USER INPUTS'!$B$4))/100</f>
        <v>0</v>
      </c>
      <c r="M188" s="150">
        <f>L188*(100+INDEX(DEFAULT!$E$238:$AJ$240,1,'USER INPUTS'!$B$4))/100</f>
        <v>0</v>
      </c>
      <c r="N188" s="150">
        <f>M188*(100+INDEX(DEFAULT!$E$238:$AJ$240,1,'USER INPUTS'!$B$4))/100</f>
        <v>0</v>
      </c>
      <c r="O188" s="150">
        <f>N188*(100+INDEX(DEFAULT!$E$238:$AJ$240,2,'USER INPUTS'!$B$4))/100</f>
        <v>0</v>
      </c>
      <c r="P188" s="150">
        <f>O188*(100+INDEX(DEFAULT!$E$238:$AJ$240,2,'USER INPUTS'!$B$4))/100</f>
        <v>0</v>
      </c>
      <c r="Q188" s="150">
        <f>P188*(100+INDEX(DEFAULT!$E$238:$AJ$240,2,'USER INPUTS'!$B$4))/100</f>
        <v>0</v>
      </c>
      <c r="R188" s="150">
        <f>Q188*(100+INDEX(DEFAULT!$E$238:$AJ$240,2,'USER INPUTS'!$B$4))/100</f>
        <v>0</v>
      </c>
      <c r="S188" s="150">
        <f>R188*(100+INDEX(DEFAULT!$E$238:$AJ$240,2,'USER INPUTS'!$B$4))/100</f>
        <v>0</v>
      </c>
      <c r="T188" s="150">
        <f>S188*(100+INDEX(DEFAULT!$E$238:$AJ$240,2,'USER INPUTS'!$B$4))/100</f>
        <v>0</v>
      </c>
      <c r="U188" s="150">
        <f>T188*(100+INDEX(DEFAULT!$E$238:$AJ$240,2,'USER INPUTS'!$B$4))/100</f>
        <v>0</v>
      </c>
      <c r="V188" s="150">
        <f>U188*(100+INDEX(DEFAULT!$E$238:$AJ$240,2,'USER INPUTS'!$B$4))/100</f>
        <v>0</v>
      </c>
      <c r="W188" s="150">
        <f>V188*(100+INDEX(DEFAULT!$E$238:$AJ$240,2,'USER INPUTS'!$B$4))/100</f>
        <v>0</v>
      </c>
      <c r="X188" s="150">
        <f>W188*(100+INDEX(DEFAULT!$E$238:$AJ$240,2,'USER INPUTS'!$B$4))/100</f>
        <v>0</v>
      </c>
      <c r="Y188" s="150">
        <f>X188*(100+INDEX(DEFAULT!$E$238:$AJ$240,3,'USER INPUTS'!$B$4))/100</f>
        <v>0</v>
      </c>
      <c r="Z188" s="150">
        <f>Y188*(100+INDEX(DEFAULT!$E$238:$AJ$240,3,'USER INPUTS'!$B$4))/100</f>
        <v>0</v>
      </c>
      <c r="AA188" s="150">
        <f>Z188*(100+INDEX(DEFAULT!$E$238:$AJ$240,3,'USER INPUTS'!$B$4))/100</f>
        <v>0</v>
      </c>
      <c r="AB188" s="150">
        <f>AA188*(100+INDEX(DEFAULT!$E$238:$AJ$240,3,'USER INPUTS'!$B$4))/100</f>
        <v>0</v>
      </c>
      <c r="AC188" s="150">
        <f>AB188*(100+INDEX(DEFAULT!$E$238:$AJ$240,3,'USER INPUTS'!$B$4))/100</f>
        <v>0</v>
      </c>
      <c r="AD188" s="150">
        <f>AC188*(100+INDEX(DEFAULT!$E$238:$AJ$240,3,'USER INPUTS'!$B$4))/100</f>
        <v>0</v>
      </c>
      <c r="AE188" s="150">
        <f>AD188*(100+INDEX(DEFAULT!$E$238:$AJ$240,3,'USER INPUTS'!$B$4))/100</f>
        <v>0</v>
      </c>
      <c r="AF188" s="150">
        <f>AE188*(100+INDEX(DEFAULT!$E$238:$AJ$240,3,'USER INPUTS'!$B$4))/100</f>
        <v>0</v>
      </c>
      <c r="AG188" s="150">
        <f>AF188*(100+INDEX(DEFAULT!$E$238:$AJ$240,3,'USER INPUTS'!$B$4))/100</f>
        <v>0</v>
      </c>
      <c r="AH188" s="150">
        <f>AG188*(100+INDEX(DEFAULT!$E$238:$AJ$240,3,'USER INPUTS'!$B$4))/100</f>
        <v>0</v>
      </c>
      <c r="AI188" s="139"/>
      <c r="AJ188" s="133"/>
    </row>
    <row r="189" spans="1:36" s="134" customFormat="1">
      <c r="A189" s="243" t="str">
        <f>INDEX(DEFAULT!$E$274:$AJ$331,37,'USER INPUTS'!$B$4)</f>
        <v>-</v>
      </c>
      <c r="B189" s="294"/>
      <c r="C189" s="100">
        <f>'USER INPUTS'!I49</f>
        <v>0</v>
      </c>
      <c r="D189" s="295"/>
      <c r="E189" s="150">
        <f>(INDEX(DEFAULT!$E$339:$AJ$396,37,'USER INPUTS'!$B$4)/100)*($C189/100)*E$133</f>
        <v>0</v>
      </c>
      <c r="F189" s="150">
        <f>E189*(100+INDEX(DEFAULT!$E$238:$AJ$240,1,'USER INPUTS'!$B$4))/100</f>
        <v>0</v>
      </c>
      <c r="G189" s="150">
        <f>F189*(100+INDEX(DEFAULT!$E$238:$AJ$240,1,'USER INPUTS'!$B$4))/100</f>
        <v>0</v>
      </c>
      <c r="H189" s="150">
        <f>G189*(100+INDEX(DEFAULT!$E$238:$AJ$240,1,'USER INPUTS'!$B$4))/100</f>
        <v>0</v>
      </c>
      <c r="I189" s="150">
        <f>H189*(100+INDEX(DEFAULT!$E$238:$AJ$240,1,'USER INPUTS'!$B$4))/100</f>
        <v>0</v>
      </c>
      <c r="J189" s="150">
        <f>I189*(100+INDEX(DEFAULT!$E$238:$AJ$240,1,'USER INPUTS'!$B$4))/100</f>
        <v>0</v>
      </c>
      <c r="K189" s="150">
        <f>J189*(100+INDEX(DEFAULT!$E$238:$AJ$240,1,'USER INPUTS'!$B$4))/100</f>
        <v>0</v>
      </c>
      <c r="L189" s="150">
        <f>K189*(100+INDEX(DEFAULT!$E$238:$AJ$240,1,'USER INPUTS'!$B$4))/100</f>
        <v>0</v>
      </c>
      <c r="M189" s="150">
        <f>L189*(100+INDEX(DEFAULT!$E$238:$AJ$240,1,'USER INPUTS'!$B$4))/100</f>
        <v>0</v>
      </c>
      <c r="N189" s="150">
        <f>M189*(100+INDEX(DEFAULT!$E$238:$AJ$240,1,'USER INPUTS'!$B$4))/100</f>
        <v>0</v>
      </c>
      <c r="O189" s="150">
        <f>N189*(100+INDEX(DEFAULT!$E$238:$AJ$240,2,'USER INPUTS'!$B$4))/100</f>
        <v>0</v>
      </c>
      <c r="P189" s="150">
        <f>O189*(100+INDEX(DEFAULT!$E$238:$AJ$240,2,'USER INPUTS'!$B$4))/100</f>
        <v>0</v>
      </c>
      <c r="Q189" s="150">
        <f>P189*(100+INDEX(DEFAULT!$E$238:$AJ$240,2,'USER INPUTS'!$B$4))/100</f>
        <v>0</v>
      </c>
      <c r="R189" s="150">
        <f>Q189*(100+INDEX(DEFAULT!$E$238:$AJ$240,2,'USER INPUTS'!$B$4))/100</f>
        <v>0</v>
      </c>
      <c r="S189" s="150">
        <f>R189*(100+INDEX(DEFAULT!$E$238:$AJ$240,2,'USER INPUTS'!$B$4))/100</f>
        <v>0</v>
      </c>
      <c r="T189" s="150">
        <f>S189*(100+INDEX(DEFAULT!$E$238:$AJ$240,2,'USER INPUTS'!$B$4))/100</f>
        <v>0</v>
      </c>
      <c r="U189" s="150">
        <f>T189*(100+INDEX(DEFAULT!$E$238:$AJ$240,2,'USER INPUTS'!$B$4))/100</f>
        <v>0</v>
      </c>
      <c r="V189" s="150">
        <f>U189*(100+INDEX(DEFAULT!$E$238:$AJ$240,2,'USER INPUTS'!$B$4))/100</f>
        <v>0</v>
      </c>
      <c r="W189" s="150">
        <f>V189*(100+INDEX(DEFAULT!$E$238:$AJ$240,2,'USER INPUTS'!$B$4))/100</f>
        <v>0</v>
      </c>
      <c r="X189" s="150">
        <f>W189*(100+INDEX(DEFAULT!$E$238:$AJ$240,2,'USER INPUTS'!$B$4))/100</f>
        <v>0</v>
      </c>
      <c r="Y189" s="150">
        <f>X189*(100+INDEX(DEFAULT!$E$238:$AJ$240,3,'USER INPUTS'!$B$4))/100</f>
        <v>0</v>
      </c>
      <c r="Z189" s="150">
        <f>Y189*(100+INDEX(DEFAULT!$E$238:$AJ$240,3,'USER INPUTS'!$B$4))/100</f>
        <v>0</v>
      </c>
      <c r="AA189" s="150">
        <f>Z189*(100+INDEX(DEFAULT!$E$238:$AJ$240,3,'USER INPUTS'!$B$4))/100</f>
        <v>0</v>
      </c>
      <c r="AB189" s="150">
        <f>AA189*(100+INDEX(DEFAULT!$E$238:$AJ$240,3,'USER INPUTS'!$B$4))/100</f>
        <v>0</v>
      </c>
      <c r="AC189" s="150">
        <f>AB189*(100+INDEX(DEFAULT!$E$238:$AJ$240,3,'USER INPUTS'!$B$4))/100</f>
        <v>0</v>
      </c>
      <c r="AD189" s="150">
        <f>AC189*(100+INDEX(DEFAULT!$E$238:$AJ$240,3,'USER INPUTS'!$B$4))/100</f>
        <v>0</v>
      </c>
      <c r="AE189" s="150">
        <f>AD189*(100+INDEX(DEFAULT!$E$238:$AJ$240,3,'USER INPUTS'!$B$4))/100</f>
        <v>0</v>
      </c>
      <c r="AF189" s="150">
        <f>AE189*(100+INDEX(DEFAULT!$E$238:$AJ$240,3,'USER INPUTS'!$B$4))/100</f>
        <v>0</v>
      </c>
      <c r="AG189" s="150">
        <f>AF189*(100+INDEX(DEFAULT!$E$238:$AJ$240,3,'USER INPUTS'!$B$4))/100</f>
        <v>0</v>
      </c>
      <c r="AH189" s="150">
        <f>AG189*(100+INDEX(DEFAULT!$E$238:$AJ$240,3,'USER INPUTS'!$B$4))/100</f>
        <v>0</v>
      </c>
      <c r="AI189" s="139"/>
      <c r="AJ189" s="133"/>
    </row>
    <row r="190" spans="1:36" s="134" customFormat="1">
      <c r="A190" s="243" t="str">
        <f>INDEX(DEFAULT!$E$274:$AJ$331,38,'USER INPUTS'!$B$4)</f>
        <v>-</v>
      </c>
      <c r="B190" s="294"/>
      <c r="C190" s="100">
        <f>'USER INPUTS'!I50</f>
        <v>0</v>
      </c>
      <c r="D190" s="295"/>
      <c r="E190" s="150">
        <f>(INDEX(DEFAULT!$E$339:$AJ$396,38,'USER INPUTS'!$B$4)/100)*($C190/100)*E$133</f>
        <v>0</v>
      </c>
      <c r="F190" s="150">
        <f>E190*(100+INDEX(DEFAULT!$E$238:$AJ$240,1,'USER INPUTS'!$B$4))/100</f>
        <v>0</v>
      </c>
      <c r="G190" s="150">
        <f>F190*(100+INDEX(DEFAULT!$E$238:$AJ$240,1,'USER INPUTS'!$B$4))/100</f>
        <v>0</v>
      </c>
      <c r="H190" s="150">
        <f>G190*(100+INDEX(DEFAULT!$E$238:$AJ$240,1,'USER INPUTS'!$B$4))/100</f>
        <v>0</v>
      </c>
      <c r="I190" s="150">
        <f>H190*(100+INDEX(DEFAULT!$E$238:$AJ$240,1,'USER INPUTS'!$B$4))/100</f>
        <v>0</v>
      </c>
      <c r="J190" s="150">
        <f>I190*(100+INDEX(DEFAULT!$E$238:$AJ$240,1,'USER INPUTS'!$B$4))/100</f>
        <v>0</v>
      </c>
      <c r="K190" s="150">
        <f>J190*(100+INDEX(DEFAULT!$E$238:$AJ$240,1,'USER INPUTS'!$B$4))/100</f>
        <v>0</v>
      </c>
      <c r="L190" s="150">
        <f>K190*(100+INDEX(DEFAULT!$E$238:$AJ$240,1,'USER INPUTS'!$B$4))/100</f>
        <v>0</v>
      </c>
      <c r="M190" s="150">
        <f>L190*(100+INDEX(DEFAULT!$E$238:$AJ$240,1,'USER INPUTS'!$B$4))/100</f>
        <v>0</v>
      </c>
      <c r="N190" s="150">
        <f>M190*(100+INDEX(DEFAULT!$E$238:$AJ$240,1,'USER INPUTS'!$B$4))/100</f>
        <v>0</v>
      </c>
      <c r="O190" s="150">
        <f>N190*(100+INDEX(DEFAULT!$E$238:$AJ$240,2,'USER INPUTS'!$B$4))/100</f>
        <v>0</v>
      </c>
      <c r="P190" s="150">
        <f>O190*(100+INDEX(DEFAULT!$E$238:$AJ$240,2,'USER INPUTS'!$B$4))/100</f>
        <v>0</v>
      </c>
      <c r="Q190" s="150">
        <f>P190*(100+INDEX(DEFAULT!$E$238:$AJ$240,2,'USER INPUTS'!$B$4))/100</f>
        <v>0</v>
      </c>
      <c r="R190" s="150">
        <f>Q190*(100+INDEX(DEFAULT!$E$238:$AJ$240,2,'USER INPUTS'!$B$4))/100</f>
        <v>0</v>
      </c>
      <c r="S190" s="150">
        <f>R190*(100+INDEX(DEFAULT!$E$238:$AJ$240,2,'USER INPUTS'!$B$4))/100</f>
        <v>0</v>
      </c>
      <c r="T190" s="150">
        <f>S190*(100+INDEX(DEFAULT!$E$238:$AJ$240,2,'USER INPUTS'!$B$4))/100</f>
        <v>0</v>
      </c>
      <c r="U190" s="150">
        <f>T190*(100+INDEX(DEFAULT!$E$238:$AJ$240,2,'USER INPUTS'!$B$4))/100</f>
        <v>0</v>
      </c>
      <c r="V190" s="150">
        <f>U190*(100+INDEX(DEFAULT!$E$238:$AJ$240,2,'USER INPUTS'!$B$4))/100</f>
        <v>0</v>
      </c>
      <c r="W190" s="150">
        <f>V190*(100+INDEX(DEFAULT!$E$238:$AJ$240,2,'USER INPUTS'!$B$4))/100</f>
        <v>0</v>
      </c>
      <c r="X190" s="150">
        <f>W190*(100+INDEX(DEFAULT!$E$238:$AJ$240,2,'USER INPUTS'!$B$4))/100</f>
        <v>0</v>
      </c>
      <c r="Y190" s="150">
        <f>X190*(100+INDEX(DEFAULT!$E$238:$AJ$240,3,'USER INPUTS'!$B$4))/100</f>
        <v>0</v>
      </c>
      <c r="Z190" s="150">
        <f>Y190*(100+INDEX(DEFAULT!$E$238:$AJ$240,3,'USER INPUTS'!$B$4))/100</f>
        <v>0</v>
      </c>
      <c r="AA190" s="150">
        <f>Z190*(100+INDEX(DEFAULT!$E$238:$AJ$240,3,'USER INPUTS'!$B$4))/100</f>
        <v>0</v>
      </c>
      <c r="AB190" s="150">
        <f>AA190*(100+INDEX(DEFAULT!$E$238:$AJ$240,3,'USER INPUTS'!$B$4))/100</f>
        <v>0</v>
      </c>
      <c r="AC190" s="150">
        <f>AB190*(100+INDEX(DEFAULT!$E$238:$AJ$240,3,'USER INPUTS'!$B$4))/100</f>
        <v>0</v>
      </c>
      <c r="AD190" s="150">
        <f>AC190*(100+INDEX(DEFAULT!$E$238:$AJ$240,3,'USER INPUTS'!$B$4))/100</f>
        <v>0</v>
      </c>
      <c r="AE190" s="150">
        <f>AD190*(100+INDEX(DEFAULT!$E$238:$AJ$240,3,'USER INPUTS'!$B$4))/100</f>
        <v>0</v>
      </c>
      <c r="AF190" s="150">
        <f>AE190*(100+INDEX(DEFAULT!$E$238:$AJ$240,3,'USER INPUTS'!$B$4))/100</f>
        <v>0</v>
      </c>
      <c r="AG190" s="150">
        <f>AF190*(100+INDEX(DEFAULT!$E$238:$AJ$240,3,'USER INPUTS'!$B$4))/100</f>
        <v>0</v>
      </c>
      <c r="AH190" s="150">
        <f>AG190*(100+INDEX(DEFAULT!$E$238:$AJ$240,3,'USER INPUTS'!$B$4))/100</f>
        <v>0</v>
      </c>
      <c r="AI190" s="139"/>
      <c r="AJ190" s="133"/>
    </row>
    <row r="191" spans="1:36" s="134" customFormat="1">
      <c r="A191" s="243" t="str">
        <f>INDEX(DEFAULT!$E$274:$AJ$331,39,'USER INPUTS'!$B$4)</f>
        <v>-</v>
      </c>
      <c r="B191" s="294"/>
      <c r="C191" s="100">
        <f>'USER INPUTS'!I51</f>
        <v>0</v>
      </c>
      <c r="D191" s="295"/>
      <c r="E191" s="150">
        <f>(INDEX(DEFAULT!$E$339:$AJ$396,39,'USER INPUTS'!$B$4)/100)*($C191/100)*E$133</f>
        <v>0</v>
      </c>
      <c r="F191" s="150">
        <f>E191*(100+INDEX(DEFAULT!$E$238:$AJ$240,1,'USER INPUTS'!$B$4))/100</f>
        <v>0</v>
      </c>
      <c r="G191" s="150">
        <f>F191*(100+INDEX(DEFAULT!$E$238:$AJ$240,1,'USER INPUTS'!$B$4))/100</f>
        <v>0</v>
      </c>
      <c r="H191" s="150">
        <f>G191*(100+INDEX(DEFAULT!$E$238:$AJ$240,1,'USER INPUTS'!$B$4))/100</f>
        <v>0</v>
      </c>
      <c r="I191" s="150">
        <f>H191*(100+INDEX(DEFAULT!$E$238:$AJ$240,1,'USER INPUTS'!$B$4))/100</f>
        <v>0</v>
      </c>
      <c r="J191" s="150">
        <f>I191*(100+INDEX(DEFAULT!$E$238:$AJ$240,1,'USER INPUTS'!$B$4))/100</f>
        <v>0</v>
      </c>
      <c r="K191" s="150">
        <f>J191*(100+INDEX(DEFAULT!$E$238:$AJ$240,1,'USER INPUTS'!$B$4))/100</f>
        <v>0</v>
      </c>
      <c r="L191" s="150">
        <f>K191*(100+INDEX(DEFAULT!$E$238:$AJ$240,1,'USER INPUTS'!$B$4))/100</f>
        <v>0</v>
      </c>
      <c r="M191" s="150">
        <f>L191*(100+INDEX(DEFAULT!$E$238:$AJ$240,1,'USER INPUTS'!$B$4))/100</f>
        <v>0</v>
      </c>
      <c r="N191" s="150">
        <f>M191*(100+INDEX(DEFAULT!$E$238:$AJ$240,1,'USER INPUTS'!$B$4))/100</f>
        <v>0</v>
      </c>
      <c r="O191" s="150">
        <f>N191*(100+INDEX(DEFAULT!$E$238:$AJ$240,2,'USER INPUTS'!$B$4))/100</f>
        <v>0</v>
      </c>
      <c r="P191" s="150">
        <f>O191*(100+INDEX(DEFAULT!$E$238:$AJ$240,2,'USER INPUTS'!$B$4))/100</f>
        <v>0</v>
      </c>
      <c r="Q191" s="150">
        <f>P191*(100+INDEX(DEFAULT!$E$238:$AJ$240,2,'USER INPUTS'!$B$4))/100</f>
        <v>0</v>
      </c>
      <c r="R191" s="150">
        <f>Q191*(100+INDEX(DEFAULT!$E$238:$AJ$240,2,'USER INPUTS'!$B$4))/100</f>
        <v>0</v>
      </c>
      <c r="S191" s="150">
        <f>R191*(100+INDEX(DEFAULT!$E$238:$AJ$240,2,'USER INPUTS'!$B$4))/100</f>
        <v>0</v>
      </c>
      <c r="T191" s="150">
        <f>S191*(100+INDEX(DEFAULT!$E$238:$AJ$240,2,'USER INPUTS'!$B$4))/100</f>
        <v>0</v>
      </c>
      <c r="U191" s="150">
        <f>T191*(100+INDEX(DEFAULT!$E$238:$AJ$240,2,'USER INPUTS'!$B$4))/100</f>
        <v>0</v>
      </c>
      <c r="V191" s="150">
        <f>U191*(100+INDEX(DEFAULT!$E$238:$AJ$240,2,'USER INPUTS'!$B$4))/100</f>
        <v>0</v>
      </c>
      <c r="W191" s="150">
        <f>V191*(100+INDEX(DEFAULT!$E$238:$AJ$240,2,'USER INPUTS'!$B$4))/100</f>
        <v>0</v>
      </c>
      <c r="X191" s="150">
        <f>W191*(100+INDEX(DEFAULT!$E$238:$AJ$240,2,'USER INPUTS'!$B$4))/100</f>
        <v>0</v>
      </c>
      <c r="Y191" s="150">
        <f>X191*(100+INDEX(DEFAULT!$E$238:$AJ$240,3,'USER INPUTS'!$B$4))/100</f>
        <v>0</v>
      </c>
      <c r="Z191" s="150">
        <f>Y191*(100+INDEX(DEFAULT!$E$238:$AJ$240,3,'USER INPUTS'!$B$4))/100</f>
        <v>0</v>
      </c>
      <c r="AA191" s="150">
        <f>Z191*(100+INDEX(DEFAULT!$E$238:$AJ$240,3,'USER INPUTS'!$B$4))/100</f>
        <v>0</v>
      </c>
      <c r="AB191" s="150">
        <f>AA191*(100+INDEX(DEFAULT!$E$238:$AJ$240,3,'USER INPUTS'!$B$4))/100</f>
        <v>0</v>
      </c>
      <c r="AC191" s="150">
        <f>AB191*(100+INDEX(DEFAULT!$E$238:$AJ$240,3,'USER INPUTS'!$B$4))/100</f>
        <v>0</v>
      </c>
      <c r="AD191" s="150">
        <f>AC191*(100+INDEX(DEFAULT!$E$238:$AJ$240,3,'USER INPUTS'!$B$4))/100</f>
        <v>0</v>
      </c>
      <c r="AE191" s="150">
        <f>AD191*(100+INDEX(DEFAULT!$E$238:$AJ$240,3,'USER INPUTS'!$B$4))/100</f>
        <v>0</v>
      </c>
      <c r="AF191" s="150">
        <f>AE191*(100+INDEX(DEFAULT!$E$238:$AJ$240,3,'USER INPUTS'!$B$4))/100</f>
        <v>0</v>
      </c>
      <c r="AG191" s="150">
        <f>AF191*(100+INDEX(DEFAULT!$E$238:$AJ$240,3,'USER INPUTS'!$B$4))/100</f>
        <v>0</v>
      </c>
      <c r="AH191" s="150">
        <f>AG191*(100+INDEX(DEFAULT!$E$238:$AJ$240,3,'USER INPUTS'!$B$4))/100</f>
        <v>0</v>
      </c>
      <c r="AI191" s="139"/>
      <c r="AJ191" s="133"/>
    </row>
    <row r="192" spans="1:36" s="134" customFormat="1">
      <c r="A192" s="243" t="str">
        <f>INDEX(DEFAULT!$E$274:$AJ$331,40,'USER INPUTS'!$B$4)</f>
        <v>-</v>
      </c>
      <c r="B192" s="294"/>
      <c r="C192" s="100">
        <f>'USER INPUTS'!I52</f>
        <v>0</v>
      </c>
      <c r="D192" s="295"/>
      <c r="E192" s="150">
        <f>(INDEX(DEFAULT!$E$339:$AJ$396,40,'USER INPUTS'!$B$4)/100)*($C192/100)*E$133</f>
        <v>0</v>
      </c>
      <c r="F192" s="150">
        <f>E192*(100+INDEX(DEFAULT!$E$238:$AJ$240,1,'USER INPUTS'!$B$4))/100</f>
        <v>0</v>
      </c>
      <c r="G192" s="150">
        <f>F192*(100+INDEX(DEFAULT!$E$238:$AJ$240,1,'USER INPUTS'!$B$4))/100</f>
        <v>0</v>
      </c>
      <c r="H192" s="150">
        <f>G192*(100+INDEX(DEFAULT!$E$238:$AJ$240,1,'USER INPUTS'!$B$4))/100</f>
        <v>0</v>
      </c>
      <c r="I192" s="150">
        <f>H192*(100+INDEX(DEFAULT!$E$238:$AJ$240,1,'USER INPUTS'!$B$4))/100</f>
        <v>0</v>
      </c>
      <c r="J192" s="150">
        <f>I192*(100+INDEX(DEFAULT!$E$238:$AJ$240,1,'USER INPUTS'!$B$4))/100</f>
        <v>0</v>
      </c>
      <c r="K192" s="150">
        <f>J192*(100+INDEX(DEFAULT!$E$238:$AJ$240,1,'USER INPUTS'!$B$4))/100</f>
        <v>0</v>
      </c>
      <c r="L192" s="150">
        <f>K192*(100+INDEX(DEFAULT!$E$238:$AJ$240,1,'USER INPUTS'!$B$4))/100</f>
        <v>0</v>
      </c>
      <c r="M192" s="150">
        <f>L192*(100+INDEX(DEFAULT!$E$238:$AJ$240,1,'USER INPUTS'!$B$4))/100</f>
        <v>0</v>
      </c>
      <c r="N192" s="150">
        <f>M192*(100+INDEX(DEFAULT!$E$238:$AJ$240,1,'USER INPUTS'!$B$4))/100</f>
        <v>0</v>
      </c>
      <c r="O192" s="150">
        <f>N192*(100+INDEX(DEFAULT!$E$238:$AJ$240,2,'USER INPUTS'!$B$4))/100</f>
        <v>0</v>
      </c>
      <c r="P192" s="150">
        <f>O192*(100+INDEX(DEFAULT!$E$238:$AJ$240,2,'USER INPUTS'!$B$4))/100</f>
        <v>0</v>
      </c>
      <c r="Q192" s="150">
        <f>P192*(100+INDEX(DEFAULT!$E$238:$AJ$240,2,'USER INPUTS'!$B$4))/100</f>
        <v>0</v>
      </c>
      <c r="R192" s="150">
        <f>Q192*(100+INDEX(DEFAULT!$E$238:$AJ$240,2,'USER INPUTS'!$B$4))/100</f>
        <v>0</v>
      </c>
      <c r="S192" s="150">
        <f>R192*(100+INDEX(DEFAULT!$E$238:$AJ$240,2,'USER INPUTS'!$B$4))/100</f>
        <v>0</v>
      </c>
      <c r="T192" s="150">
        <f>S192*(100+INDEX(DEFAULT!$E$238:$AJ$240,2,'USER INPUTS'!$B$4))/100</f>
        <v>0</v>
      </c>
      <c r="U192" s="150">
        <f>T192*(100+INDEX(DEFAULT!$E$238:$AJ$240,2,'USER INPUTS'!$B$4))/100</f>
        <v>0</v>
      </c>
      <c r="V192" s="150">
        <f>U192*(100+INDEX(DEFAULT!$E$238:$AJ$240,2,'USER INPUTS'!$B$4))/100</f>
        <v>0</v>
      </c>
      <c r="W192" s="150">
        <f>V192*(100+INDEX(DEFAULT!$E$238:$AJ$240,2,'USER INPUTS'!$B$4))/100</f>
        <v>0</v>
      </c>
      <c r="X192" s="150">
        <f>W192*(100+INDEX(DEFAULT!$E$238:$AJ$240,2,'USER INPUTS'!$B$4))/100</f>
        <v>0</v>
      </c>
      <c r="Y192" s="150">
        <f>X192*(100+INDEX(DEFAULT!$E$238:$AJ$240,3,'USER INPUTS'!$B$4))/100</f>
        <v>0</v>
      </c>
      <c r="Z192" s="150">
        <f>Y192*(100+INDEX(DEFAULT!$E$238:$AJ$240,3,'USER INPUTS'!$B$4))/100</f>
        <v>0</v>
      </c>
      <c r="AA192" s="150">
        <f>Z192*(100+INDEX(DEFAULT!$E$238:$AJ$240,3,'USER INPUTS'!$B$4))/100</f>
        <v>0</v>
      </c>
      <c r="AB192" s="150">
        <f>AA192*(100+INDEX(DEFAULT!$E$238:$AJ$240,3,'USER INPUTS'!$B$4))/100</f>
        <v>0</v>
      </c>
      <c r="AC192" s="150">
        <f>AB192*(100+INDEX(DEFAULT!$E$238:$AJ$240,3,'USER INPUTS'!$B$4))/100</f>
        <v>0</v>
      </c>
      <c r="AD192" s="150">
        <f>AC192*(100+INDEX(DEFAULT!$E$238:$AJ$240,3,'USER INPUTS'!$B$4))/100</f>
        <v>0</v>
      </c>
      <c r="AE192" s="150">
        <f>AD192*(100+INDEX(DEFAULT!$E$238:$AJ$240,3,'USER INPUTS'!$B$4))/100</f>
        <v>0</v>
      </c>
      <c r="AF192" s="150">
        <f>AE192*(100+INDEX(DEFAULT!$E$238:$AJ$240,3,'USER INPUTS'!$B$4))/100</f>
        <v>0</v>
      </c>
      <c r="AG192" s="150">
        <f>AF192*(100+INDEX(DEFAULT!$E$238:$AJ$240,3,'USER INPUTS'!$B$4))/100</f>
        <v>0</v>
      </c>
      <c r="AH192" s="150">
        <f>AG192*(100+INDEX(DEFAULT!$E$238:$AJ$240,3,'USER INPUTS'!$B$4))/100</f>
        <v>0</v>
      </c>
      <c r="AI192" s="139"/>
      <c r="AJ192" s="133"/>
    </row>
    <row r="193" spans="1:36" s="134" customFormat="1">
      <c r="A193" s="243" t="str">
        <f>INDEX(DEFAULT!$E$274:$AJ$331,41,'USER INPUTS'!$B$4)</f>
        <v>-</v>
      </c>
      <c r="B193" s="294"/>
      <c r="C193" s="100">
        <f>'USER INPUTS'!I53</f>
        <v>0</v>
      </c>
      <c r="D193" s="295"/>
      <c r="E193" s="150">
        <f>(INDEX(DEFAULT!$E$339:$AJ$396,41,'USER INPUTS'!$B$4)/100)*($C193/100)*E$133</f>
        <v>0</v>
      </c>
      <c r="F193" s="150">
        <f>E193*(100+INDEX(DEFAULT!$E$238:$AJ$240,1,'USER INPUTS'!$B$4))/100</f>
        <v>0</v>
      </c>
      <c r="G193" s="150">
        <f>F193*(100+INDEX(DEFAULT!$E$238:$AJ$240,1,'USER INPUTS'!$B$4))/100</f>
        <v>0</v>
      </c>
      <c r="H193" s="150">
        <f>G193*(100+INDEX(DEFAULT!$E$238:$AJ$240,1,'USER INPUTS'!$B$4))/100</f>
        <v>0</v>
      </c>
      <c r="I193" s="150">
        <f>H193*(100+INDEX(DEFAULT!$E$238:$AJ$240,1,'USER INPUTS'!$B$4))/100</f>
        <v>0</v>
      </c>
      <c r="J193" s="150">
        <f>I193*(100+INDEX(DEFAULT!$E$238:$AJ$240,1,'USER INPUTS'!$B$4))/100</f>
        <v>0</v>
      </c>
      <c r="K193" s="150">
        <f>J193*(100+INDEX(DEFAULT!$E$238:$AJ$240,1,'USER INPUTS'!$B$4))/100</f>
        <v>0</v>
      </c>
      <c r="L193" s="150">
        <f>K193*(100+INDEX(DEFAULT!$E$238:$AJ$240,1,'USER INPUTS'!$B$4))/100</f>
        <v>0</v>
      </c>
      <c r="M193" s="150">
        <f>L193*(100+INDEX(DEFAULT!$E$238:$AJ$240,1,'USER INPUTS'!$B$4))/100</f>
        <v>0</v>
      </c>
      <c r="N193" s="150">
        <f>M193*(100+INDEX(DEFAULT!$E$238:$AJ$240,1,'USER INPUTS'!$B$4))/100</f>
        <v>0</v>
      </c>
      <c r="O193" s="150">
        <f>N193*(100+INDEX(DEFAULT!$E$238:$AJ$240,2,'USER INPUTS'!$B$4))/100</f>
        <v>0</v>
      </c>
      <c r="P193" s="150">
        <f>O193*(100+INDEX(DEFAULT!$E$238:$AJ$240,2,'USER INPUTS'!$B$4))/100</f>
        <v>0</v>
      </c>
      <c r="Q193" s="150">
        <f>P193*(100+INDEX(DEFAULT!$E$238:$AJ$240,2,'USER INPUTS'!$B$4))/100</f>
        <v>0</v>
      </c>
      <c r="R193" s="150">
        <f>Q193*(100+INDEX(DEFAULT!$E$238:$AJ$240,2,'USER INPUTS'!$B$4))/100</f>
        <v>0</v>
      </c>
      <c r="S193" s="150">
        <f>R193*(100+INDEX(DEFAULT!$E$238:$AJ$240,2,'USER INPUTS'!$B$4))/100</f>
        <v>0</v>
      </c>
      <c r="T193" s="150">
        <f>S193*(100+INDEX(DEFAULT!$E$238:$AJ$240,2,'USER INPUTS'!$B$4))/100</f>
        <v>0</v>
      </c>
      <c r="U193" s="150">
        <f>T193*(100+INDEX(DEFAULT!$E$238:$AJ$240,2,'USER INPUTS'!$B$4))/100</f>
        <v>0</v>
      </c>
      <c r="V193" s="150">
        <f>U193*(100+INDEX(DEFAULT!$E$238:$AJ$240,2,'USER INPUTS'!$B$4))/100</f>
        <v>0</v>
      </c>
      <c r="W193" s="150">
        <f>V193*(100+INDEX(DEFAULT!$E$238:$AJ$240,2,'USER INPUTS'!$B$4))/100</f>
        <v>0</v>
      </c>
      <c r="X193" s="150">
        <f>W193*(100+INDEX(DEFAULT!$E$238:$AJ$240,2,'USER INPUTS'!$B$4))/100</f>
        <v>0</v>
      </c>
      <c r="Y193" s="150">
        <f>X193*(100+INDEX(DEFAULT!$E$238:$AJ$240,3,'USER INPUTS'!$B$4))/100</f>
        <v>0</v>
      </c>
      <c r="Z193" s="150">
        <f>Y193*(100+INDEX(DEFAULT!$E$238:$AJ$240,3,'USER INPUTS'!$B$4))/100</f>
        <v>0</v>
      </c>
      <c r="AA193" s="150">
        <f>Z193*(100+INDEX(DEFAULT!$E$238:$AJ$240,3,'USER INPUTS'!$B$4))/100</f>
        <v>0</v>
      </c>
      <c r="AB193" s="150">
        <f>AA193*(100+INDEX(DEFAULT!$E$238:$AJ$240,3,'USER INPUTS'!$B$4))/100</f>
        <v>0</v>
      </c>
      <c r="AC193" s="150">
        <f>AB193*(100+INDEX(DEFAULT!$E$238:$AJ$240,3,'USER INPUTS'!$B$4))/100</f>
        <v>0</v>
      </c>
      <c r="AD193" s="150">
        <f>AC193*(100+INDEX(DEFAULT!$E$238:$AJ$240,3,'USER INPUTS'!$B$4))/100</f>
        <v>0</v>
      </c>
      <c r="AE193" s="150">
        <f>AD193*(100+INDEX(DEFAULT!$E$238:$AJ$240,3,'USER INPUTS'!$B$4))/100</f>
        <v>0</v>
      </c>
      <c r="AF193" s="150">
        <f>AE193*(100+INDEX(DEFAULT!$E$238:$AJ$240,3,'USER INPUTS'!$B$4))/100</f>
        <v>0</v>
      </c>
      <c r="AG193" s="150">
        <f>AF193*(100+INDEX(DEFAULT!$E$238:$AJ$240,3,'USER INPUTS'!$B$4))/100</f>
        <v>0</v>
      </c>
      <c r="AH193" s="150">
        <f>AG193*(100+INDEX(DEFAULT!$E$238:$AJ$240,3,'USER INPUTS'!$B$4))/100</f>
        <v>0</v>
      </c>
      <c r="AI193" s="139"/>
      <c r="AJ193" s="133"/>
    </row>
    <row r="194" spans="1:36" s="134" customFormat="1">
      <c r="A194" s="243" t="str">
        <f>INDEX(DEFAULT!$E$274:$AJ$331,42,'USER INPUTS'!$B$4)</f>
        <v>-</v>
      </c>
      <c r="B194" s="294"/>
      <c r="C194" s="100">
        <f>'USER INPUTS'!I54</f>
        <v>0</v>
      </c>
      <c r="D194" s="295"/>
      <c r="E194" s="150">
        <f>(INDEX(DEFAULT!$E$339:$AJ$396,42,'USER INPUTS'!$B$4)/100)*($C194/100)*E$133</f>
        <v>0</v>
      </c>
      <c r="F194" s="150">
        <f>E194*(100+INDEX(DEFAULT!$E$238:$AJ$240,1,'USER INPUTS'!$B$4))/100</f>
        <v>0</v>
      </c>
      <c r="G194" s="150">
        <f>F194*(100+INDEX(DEFAULT!$E$238:$AJ$240,1,'USER INPUTS'!$B$4))/100</f>
        <v>0</v>
      </c>
      <c r="H194" s="150">
        <f>G194*(100+INDEX(DEFAULT!$E$238:$AJ$240,1,'USER INPUTS'!$B$4))/100</f>
        <v>0</v>
      </c>
      <c r="I194" s="150">
        <f>H194*(100+INDEX(DEFAULT!$E$238:$AJ$240,1,'USER INPUTS'!$B$4))/100</f>
        <v>0</v>
      </c>
      <c r="J194" s="150">
        <f>I194*(100+INDEX(DEFAULT!$E$238:$AJ$240,1,'USER INPUTS'!$B$4))/100</f>
        <v>0</v>
      </c>
      <c r="K194" s="150">
        <f>J194*(100+INDEX(DEFAULT!$E$238:$AJ$240,1,'USER INPUTS'!$B$4))/100</f>
        <v>0</v>
      </c>
      <c r="L194" s="150">
        <f>K194*(100+INDEX(DEFAULT!$E$238:$AJ$240,1,'USER INPUTS'!$B$4))/100</f>
        <v>0</v>
      </c>
      <c r="M194" s="150">
        <f>L194*(100+INDEX(DEFAULT!$E$238:$AJ$240,1,'USER INPUTS'!$B$4))/100</f>
        <v>0</v>
      </c>
      <c r="N194" s="150">
        <f>M194*(100+INDEX(DEFAULT!$E$238:$AJ$240,1,'USER INPUTS'!$B$4))/100</f>
        <v>0</v>
      </c>
      <c r="O194" s="150">
        <f>N194*(100+INDEX(DEFAULT!$E$238:$AJ$240,2,'USER INPUTS'!$B$4))/100</f>
        <v>0</v>
      </c>
      <c r="P194" s="150">
        <f>O194*(100+INDEX(DEFAULT!$E$238:$AJ$240,2,'USER INPUTS'!$B$4))/100</f>
        <v>0</v>
      </c>
      <c r="Q194" s="150">
        <f>P194*(100+INDEX(DEFAULT!$E$238:$AJ$240,2,'USER INPUTS'!$B$4))/100</f>
        <v>0</v>
      </c>
      <c r="R194" s="150">
        <f>Q194*(100+INDEX(DEFAULT!$E$238:$AJ$240,2,'USER INPUTS'!$B$4))/100</f>
        <v>0</v>
      </c>
      <c r="S194" s="150">
        <f>R194*(100+INDEX(DEFAULT!$E$238:$AJ$240,2,'USER INPUTS'!$B$4))/100</f>
        <v>0</v>
      </c>
      <c r="T194" s="150">
        <f>S194*(100+INDEX(DEFAULT!$E$238:$AJ$240,2,'USER INPUTS'!$B$4))/100</f>
        <v>0</v>
      </c>
      <c r="U194" s="150">
        <f>T194*(100+INDEX(DEFAULT!$E$238:$AJ$240,2,'USER INPUTS'!$B$4))/100</f>
        <v>0</v>
      </c>
      <c r="V194" s="150">
        <f>U194*(100+INDEX(DEFAULT!$E$238:$AJ$240,2,'USER INPUTS'!$B$4))/100</f>
        <v>0</v>
      </c>
      <c r="W194" s="150">
        <f>V194*(100+INDEX(DEFAULT!$E$238:$AJ$240,2,'USER INPUTS'!$B$4))/100</f>
        <v>0</v>
      </c>
      <c r="X194" s="150">
        <f>W194*(100+INDEX(DEFAULT!$E$238:$AJ$240,2,'USER INPUTS'!$B$4))/100</f>
        <v>0</v>
      </c>
      <c r="Y194" s="150">
        <f>X194*(100+INDEX(DEFAULT!$E$238:$AJ$240,3,'USER INPUTS'!$B$4))/100</f>
        <v>0</v>
      </c>
      <c r="Z194" s="150">
        <f>Y194*(100+INDEX(DEFAULT!$E$238:$AJ$240,3,'USER INPUTS'!$B$4))/100</f>
        <v>0</v>
      </c>
      <c r="AA194" s="150">
        <f>Z194*(100+INDEX(DEFAULT!$E$238:$AJ$240,3,'USER INPUTS'!$B$4))/100</f>
        <v>0</v>
      </c>
      <c r="AB194" s="150">
        <f>AA194*(100+INDEX(DEFAULT!$E$238:$AJ$240,3,'USER INPUTS'!$B$4))/100</f>
        <v>0</v>
      </c>
      <c r="AC194" s="150">
        <f>AB194*(100+INDEX(DEFAULT!$E$238:$AJ$240,3,'USER INPUTS'!$B$4))/100</f>
        <v>0</v>
      </c>
      <c r="AD194" s="150">
        <f>AC194*(100+INDEX(DEFAULT!$E$238:$AJ$240,3,'USER INPUTS'!$B$4))/100</f>
        <v>0</v>
      </c>
      <c r="AE194" s="150">
        <f>AD194*(100+INDEX(DEFAULT!$E$238:$AJ$240,3,'USER INPUTS'!$B$4))/100</f>
        <v>0</v>
      </c>
      <c r="AF194" s="150">
        <f>AE194*(100+INDEX(DEFAULT!$E$238:$AJ$240,3,'USER INPUTS'!$B$4))/100</f>
        <v>0</v>
      </c>
      <c r="AG194" s="150">
        <f>AF194*(100+INDEX(DEFAULT!$E$238:$AJ$240,3,'USER INPUTS'!$B$4))/100</f>
        <v>0</v>
      </c>
      <c r="AH194" s="150">
        <f>AG194*(100+INDEX(DEFAULT!$E$238:$AJ$240,3,'USER INPUTS'!$B$4))/100</f>
        <v>0</v>
      </c>
      <c r="AI194" s="139"/>
      <c r="AJ194" s="133"/>
    </row>
    <row r="195" spans="1:36" s="134" customFormat="1">
      <c r="A195" s="243" t="str">
        <f>INDEX(DEFAULT!$E$274:$AJ$331,43,'USER INPUTS'!$B$4)</f>
        <v>-</v>
      </c>
      <c r="B195" s="294"/>
      <c r="C195" s="100">
        <f>'USER INPUTS'!I55</f>
        <v>0</v>
      </c>
      <c r="D195" s="295"/>
      <c r="E195" s="150">
        <f>(INDEX(DEFAULT!$E$339:$AJ$396,43,'USER INPUTS'!$B$4)/100)*($C195/100)*E$133</f>
        <v>0</v>
      </c>
      <c r="F195" s="150">
        <f>E195*(100+INDEX(DEFAULT!$E$238:$AJ$240,1,'USER INPUTS'!$B$4))/100</f>
        <v>0</v>
      </c>
      <c r="G195" s="150">
        <f>F195*(100+INDEX(DEFAULT!$E$238:$AJ$240,1,'USER INPUTS'!$B$4))/100</f>
        <v>0</v>
      </c>
      <c r="H195" s="150">
        <f>G195*(100+INDEX(DEFAULT!$E$238:$AJ$240,1,'USER INPUTS'!$B$4))/100</f>
        <v>0</v>
      </c>
      <c r="I195" s="150">
        <f>H195*(100+INDEX(DEFAULT!$E$238:$AJ$240,1,'USER INPUTS'!$B$4))/100</f>
        <v>0</v>
      </c>
      <c r="J195" s="150">
        <f>I195*(100+INDEX(DEFAULT!$E$238:$AJ$240,1,'USER INPUTS'!$B$4))/100</f>
        <v>0</v>
      </c>
      <c r="K195" s="150">
        <f>J195*(100+INDEX(DEFAULT!$E$238:$AJ$240,1,'USER INPUTS'!$B$4))/100</f>
        <v>0</v>
      </c>
      <c r="L195" s="150">
        <f>K195*(100+INDEX(DEFAULT!$E$238:$AJ$240,1,'USER INPUTS'!$B$4))/100</f>
        <v>0</v>
      </c>
      <c r="M195" s="150">
        <f>L195*(100+INDEX(DEFAULT!$E$238:$AJ$240,1,'USER INPUTS'!$B$4))/100</f>
        <v>0</v>
      </c>
      <c r="N195" s="150">
        <f>M195*(100+INDEX(DEFAULT!$E$238:$AJ$240,1,'USER INPUTS'!$B$4))/100</f>
        <v>0</v>
      </c>
      <c r="O195" s="150">
        <f>N195*(100+INDEX(DEFAULT!$E$238:$AJ$240,2,'USER INPUTS'!$B$4))/100</f>
        <v>0</v>
      </c>
      <c r="P195" s="150">
        <f>O195*(100+INDEX(DEFAULT!$E$238:$AJ$240,2,'USER INPUTS'!$B$4))/100</f>
        <v>0</v>
      </c>
      <c r="Q195" s="150">
        <f>P195*(100+INDEX(DEFAULT!$E$238:$AJ$240,2,'USER INPUTS'!$B$4))/100</f>
        <v>0</v>
      </c>
      <c r="R195" s="150">
        <f>Q195*(100+INDEX(DEFAULT!$E$238:$AJ$240,2,'USER INPUTS'!$B$4))/100</f>
        <v>0</v>
      </c>
      <c r="S195" s="150">
        <f>R195*(100+INDEX(DEFAULT!$E$238:$AJ$240,2,'USER INPUTS'!$B$4))/100</f>
        <v>0</v>
      </c>
      <c r="T195" s="150">
        <f>S195*(100+INDEX(DEFAULT!$E$238:$AJ$240,2,'USER INPUTS'!$B$4))/100</f>
        <v>0</v>
      </c>
      <c r="U195" s="150">
        <f>T195*(100+INDEX(DEFAULT!$E$238:$AJ$240,2,'USER INPUTS'!$B$4))/100</f>
        <v>0</v>
      </c>
      <c r="V195" s="150">
        <f>U195*(100+INDEX(DEFAULT!$E$238:$AJ$240,2,'USER INPUTS'!$B$4))/100</f>
        <v>0</v>
      </c>
      <c r="W195" s="150">
        <f>V195*(100+INDEX(DEFAULT!$E$238:$AJ$240,2,'USER INPUTS'!$B$4))/100</f>
        <v>0</v>
      </c>
      <c r="X195" s="150">
        <f>W195*(100+INDEX(DEFAULT!$E$238:$AJ$240,2,'USER INPUTS'!$B$4))/100</f>
        <v>0</v>
      </c>
      <c r="Y195" s="150">
        <f>X195*(100+INDEX(DEFAULT!$E$238:$AJ$240,3,'USER INPUTS'!$B$4))/100</f>
        <v>0</v>
      </c>
      <c r="Z195" s="150">
        <f>Y195*(100+INDEX(DEFAULT!$E$238:$AJ$240,3,'USER INPUTS'!$B$4))/100</f>
        <v>0</v>
      </c>
      <c r="AA195" s="150">
        <f>Z195*(100+INDEX(DEFAULT!$E$238:$AJ$240,3,'USER INPUTS'!$B$4))/100</f>
        <v>0</v>
      </c>
      <c r="AB195" s="150">
        <f>AA195*(100+INDEX(DEFAULT!$E$238:$AJ$240,3,'USER INPUTS'!$B$4))/100</f>
        <v>0</v>
      </c>
      <c r="AC195" s="150">
        <f>AB195*(100+INDEX(DEFAULT!$E$238:$AJ$240,3,'USER INPUTS'!$B$4))/100</f>
        <v>0</v>
      </c>
      <c r="AD195" s="150">
        <f>AC195*(100+INDEX(DEFAULT!$E$238:$AJ$240,3,'USER INPUTS'!$B$4))/100</f>
        <v>0</v>
      </c>
      <c r="AE195" s="150">
        <f>AD195*(100+INDEX(DEFAULT!$E$238:$AJ$240,3,'USER INPUTS'!$B$4))/100</f>
        <v>0</v>
      </c>
      <c r="AF195" s="150">
        <f>AE195*(100+INDEX(DEFAULT!$E$238:$AJ$240,3,'USER INPUTS'!$B$4))/100</f>
        <v>0</v>
      </c>
      <c r="AG195" s="150">
        <f>AF195*(100+INDEX(DEFAULT!$E$238:$AJ$240,3,'USER INPUTS'!$B$4))/100</f>
        <v>0</v>
      </c>
      <c r="AH195" s="150">
        <f>AG195*(100+INDEX(DEFAULT!$E$238:$AJ$240,3,'USER INPUTS'!$B$4))/100</f>
        <v>0</v>
      </c>
      <c r="AI195" s="139"/>
      <c r="AJ195" s="133"/>
    </row>
    <row r="196" spans="1:36" s="134" customFormat="1">
      <c r="A196" s="243" t="str">
        <f>INDEX(DEFAULT!$E$274:$AJ$331,44,'USER INPUTS'!$B$4)</f>
        <v>-</v>
      </c>
      <c r="B196" s="294"/>
      <c r="C196" s="100">
        <f>'USER INPUTS'!I56</f>
        <v>0</v>
      </c>
      <c r="D196" s="295"/>
      <c r="E196" s="150">
        <f>(INDEX(DEFAULT!$E$339:$AJ$396,44,'USER INPUTS'!$B$4)/100)*($C196/100)*E$133</f>
        <v>0</v>
      </c>
      <c r="F196" s="150">
        <f>E196*(100+INDEX(DEFAULT!$E$238:$AJ$240,1,'USER INPUTS'!$B$4))/100</f>
        <v>0</v>
      </c>
      <c r="G196" s="150">
        <f>F196*(100+INDEX(DEFAULT!$E$238:$AJ$240,1,'USER INPUTS'!$B$4))/100</f>
        <v>0</v>
      </c>
      <c r="H196" s="150">
        <f>G196*(100+INDEX(DEFAULT!$E$238:$AJ$240,1,'USER INPUTS'!$B$4))/100</f>
        <v>0</v>
      </c>
      <c r="I196" s="150">
        <f>H196*(100+INDEX(DEFAULT!$E$238:$AJ$240,1,'USER INPUTS'!$B$4))/100</f>
        <v>0</v>
      </c>
      <c r="J196" s="150">
        <f>I196*(100+INDEX(DEFAULT!$E$238:$AJ$240,1,'USER INPUTS'!$B$4))/100</f>
        <v>0</v>
      </c>
      <c r="K196" s="150">
        <f>J196*(100+INDEX(DEFAULT!$E$238:$AJ$240,1,'USER INPUTS'!$B$4))/100</f>
        <v>0</v>
      </c>
      <c r="L196" s="150">
        <f>K196*(100+INDEX(DEFAULT!$E$238:$AJ$240,1,'USER INPUTS'!$B$4))/100</f>
        <v>0</v>
      </c>
      <c r="M196" s="150">
        <f>L196*(100+INDEX(DEFAULT!$E$238:$AJ$240,1,'USER INPUTS'!$B$4))/100</f>
        <v>0</v>
      </c>
      <c r="N196" s="150">
        <f>M196*(100+INDEX(DEFAULT!$E$238:$AJ$240,1,'USER INPUTS'!$B$4))/100</f>
        <v>0</v>
      </c>
      <c r="O196" s="150">
        <f>N196*(100+INDEX(DEFAULT!$E$238:$AJ$240,2,'USER INPUTS'!$B$4))/100</f>
        <v>0</v>
      </c>
      <c r="P196" s="150">
        <f>O196*(100+INDEX(DEFAULT!$E$238:$AJ$240,2,'USER INPUTS'!$B$4))/100</f>
        <v>0</v>
      </c>
      <c r="Q196" s="150">
        <f>P196*(100+INDEX(DEFAULT!$E$238:$AJ$240,2,'USER INPUTS'!$B$4))/100</f>
        <v>0</v>
      </c>
      <c r="R196" s="150">
        <f>Q196*(100+INDEX(DEFAULT!$E$238:$AJ$240,2,'USER INPUTS'!$B$4))/100</f>
        <v>0</v>
      </c>
      <c r="S196" s="150">
        <f>R196*(100+INDEX(DEFAULT!$E$238:$AJ$240,2,'USER INPUTS'!$B$4))/100</f>
        <v>0</v>
      </c>
      <c r="T196" s="150">
        <f>S196*(100+INDEX(DEFAULT!$E$238:$AJ$240,2,'USER INPUTS'!$B$4))/100</f>
        <v>0</v>
      </c>
      <c r="U196" s="150">
        <f>T196*(100+INDEX(DEFAULT!$E$238:$AJ$240,2,'USER INPUTS'!$B$4))/100</f>
        <v>0</v>
      </c>
      <c r="V196" s="150">
        <f>U196*(100+INDEX(DEFAULT!$E$238:$AJ$240,2,'USER INPUTS'!$B$4))/100</f>
        <v>0</v>
      </c>
      <c r="W196" s="150">
        <f>V196*(100+INDEX(DEFAULT!$E$238:$AJ$240,2,'USER INPUTS'!$B$4))/100</f>
        <v>0</v>
      </c>
      <c r="X196" s="150">
        <f>W196*(100+INDEX(DEFAULT!$E$238:$AJ$240,2,'USER INPUTS'!$B$4))/100</f>
        <v>0</v>
      </c>
      <c r="Y196" s="150">
        <f>X196*(100+INDEX(DEFAULT!$E$238:$AJ$240,3,'USER INPUTS'!$B$4))/100</f>
        <v>0</v>
      </c>
      <c r="Z196" s="150">
        <f>Y196*(100+INDEX(DEFAULT!$E$238:$AJ$240,3,'USER INPUTS'!$B$4))/100</f>
        <v>0</v>
      </c>
      <c r="AA196" s="150">
        <f>Z196*(100+INDEX(DEFAULT!$E$238:$AJ$240,3,'USER INPUTS'!$B$4))/100</f>
        <v>0</v>
      </c>
      <c r="AB196" s="150">
        <f>AA196*(100+INDEX(DEFAULT!$E$238:$AJ$240,3,'USER INPUTS'!$B$4))/100</f>
        <v>0</v>
      </c>
      <c r="AC196" s="150">
        <f>AB196*(100+INDEX(DEFAULT!$E$238:$AJ$240,3,'USER INPUTS'!$B$4))/100</f>
        <v>0</v>
      </c>
      <c r="AD196" s="150">
        <f>AC196*(100+INDEX(DEFAULT!$E$238:$AJ$240,3,'USER INPUTS'!$B$4))/100</f>
        <v>0</v>
      </c>
      <c r="AE196" s="150">
        <f>AD196*(100+INDEX(DEFAULT!$E$238:$AJ$240,3,'USER INPUTS'!$B$4))/100</f>
        <v>0</v>
      </c>
      <c r="AF196" s="150">
        <f>AE196*(100+INDEX(DEFAULT!$E$238:$AJ$240,3,'USER INPUTS'!$B$4))/100</f>
        <v>0</v>
      </c>
      <c r="AG196" s="150">
        <f>AF196*(100+INDEX(DEFAULT!$E$238:$AJ$240,3,'USER INPUTS'!$B$4))/100</f>
        <v>0</v>
      </c>
      <c r="AH196" s="150">
        <f>AG196*(100+INDEX(DEFAULT!$E$238:$AJ$240,3,'USER INPUTS'!$B$4))/100</f>
        <v>0</v>
      </c>
      <c r="AI196" s="139"/>
      <c r="AJ196" s="133"/>
    </row>
    <row r="197" spans="1:36" s="134" customFormat="1">
      <c r="A197" s="243" t="str">
        <f>INDEX(DEFAULT!$E$274:$AJ$331,45,'USER INPUTS'!$B$4)</f>
        <v>-</v>
      </c>
      <c r="B197" s="294"/>
      <c r="C197" s="100">
        <f>'USER INPUTS'!I57</f>
        <v>0</v>
      </c>
      <c r="D197" s="295"/>
      <c r="E197" s="150">
        <f>(INDEX(DEFAULT!$E$339:$AJ$396,45,'USER INPUTS'!$B$4)/100)*($C197/100)*E$133</f>
        <v>0</v>
      </c>
      <c r="F197" s="150">
        <f>E197*(100+INDEX(DEFAULT!$E$238:$AJ$240,1,'USER INPUTS'!$B$4))/100</f>
        <v>0</v>
      </c>
      <c r="G197" s="150">
        <f>F197*(100+INDEX(DEFAULT!$E$238:$AJ$240,1,'USER INPUTS'!$B$4))/100</f>
        <v>0</v>
      </c>
      <c r="H197" s="150">
        <f>G197*(100+INDEX(DEFAULT!$E$238:$AJ$240,1,'USER INPUTS'!$B$4))/100</f>
        <v>0</v>
      </c>
      <c r="I197" s="150">
        <f>H197*(100+INDEX(DEFAULT!$E$238:$AJ$240,1,'USER INPUTS'!$B$4))/100</f>
        <v>0</v>
      </c>
      <c r="J197" s="150">
        <f>I197*(100+INDEX(DEFAULT!$E$238:$AJ$240,1,'USER INPUTS'!$B$4))/100</f>
        <v>0</v>
      </c>
      <c r="K197" s="150">
        <f>J197*(100+INDEX(DEFAULT!$E$238:$AJ$240,1,'USER INPUTS'!$B$4))/100</f>
        <v>0</v>
      </c>
      <c r="L197" s="150">
        <f>K197*(100+INDEX(DEFAULT!$E$238:$AJ$240,1,'USER INPUTS'!$B$4))/100</f>
        <v>0</v>
      </c>
      <c r="M197" s="150">
        <f>L197*(100+INDEX(DEFAULT!$E$238:$AJ$240,1,'USER INPUTS'!$B$4))/100</f>
        <v>0</v>
      </c>
      <c r="N197" s="150">
        <f>M197*(100+INDEX(DEFAULT!$E$238:$AJ$240,1,'USER INPUTS'!$B$4))/100</f>
        <v>0</v>
      </c>
      <c r="O197" s="150">
        <f>N197*(100+INDEX(DEFAULT!$E$238:$AJ$240,2,'USER INPUTS'!$B$4))/100</f>
        <v>0</v>
      </c>
      <c r="P197" s="150">
        <f>O197*(100+INDEX(DEFAULT!$E$238:$AJ$240,2,'USER INPUTS'!$B$4))/100</f>
        <v>0</v>
      </c>
      <c r="Q197" s="150">
        <f>P197*(100+INDEX(DEFAULT!$E$238:$AJ$240,2,'USER INPUTS'!$B$4))/100</f>
        <v>0</v>
      </c>
      <c r="R197" s="150">
        <f>Q197*(100+INDEX(DEFAULT!$E$238:$AJ$240,2,'USER INPUTS'!$B$4))/100</f>
        <v>0</v>
      </c>
      <c r="S197" s="150">
        <f>R197*(100+INDEX(DEFAULT!$E$238:$AJ$240,2,'USER INPUTS'!$B$4))/100</f>
        <v>0</v>
      </c>
      <c r="T197" s="150">
        <f>S197*(100+INDEX(DEFAULT!$E$238:$AJ$240,2,'USER INPUTS'!$B$4))/100</f>
        <v>0</v>
      </c>
      <c r="U197" s="150">
        <f>T197*(100+INDEX(DEFAULT!$E$238:$AJ$240,2,'USER INPUTS'!$B$4))/100</f>
        <v>0</v>
      </c>
      <c r="V197" s="150">
        <f>U197*(100+INDEX(DEFAULT!$E$238:$AJ$240,2,'USER INPUTS'!$B$4))/100</f>
        <v>0</v>
      </c>
      <c r="W197" s="150">
        <f>V197*(100+INDEX(DEFAULT!$E$238:$AJ$240,2,'USER INPUTS'!$B$4))/100</f>
        <v>0</v>
      </c>
      <c r="X197" s="150">
        <f>W197*(100+INDEX(DEFAULT!$E$238:$AJ$240,2,'USER INPUTS'!$B$4))/100</f>
        <v>0</v>
      </c>
      <c r="Y197" s="150">
        <f>X197*(100+INDEX(DEFAULT!$E$238:$AJ$240,3,'USER INPUTS'!$B$4))/100</f>
        <v>0</v>
      </c>
      <c r="Z197" s="150">
        <f>Y197*(100+INDEX(DEFAULT!$E$238:$AJ$240,3,'USER INPUTS'!$B$4))/100</f>
        <v>0</v>
      </c>
      <c r="AA197" s="150">
        <f>Z197*(100+INDEX(DEFAULT!$E$238:$AJ$240,3,'USER INPUTS'!$B$4))/100</f>
        <v>0</v>
      </c>
      <c r="AB197" s="150">
        <f>AA197*(100+INDEX(DEFAULT!$E$238:$AJ$240,3,'USER INPUTS'!$B$4))/100</f>
        <v>0</v>
      </c>
      <c r="AC197" s="150">
        <f>AB197*(100+INDEX(DEFAULT!$E$238:$AJ$240,3,'USER INPUTS'!$B$4))/100</f>
        <v>0</v>
      </c>
      <c r="AD197" s="150">
        <f>AC197*(100+INDEX(DEFAULT!$E$238:$AJ$240,3,'USER INPUTS'!$B$4))/100</f>
        <v>0</v>
      </c>
      <c r="AE197" s="150">
        <f>AD197*(100+INDEX(DEFAULT!$E$238:$AJ$240,3,'USER INPUTS'!$B$4))/100</f>
        <v>0</v>
      </c>
      <c r="AF197" s="150">
        <f>AE197*(100+INDEX(DEFAULT!$E$238:$AJ$240,3,'USER INPUTS'!$B$4))/100</f>
        <v>0</v>
      </c>
      <c r="AG197" s="150">
        <f>AF197*(100+INDEX(DEFAULT!$E$238:$AJ$240,3,'USER INPUTS'!$B$4))/100</f>
        <v>0</v>
      </c>
      <c r="AH197" s="150">
        <f>AG197*(100+INDEX(DEFAULT!$E$238:$AJ$240,3,'USER INPUTS'!$B$4))/100</f>
        <v>0</v>
      </c>
      <c r="AI197" s="139"/>
      <c r="AJ197" s="133"/>
    </row>
    <row r="198" spans="1:36" s="134" customFormat="1">
      <c r="A198" s="243" t="str">
        <f>INDEX(DEFAULT!$E$274:$AJ$331,46,'USER INPUTS'!$B$4)</f>
        <v>-</v>
      </c>
      <c r="B198" s="294"/>
      <c r="C198" s="100">
        <f>'USER INPUTS'!I58</f>
        <v>0</v>
      </c>
      <c r="D198" s="295"/>
      <c r="E198" s="150">
        <f>(INDEX(DEFAULT!$E$339:$AJ$396,46,'USER INPUTS'!$B$4)/100)*($C198/100)*E$133</f>
        <v>0</v>
      </c>
      <c r="F198" s="150">
        <f>E198*(100+INDEX(DEFAULT!$E$238:$AJ$240,1,'USER INPUTS'!$B$4))/100</f>
        <v>0</v>
      </c>
      <c r="G198" s="150">
        <f>F198*(100+INDEX(DEFAULT!$E$238:$AJ$240,1,'USER INPUTS'!$B$4))/100</f>
        <v>0</v>
      </c>
      <c r="H198" s="150">
        <f>G198*(100+INDEX(DEFAULT!$E$238:$AJ$240,1,'USER INPUTS'!$B$4))/100</f>
        <v>0</v>
      </c>
      <c r="I198" s="150">
        <f>H198*(100+INDEX(DEFAULT!$E$238:$AJ$240,1,'USER INPUTS'!$B$4))/100</f>
        <v>0</v>
      </c>
      <c r="J198" s="150">
        <f>I198*(100+INDEX(DEFAULT!$E$238:$AJ$240,1,'USER INPUTS'!$B$4))/100</f>
        <v>0</v>
      </c>
      <c r="K198" s="150">
        <f>J198*(100+INDEX(DEFAULT!$E$238:$AJ$240,1,'USER INPUTS'!$B$4))/100</f>
        <v>0</v>
      </c>
      <c r="L198" s="150">
        <f>K198*(100+INDEX(DEFAULT!$E$238:$AJ$240,1,'USER INPUTS'!$B$4))/100</f>
        <v>0</v>
      </c>
      <c r="M198" s="150">
        <f>L198*(100+INDEX(DEFAULT!$E$238:$AJ$240,1,'USER INPUTS'!$B$4))/100</f>
        <v>0</v>
      </c>
      <c r="N198" s="150">
        <f>M198*(100+INDEX(DEFAULT!$E$238:$AJ$240,1,'USER INPUTS'!$B$4))/100</f>
        <v>0</v>
      </c>
      <c r="O198" s="150">
        <f>N198*(100+INDEX(DEFAULT!$E$238:$AJ$240,2,'USER INPUTS'!$B$4))/100</f>
        <v>0</v>
      </c>
      <c r="P198" s="150">
        <f>O198*(100+INDEX(DEFAULT!$E$238:$AJ$240,2,'USER INPUTS'!$B$4))/100</f>
        <v>0</v>
      </c>
      <c r="Q198" s="150">
        <f>P198*(100+INDEX(DEFAULT!$E$238:$AJ$240,2,'USER INPUTS'!$B$4))/100</f>
        <v>0</v>
      </c>
      <c r="R198" s="150">
        <f>Q198*(100+INDEX(DEFAULT!$E$238:$AJ$240,2,'USER INPUTS'!$B$4))/100</f>
        <v>0</v>
      </c>
      <c r="S198" s="150">
        <f>R198*(100+INDEX(DEFAULT!$E$238:$AJ$240,2,'USER INPUTS'!$B$4))/100</f>
        <v>0</v>
      </c>
      <c r="T198" s="150">
        <f>S198*(100+INDEX(DEFAULT!$E$238:$AJ$240,2,'USER INPUTS'!$B$4))/100</f>
        <v>0</v>
      </c>
      <c r="U198" s="150">
        <f>T198*(100+INDEX(DEFAULT!$E$238:$AJ$240,2,'USER INPUTS'!$B$4))/100</f>
        <v>0</v>
      </c>
      <c r="V198" s="150">
        <f>U198*(100+INDEX(DEFAULT!$E$238:$AJ$240,2,'USER INPUTS'!$B$4))/100</f>
        <v>0</v>
      </c>
      <c r="W198" s="150">
        <f>V198*(100+INDEX(DEFAULT!$E$238:$AJ$240,2,'USER INPUTS'!$B$4))/100</f>
        <v>0</v>
      </c>
      <c r="X198" s="150">
        <f>W198*(100+INDEX(DEFAULT!$E$238:$AJ$240,2,'USER INPUTS'!$B$4))/100</f>
        <v>0</v>
      </c>
      <c r="Y198" s="150">
        <f>X198*(100+INDEX(DEFAULT!$E$238:$AJ$240,3,'USER INPUTS'!$B$4))/100</f>
        <v>0</v>
      </c>
      <c r="Z198" s="150">
        <f>Y198*(100+INDEX(DEFAULT!$E$238:$AJ$240,3,'USER INPUTS'!$B$4))/100</f>
        <v>0</v>
      </c>
      <c r="AA198" s="150">
        <f>Z198*(100+INDEX(DEFAULT!$E$238:$AJ$240,3,'USER INPUTS'!$B$4))/100</f>
        <v>0</v>
      </c>
      <c r="AB198" s="150">
        <f>AA198*(100+INDEX(DEFAULT!$E$238:$AJ$240,3,'USER INPUTS'!$B$4))/100</f>
        <v>0</v>
      </c>
      <c r="AC198" s="150">
        <f>AB198*(100+INDEX(DEFAULT!$E$238:$AJ$240,3,'USER INPUTS'!$B$4))/100</f>
        <v>0</v>
      </c>
      <c r="AD198" s="150">
        <f>AC198*(100+INDEX(DEFAULT!$E$238:$AJ$240,3,'USER INPUTS'!$B$4))/100</f>
        <v>0</v>
      </c>
      <c r="AE198" s="150">
        <f>AD198*(100+INDEX(DEFAULT!$E$238:$AJ$240,3,'USER INPUTS'!$B$4))/100</f>
        <v>0</v>
      </c>
      <c r="AF198" s="150">
        <f>AE198*(100+INDEX(DEFAULT!$E$238:$AJ$240,3,'USER INPUTS'!$B$4))/100</f>
        <v>0</v>
      </c>
      <c r="AG198" s="150">
        <f>AF198*(100+INDEX(DEFAULT!$E$238:$AJ$240,3,'USER INPUTS'!$B$4))/100</f>
        <v>0</v>
      </c>
      <c r="AH198" s="150">
        <f>AG198*(100+INDEX(DEFAULT!$E$238:$AJ$240,3,'USER INPUTS'!$B$4))/100</f>
        <v>0</v>
      </c>
      <c r="AI198" s="139"/>
      <c r="AJ198" s="133"/>
    </row>
    <row r="199" spans="1:36" s="134" customFormat="1">
      <c r="A199" s="243" t="str">
        <f>INDEX(DEFAULT!$E$274:$AJ$331,47,'USER INPUTS'!$B$4)</f>
        <v>-</v>
      </c>
      <c r="B199" s="294"/>
      <c r="C199" s="100">
        <f>'USER INPUTS'!I59</f>
        <v>0</v>
      </c>
      <c r="D199" s="295"/>
      <c r="E199" s="150">
        <f>(INDEX(DEFAULT!$E$339:$AJ$396,47,'USER INPUTS'!$B$4)/100)*($C199/100)*E$133</f>
        <v>0</v>
      </c>
      <c r="F199" s="150">
        <f>E199*(100+INDEX(DEFAULT!$E$238:$AJ$240,1,'USER INPUTS'!$B$4))/100</f>
        <v>0</v>
      </c>
      <c r="G199" s="150">
        <f>F199*(100+INDEX(DEFAULT!$E$238:$AJ$240,1,'USER INPUTS'!$B$4))/100</f>
        <v>0</v>
      </c>
      <c r="H199" s="150">
        <f>G199*(100+INDEX(DEFAULT!$E$238:$AJ$240,1,'USER INPUTS'!$B$4))/100</f>
        <v>0</v>
      </c>
      <c r="I199" s="150">
        <f>H199*(100+INDEX(DEFAULT!$E$238:$AJ$240,1,'USER INPUTS'!$B$4))/100</f>
        <v>0</v>
      </c>
      <c r="J199" s="150">
        <f>I199*(100+INDEX(DEFAULT!$E$238:$AJ$240,1,'USER INPUTS'!$B$4))/100</f>
        <v>0</v>
      </c>
      <c r="K199" s="150">
        <f>J199*(100+INDEX(DEFAULT!$E$238:$AJ$240,1,'USER INPUTS'!$B$4))/100</f>
        <v>0</v>
      </c>
      <c r="L199" s="150">
        <f>K199*(100+INDEX(DEFAULT!$E$238:$AJ$240,1,'USER INPUTS'!$B$4))/100</f>
        <v>0</v>
      </c>
      <c r="M199" s="150">
        <f>L199*(100+INDEX(DEFAULT!$E$238:$AJ$240,1,'USER INPUTS'!$B$4))/100</f>
        <v>0</v>
      </c>
      <c r="N199" s="150">
        <f>M199*(100+INDEX(DEFAULT!$E$238:$AJ$240,1,'USER INPUTS'!$B$4))/100</f>
        <v>0</v>
      </c>
      <c r="O199" s="150">
        <f>N199*(100+INDEX(DEFAULT!$E$238:$AJ$240,2,'USER INPUTS'!$B$4))/100</f>
        <v>0</v>
      </c>
      <c r="P199" s="150">
        <f>O199*(100+INDEX(DEFAULT!$E$238:$AJ$240,2,'USER INPUTS'!$B$4))/100</f>
        <v>0</v>
      </c>
      <c r="Q199" s="150">
        <f>P199*(100+INDEX(DEFAULT!$E$238:$AJ$240,2,'USER INPUTS'!$B$4))/100</f>
        <v>0</v>
      </c>
      <c r="R199" s="150">
        <f>Q199*(100+INDEX(DEFAULT!$E$238:$AJ$240,2,'USER INPUTS'!$B$4))/100</f>
        <v>0</v>
      </c>
      <c r="S199" s="150">
        <f>R199*(100+INDEX(DEFAULT!$E$238:$AJ$240,2,'USER INPUTS'!$B$4))/100</f>
        <v>0</v>
      </c>
      <c r="T199" s="150">
        <f>S199*(100+INDEX(DEFAULT!$E$238:$AJ$240,2,'USER INPUTS'!$B$4))/100</f>
        <v>0</v>
      </c>
      <c r="U199" s="150">
        <f>T199*(100+INDEX(DEFAULT!$E$238:$AJ$240,2,'USER INPUTS'!$B$4))/100</f>
        <v>0</v>
      </c>
      <c r="V199" s="150">
        <f>U199*(100+INDEX(DEFAULT!$E$238:$AJ$240,2,'USER INPUTS'!$B$4))/100</f>
        <v>0</v>
      </c>
      <c r="W199" s="150">
        <f>V199*(100+INDEX(DEFAULT!$E$238:$AJ$240,2,'USER INPUTS'!$B$4))/100</f>
        <v>0</v>
      </c>
      <c r="X199" s="150">
        <f>W199*(100+INDEX(DEFAULT!$E$238:$AJ$240,2,'USER INPUTS'!$B$4))/100</f>
        <v>0</v>
      </c>
      <c r="Y199" s="150">
        <f>X199*(100+INDEX(DEFAULT!$E$238:$AJ$240,3,'USER INPUTS'!$B$4))/100</f>
        <v>0</v>
      </c>
      <c r="Z199" s="150">
        <f>Y199*(100+INDEX(DEFAULT!$E$238:$AJ$240,3,'USER INPUTS'!$B$4))/100</f>
        <v>0</v>
      </c>
      <c r="AA199" s="150">
        <f>Z199*(100+INDEX(DEFAULT!$E$238:$AJ$240,3,'USER INPUTS'!$B$4))/100</f>
        <v>0</v>
      </c>
      <c r="AB199" s="150">
        <f>AA199*(100+INDEX(DEFAULT!$E$238:$AJ$240,3,'USER INPUTS'!$B$4))/100</f>
        <v>0</v>
      </c>
      <c r="AC199" s="150">
        <f>AB199*(100+INDEX(DEFAULT!$E$238:$AJ$240,3,'USER INPUTS'!$B$4))/100</f>
        <v>0</v>
      </c>
      <c r="AD199" s="150">
        <f>AC199*(100+INDEX(DEFAULT!$E$238:$AJ$240,3,'USER INPUTS'!$B$4))/100</f>
        <v>0</v>
      </c>
      <c r="AE199" s="150">
        <f>AD199*(100+INDEX(DEFAULT!$E$238:$AJ$240,3,'USER INPUTS'!$B$4))/100</f>
        <v>0</v>
      </c>
      <c r="AF199" s="150">
        <f>AE199*(100+INDEX(DEFAULT!$E$238:$AJ$240,3,'USER INPUTS'!$B$4))/100</f>
        <v>0</v>
      </c>
      <c r="AG199" s="150">
        <f>AF199*(100+INDEX(DEFAULT!$E$238:$AJ$240,3,'USER INPUTS'!$B$4))/100</f>
        <v>0</v>
      </c>
      <c r="AH199" s="150">
        <f>AG199*(100+INDEX(DEFAULT!$E$238:$AJ$240,3,'USER INPUTS'!$B$4))/100</f>
        <v>0</v>
      </c>
      <c r="AI199" s="139"/>
      <c r="AJ199" s="133"/>
    </row>
    <row r="200" spans="1:36" s="134" customFormat="1">
      <c r="A200" s="243" t="str">
        <f>INDEX(DEFAULT!$E$274:$AJ$331,48,'USER INPUTS'!$B$4)</f>
        <v>-</v>
      </c>
      <c r="B200" s="294"/>
      <c r="C200" s="100">
        <f>'USER INPUTS'!I60</f>
        <v>0</v>
      </c>
      <c r="D200" s="295"/>
      <c r="E200" s="150">
        <f>(INDEX(DEFAULT!$E$339:$AJ$396,48,'USER INPUTS'!$B$4)/100)*($C200/100)*E$133</f>
        <v>0</v>
      </c>
      <c r="F200" s="150">
        <f>E200*(100+INDEX(DEFAULT!$E$238:$AJ$240,1,'USER INPUTS'!$B$4))/100</f>
        <v>0</v>
      </c>
      <c r="G200" s="150">
        <f>F200*(100+INDEX(DEFAULT!$E$238:$AJ$240,1,'USER INPUTS'!$B$4))/100</f>
        <v>0</v>
      </c>
      <c r="H200" s="150">
        <f>G200*(100+INDEX(DEFAULT!$E$238:$AJ$240,1,'USER INPUTS'!$B$4))/100</f>
        <v>0</v>
      </c>
      <c r="I200" s="150">
        <f>H200*(100+INDEX(DEFAULT!$E$238:$AJ$240,1,'USER INPUTS'!$B$4))/100</f>
        <v>0</v>
      </c>
      <c r="J200" s="150">
        <f>I200*(100+INDEX(DEFAULT!$E$238:$AJ$240,1,'USER INPUTS'!$B$4))/100</f>
        <v>0</v>
      </c>
      <c r="K200" s="150">
        <f>J200*(100+INDEX(DEFAULT!$E$238:$AJ$240,1,'USER INPUTS'!$B$4))/100</f>
        <v>0</v>
      </c>
      <c r="L200" s="150">
        <f>K200*(100+INDEX(DEFAULT!$E$238:$AJ$240,1,'USER INPUTS'!$B$4))/100</f>
        <v>0</v>
      </c>
      <c r="M200" s="150">
        <f>L200*(100+INDEX(DEFAULT!$E$238:$AJ$240,1,'USER INPUTS'!$B$4))/100</f>
        <v>0</v>
      </c>
      <c r="N200" s="150">
        <f>M200*(100+INDEX(DEFAULT!$E$238:$AJ$240,1,'USER INPUTS'!$B$4))/100</f>
        <v>0</v>
      </c>
      <c r="O200" s="150">
        <f>N200*(100+INDEX(DEFAULT!$E$238:$AJ$240,2,'USER INPUTS'!$B$4))/100</f>
        <v>0</v>
      </c>
      <c r="P200" s="150">
        <f>O200*(100+INDEX(DEFAULT!$E$238:$AJ$240,2,'USER INPUTS'!$B$4))/100</f>
        <v>0</v>
      </c>
      <c r="Q200" s="150">
        <f>P200*(100+INDEX(DEFAULT!$E$238:$AJ$240,2,'USER INPUTS'!$B$4))/100</f>
        <v>0</v>
      </c>
      <c r="R200" s="150">
        <f>Q200*(100+INDEX(DEFAULT!$E$238:$AJ$240,2,'USER INPUTS'!$B$4))/100</f>
        <v>0</v>
      </c>
      <c r="S200" s="150">
        <f>R200*(100+INDEX(DEFAULT!$E$238:$AJ$240,2,'USER INPUTS'!$B$4))/100</f>
        <v>0</v>
      </c>
      <c r="T200" s="150">
        <f>S200*(100+INDEX(DEFAULT!$E$238:$AJ$240,2,'USER INPUTS'!$B$4))/100</f>
        <v>0</v>
      </c>
      <c r="U200" s="150">
        <f>T200*(100+INDEX(DEFAULT!$E$238:$AJ$240,2,'USER INPUTS'!$B$4))/100</f>
        <v>0</v>
      </c>
      <c r="V200" s="150">
        <f>U200*(100+INDEX(DEFAULT!$E$238:$AJ$240,2,'USER INPUTS'!$B$4))/100</f>
        <v>0</v>
      </c>
      <c r="W200" s="150">
        <f>V200*(100+INDEX(DEFAULT!$E$238:$AJ$240,2,'USER INPUTS'!$B$4))/100</f>
        <v>0</v>
      </c>
      <c r="X200" s="150">
        <f>W200*(100+INDEX(DEFAULT!$E$238:$AJ$240,2,'USER INPUTS'!$B$4))/100</f>
        <v>0</v>
      </c>
      <c r="Y200" s="150">
        <f>X200*(100+INDEX(DEFAULT!$E$238:$AJ$240,3,'USER INPUTS'!$B$4))/100</f>
        <v>0</v>
      </c>
      <c r="Z200" s="150">
        <f>Y200*(100+INDEX(DEFAULT!$E$238:$AJ$240,3,'USER INPUTS'!$B$4))/100</f>
        <v>0</v>
      </c>
      <c r="AA200" s="150">
        <f>Z200*(100+INDEX(DEFAULT!$E$238:$AJ$240,3,'USER INPUTS'!$B$4))/100</f>
        <v>0</v>
      </c>
      <c r="AB200" s="150">
        <f>AA200*(100+INDEX(DEFAULT!$E$238:$AJ$240,3,'USER INPUTS'!$B$4))/100</f>
        <v>0</v>
      </c>
      <c r="AC200" s="150">
        <f>AB200*(100+INDEX(DEFAULT!$E$238:$AJ$240,3,'USER INPUTS'!$B$4))/100</f>
        <v>0</v>
      </c>
      <c r="AD200" s="150">
        <f>AC200*(100+INDEX(DEFAULT!$E$238:$AJ$240,3,'USER INPUTS'!$B$4))/100</f>
        <v>0</v>
      </c>
      <c r="AE200" s="150">
        <f>AD200*(100+INDEX(DEFAULT!$E$238:$AJ$240,3,'USER INPUTS'!$B$4))/100</f>
        <v>0</v>
      </c>
      <c r="AF200" s="150">
        <f>AE200*(100+INDEX(DEFAULT!$E$238:$AJ$240,3,'USER INPUTS'!$B$4))/100</f>
        <v>0</v>
      </c>
      <c r="AG200" s="150">
        <f>AF200*(100+INDEX(DEFAULT!$E$238:$AJ$240,3,'USER INPUTS'!$B$4))/100</f>
        <v>0</v>
      </c>
      <c r="AH200" s="150">
        <f>AG200*(100+INDEX(DEFAULT!$E$238:$AJ$240,3,'USER INPUTS'!$B$4))/100</f>
        <v>0</v>
      </c>
      <c r="AI200" s="139"/>
      <c r="AJ200" s="133"/>
    </row>
    <row r="201" spans="1:36" s="134" customFormat="1">
      <c r="A201" s="243" t="str">
        <f>INDEX(DEFAULT!$E$274:$AJ$331,49,'USER INPUTS'!$B$4)</f>
        <v>-</v>
      </c>
      <c r="B201" s="294"/>
      <c r="C201" s="100">
        <f>'USER INPUTS'!I61</f>
        <v>0</v>
      </c>
      <c r="D201" s="295"/>
      <c r="E201" s="150">
        <f>(INDEX(DEFAULT!$E$339:$AJ$396,49,'USER INPUTS'!$B$4)/100)*($C201/100)*E$133</f>
        <v>0</v>
      </c>
      <c r="F201" s="150">
        <f>E201*(100+INDEX(DEFAULT!$E$238:$AJ$240,1,'USER INPUTS'!$B$4))/100</f>
        <v>0</v>
      </c>
      <c r="G201" s="150">
        <f>F201*(100+INDEX(DEFAULT!$E$238:$AJ$240,1,'USER INPUTS'!$B$4))/100</f>
        <v>0</v>
      </c>
      <c r="H201" s="150">
        <f>G201*(100+INDEX(DEFAULT!$E$238:$AJ$240,1,'USER INPUTS'!$B$4))/100</f>
        <v>0</v>
      </c>
      <c r="I201" s="150">
        <f>H201*(100+INDEX(DEFAULT!$E$238:$AJ$240,1,'USER INPUTS'!$B$4))/100</f>
        <v>0</v>
      </c>
      <c r="J201" s="150">
        <f>I201*(100+INDEX(DEFAULT!$E$238:$AJ$240,1,'USER INPUTS'!$B$4))/100</f>
        <v>0</v>
      </c>
      <c r="K201" s="150">
        <f>J201*(100+INDEX(DEFAULT!$E$238:$AJ$240,1,'USER INPUTS'!$B$4))/100</f>
        <v>0</v>
      </c>
      <c r="L201" s="150">
        <f>K201*(100+INDEX(DEFAULT!$E$238:$AJ$240,1,'USER INPUTS'!$B$4))/100</f>
        <v>0</v>
      </c>
      <c r="M201" s="150">
        <f>L201*(100+INDEX(DEFAULT!$E$238:$AJ$240,1,'USER INPUTS'!$B$4))/100</f>
        <v>0</v>
      </c>
      <c r="N201" s="150">
        <f>M201*(100+INDEX(DEFAULT!$E$238:$AJ$240,1,'USER INPUTS'!$B$4))/100</f>
        <v>0</v>
      </c>
      <c r="O201" s="150">
        <f>N201*(100+INDEX(DEFAULT!$E$238:$AJ$240,2,'USER INPUTS'!$B$4))/100</f>
        <v>0</v>
      </c>
      <c r="P201" s="150">
        <f>O201*(100+INDEX(DEFAULT!$E$238:$AJ$240,2,'USER INPUTS'!$B$4))/100</f>
        <v>0</v>
      </c>
      <c r="Q201" s="150">
        <f>P201*(100+INDEX(DEFAULT!$E$238:$AJ$240,2,'USER INPUTS'!$B$4))/100</f>
        <v>0</v>
      </c>
      <c r="R201" s="150">
        <f>Q201*(100+INDEX(DEFAULT!$E$238:$AJ$240,2,'USER INPUTS'!$B$4))/100</f>
        <v>0</v>
      </c>
      <c r="S201" s="150">
        <f>R201*(100+INDEX(DEFAULT!$E$238:$AJ$240,2,'USER INPUTS'!$B$4))/100</f>
        <v>0</v>
      </c>
      <c r="T201" s="150">
        <f>S201*(100+INDEX(DEFAULT!$E$238:$AJ$240,2,'USER INPUTS'!$B$4))/100</f>
        <v>0</v>
      </c>
      <c r="U201" s="150">
        <f>T201*(100+INDEX(DEFAULT!$E$238:$AJ$240,2,'USER INPUTS'!$B$4))/100</f>
        <v>0</v>
      </c>
      <c r="V201" s="150">
        <f>U201*(100+INDEX(DEFAULT!$E$238:$AJ$240,2,'USER INPUTS'!$B$4))/100</f>
        <v>0</v>
      </c>
      <c r="W201" s="150">
        <f>V201*(100+INDEX(DEFAULT!$E$238:$AJ$240,2,'USER INPUTS'!$B$4))/100</f>
        <v>0</v>
      </c>
      <c r="X201" s="150">
        <f>W201*(100+INDEX(DEFAULT!$E$238:$AJ$240,2,'USER INPUTS'!$B$4))/100</f>
        <v>0</v>
      </c>
      <c r="Y201" s="150">
        <f>X201*(100+INDEX(DEFAULT!$E$238:$AJ$240,3,'USER INPUTS'!$B$4))/100</f>
        <v>0</v>
      </c>
      <c r="Z201" s="150">
        <f>Y201*(100+INDEX(DEFAULT!$E$238:$AJ$240,3,'USER INPUTS'!$B$4))/100</f>
        <v>0</v>
      </c>
      <c r="AA201" s="150">
        <f>Z201*(100+INDEX(DEFAULT!$E$238:$AJ$240,3,'USER INPUTS'!$B$4))/100</f>
        <v>0</v>
      </c>
      <c r="AB201" s="150">
        <f>AA201*(100+INDEX(DEFAULT!$E$238:$AJ$240,3,'USER INPUTS'!$B$4))/100</f>
        <v>0</v>
      </c>
      <c r="AC201" s="150">
        <f>AB201*(100+INDEX(DEFAULT!$E$238:$AJ$240,3,'USER INPUTS'!$B$4))/100</f>
        <v>0</v>
      </c>
      <c r="AD201" s="150">
        <f>AC201*(100+INDEX(DEFAULT!$E$238:$AJ$240,3,'USER INPUTS'!$B$4))/100</f>
        <v>0</v>
      </c>
      <c r="AE201" s="150">
        <f>AD201*(100+INDEX(DEFAULT!$E$238:$AJ$240,3,'USER INPUTS'!$B$4))/100</f>
        <v>0</v>
      </c>
      <c r="AF201" s="150">
        <f>AE201*(100+INDEX(DEFAULT!$E$238:$AJ$240,3,'USER INPUTS'!$B$4))/100</f>
        <v>0</v>
      </c>
      <c r="AG201" s="150">
        <f>AF201*(100+INDEX(DEFAULT!$E$238:$AJ$240,3,'USER INPUTS'!$B$4))/100</f>
        <v>0</v>
      </c>
      <c r="AH201" s="150">
        <f>AG201*(100+INDEX(DEFAULT!$E$238:$AJ$240,3,'USER INPUTS'!$B$4))/100</f>
        <v>0</v>
      </c>
      <c r="AI201" s="139"/>
      <c r="AJ201" s="133"/>
    </row>
    <row r="202" spans="1:36" s="134" customFormat="1">
      <c r="A202" s="243" t="str">
        <f>INDEX(DEFAULT!$E$274:$AJ$331,50,'USER INPUTS'!$B$4)</f>
        <v>-</v>
      </c>
      <c r="B202" s="294"/>
      <c r="C202" s="100">
        <f>'USER INPUTS'!I62</f>
        <v>0</v>
      </c>
      <c r="D202" s="295"/>
      <c r="E202" s="150">
        <f>(INDEX(DEFAULT!$E$339:$AJ$396,50,'USER INPUTS'!$B$4)/100)*($C202/100)*E$133</f>
        <v>0</v>
      </c>
      <c r="F202" s="150">
        <f>E202*(100+INDEX(DEFAULT!$E$238:$AJ$240,1,'USER INPUTS'!$B$4))/100</f>
        <v>0</v>
      </c>
      <c r="G202" s="150">
        <f>F202*(100+INDEX(DEFAULT!$E$238:$AJ$240,1,'USER INPUTS'!$B$4))/100</f>
        <v>0</v>
      </c>
      <c r="H202" s="150">
        <f>G202*(100+INDEX(DEFAULT!$E$238:$AJ$240,1,'USER INPUTS'!$B$4))/100</f>
        <v>0</v>
      </c>
      <c r="I202" s="150">
        <f>H202*(100+INDEX(DEFAULT!$E$238:$AJ$240,1,'USER INPUTS'!$B$4))/100</f>
        <v>0</v>
      </c>
      <c r="J202" s="150">
        <f>I202*(100+INDEX(DEFAULT!$E$238:$AJ$240,1,'USER INPUTS'!$B$4))/100</f>
        <v>0</v>
      </c>
      <c r="K202" s="150">
        <f>J202*(100+INDEX(DEFAULT!$E$238:$AJ$240,1,'USER INPUTS'!$B$4))/100</f>
        <v>0</v>
      </c>
      <c r="L202" s="150">
        <f>K202*(100+INDEX(DEFAULT!$E$238:$AJ$240,1,'USER INPUTS'!$B$4))/100</f>
        <v>0</v>
      </c>
      <c r="M202" s="150">
        <f>L202*(100+INDEX(DEFAULT!$E$238:$AJ$240,1,'USER INPUTS'!$B$4))/100</f>
        <v>0</v>
      </c>
      <c r="N202" s="150">
        <f>M202*(100+INDEX(DEFAULT!$E$238:$AJ$240,1,'USER INPUTS'!$B$4))/100</f>
        <v>0</v>
      </c>
      <c r="O202" s="150">
        <f>N202*(100+INDEX(DEFAULT!$E$238:$AJ$240,2,'USER INPUTS'!$B$4))/100</f>
        <v>0</v>
      </c>
      <c r="P202" s="150">
        <f>O202*(100+INDEX(DEFAULT!$E$238:$AJ$240,2,'USER INPUTS'!$B$4))/100</f>
        <v>0</v>
      </c>
      <c r="Q202" s="150">
        <f>P202*(100+INDEX(DEFAULT!$E$238:$AJ$240,2,'USER INPUTS'!$B$4))/100</f>
        <v>0</v>
      </c>
      <c r="R202" s="150">
        <f>Q202*(100+INDEX(DEFAULT!$E$238:$AJ$240,2,'USER INPUTS'!$B$4))/100</f>
        <v>0</v>
      </c>
      <c r="S202" s="150">
        <f>R202*(100+INDEX(DEFAULT!$E$238:$AJ$240,2,'USER INPUTS'!$B$4))/100</f>
        <v>0</v>
      </c>
      <c r="T202" s="150">
        <f>S202*(100+INDEX(DEFAULT!$E$238:$AJ$240,2,'USER INPUTS'!$B$4))/100</f>
        <v>0</v>
      </c>
      <c r="U202" s="150">
        <f>T202*(100+INDEX(DEFAULT!$E$238:$AJ$240,2,'USER INPUTS'!$B$4))/100</f>
        <v>0</v>
      </c>
      <c r="V202" s="150">
        <f>U202*(100+INDEX(DEFAULT!$E$238:$AJ$240,2,'USER INPUTS'!$B$4))/100</f>
        <v>0</v>
      </c>
      <c r="W202" s="150">
        <f>V202*(100+INDEX(DEFAULT!$E$238:$AJ$240,2,'USER INPUTS'!$B$4))/100</f>
        <v>0</v>
      </c>
      <c r="X202" s="150">
        <f>W202*(100+INDEX(DEFAULT!$E$238:$AJ$240,2,'USER INPUTS'!$B$4))/100</f>
        <v>0</v>
      </c>
      <c r="Y202" s="150">
        <f>X202*(100+INDEX(DEFAULT!$E$238:$AJ$240,3,'USER INPUTS'!$B$4))/100</f>
        <v>0</v>
      </c>
      <c r="Z202" s="150">
        <f>Y202*(100+INDEX(DEFAULT!$E$238:$AJ$240,3,'USER INPUTS'!$B$4))/100</f>
        <v>0</v>
      </c>
      <c r="AA202" s="150">
        <f>Z202*(100+INDEX(DEFAULT!$E$238:$AJ$240,3,'USER INPUTS'!$B$4))/100</f>
        <v>0</v>
      </c>
      <c r="AB202" s="150">
        <f>AA202*(100+INDEX(DEFAULT!$E$238:$AJ$240,3,'USER INPUTS'!$B$4))/100</f>
        <v>0</v>
      </c>
      <c r="AC202" s="150">
        <f>AB202*(100+INDEX(DEFAULT!$E$238:$AJ$240,3,'USER INPUTS'!$B$4))/100</f>
        <v>0</v>
      </c>
      <c r="AD202" s="150">
        <f>AC202*(100+INDEX(DEFAULT!$E$238:$AJ$240,3,'USER INPUTS'!$B$4))/100</f>
        <v>0</v>
      </c>
      <c r="AE202" s="150">
        <f>AD202*(100+INDEX(DEFAULT!$E$238:$AJ$240,3,'USER INPUTS'!$B$4))/100</f>
        <v>0</v>
      </c>
      <c r="AF202" s="150">
        <f>AE202*(100+INDEX(DEFAULT!$E$238:$AJ$240,3,'USER INPUTS'!$B$4))/100</f>
        <v>0</v>
      </c>
      <c r="AG202" s="150">
        <f>AF202*(100+INDEX(DEFAULT!$E$238:$AJ$240,3,'USER INPUTS'!$B$4))/100</f>
        <v>0</v>
      </c>
      <c r="AH202" s="150">
        <f>AG202*(100+INDEX(DEFAULT!$E$238:$AJ$240,3,'USER INPUTS'!$B$4))/100</f>
        <v>0</v>
      </c>
      <c r="AI202" s="139"/>
      <c r="AJ202" s="133"/>
    </row>
    <row r="203" spans="1:36" s="134" customFormat="1">
      <c r="A203" s="243" t="str">
        <f>INDEX(DEFAULT!$E$274:$AJ$331,51,'USER INPUTS'!$B$4)</f>
        <v>-</v>
      </c>
      <c r="B203" s="294"/>
      <c r="C203" s="100">
        <f>'USER INPUTS'!I63</f>
        <v>0</v>
      </c>
      <c r="D203" s="295"/>
      <c r="E203" s="150">
        <f>(INDEX(DEFAULT!$E$339:$AJ$396,51,'USER INPUTS'!$B$4)/100)*($C203/100)*E$133</f>
        <v>0</v>
      </c>
      <c r="F203" s="150">
        <f>E203*(100+INDEX(DEFAULT!$E$238:$AJ$240,1,'USER INPUTS'!$B$4))/100</f>
        <v>0</v>
      </c>
      <c r="G203" s="150">
        <f>F203*(100+INDEX(DEFAULT!$E$238:$AJ$240,1,'USER INPUTS'!$B$4))/100</f>
        <v>0</v>
      </c>
      <c r="H203" s="150">
        <f>G203*(100+INDEX(DEFAULT!$E$238:$AJ$240,1,'USER INPUTS'!$B$4))/100</f>
        <v>0</v>
      </c>
      <c r="I203" s="150">
        <f>H203*(100+INDEX(DEFAULT!$E$238:$AJ$240,1,'USER INPUTS'!$B$4))/100</f>
        <v>0</v>
      </c>
      <c r="J203" s="150">
        <f>I203*(100+INDEX(DEFAULT!$E$238:$AJ$240,1,'USER INPUTS'!$B$4))/100</f>
        <v>0</v>
      </c>
      <c r="K203" s="150">
        <f>J203*(100+INDEX(DEFAULT!$E$238:$AJ$240,1,'USER INPUTS'!$B$4))/100</f>
        <v>0</v>
      </c>
      <c r="L203" s="150">
        <f>K203*(100+INDEX(DEFAULT!$E$238:$AJ$240,1,'USER INPUTS'!$B$4))/100</f>
        <v>0</v>
      </c>
      <c r="M203" s="150">
        <f>L203*(100+INDEX(DEFAULT!$E$238:$AJ$240,1,'USER INPUTS'!$B$4))/100</f>
        <v>0</v>
      </c>
      <c r="N203" s="150">
        <f>M203*(100+INDEX(DEFAULT!$E$238:$AJ$240,1,'USER INPUTS'!$B$4))/100</f>
        <v>0</v>
      </c>
      <c r="O203" s="150">
        <f>N203*(100+INDEX(DEFAULT!$E$238:$AJ$240,2,'USER INPUTS'!$B$4))/100</f>
        <v>0</v>
      </c>
      <c r="P203" s="150">
        <f>O203*(100+INDEX(DEFAULT!$E$238:$AJ$240,2,'USER INPUTS'!$B$4))/100</f>
        <v>0</v>
      </c>
      <c r="Q203" s="150">
        <f>P203*(100+INDEX(DEFAULT!$E$238:$AJ$240,2,'USER INPUTS'!$B$4))/100</f>
        <v>0</v>
      </c>
      <c r="R203" s="150">
        <f>Q203*(100+INDEX(DEFAULT!$E$238:$AJ$240,2,'USER INPUTS'!$B$4))/100</f>
        <v>0</v>
      </c>
      <c r="S203" s="150">
        <f>R203*(100+INDEX(DEFAULT!$E$238:$AJ$240,2,'USER INPUTS'!$B$4))/100</f>
        <v>0</v>
      </c>
      <c r="T203" s="150">
        <f>S203*(100+INDEX(DEFAULT!$E$238:$AJ$240,2,'USER INPUTS'!$B$4))/100</f>
        <v>0</v>
      </c>
      <c r="U203" s="150">
        <f>T203*(100+INDEX(DEFAULT!$E$238:$AJ$240,2,'USER INPUTS'!$B$4))/100</f>
        <v>0</v>
      </c>
      <c r="V203" s="150">
        <f>U203*(100+INDEX(DEFAULT!$E$238:$AJ$240,2,'USER INPUTS'!$B$4))/100</f>
        <v>0</v>
      </c>
      <c r="W203" s="150">
        <f>V203*(100+INDEX(DEFAULT!$E$238:$AJ$240,2,'USER INPUTS'!$B$4))/100</f>
        <v>0</v>
      </c>
      <c r="X203" s="150">
        <f>W203*(100+INDEX(DEFAULT!$E$238:$AJ$240,2,'USER INPUTS'!$B$4))/100</f>
        <v>0</v>
      </c>
      <c r="Y203" s="150">
        <f>X203*(100+INDEX(DEFAULT!$E$238:$AJ$240,3,'USER INPUTS'!$B$4))/100</f>
        <v>0</v>
      </c>
      <c r="Z203" s="150">
        <f>Y203*(100+INDEX(DEFAULT!$E$238:$AJ$240,3,'USER INPUTS'!$B$4))/100</f>
        <v>0</v>
      </c>
      <c r="AA203" s="150">
        <f>Z203*(100+INDEX(DEFAULT!$E$238:$AJ$240,3,'USER INPUTS'!$B$4))/100</f>
        <v>0</v>
      </c>
      <c r="AB203" s="150">
        <f>AA203*(100+INDEX(DEFAULT!$E$238:$AJ$240,3,'USER INPUTS'!$B$4))/100</f>
        <v>0</v>
      </c>
      <c r="AC203" s="150">
        <f>AB203*(100+INDEX(DEFAULT!$E$238:$AJ$240,3,'USER INPUTS'!$B$4))/100</f>
        <v>0</v>
      </c>
      <c r="AD203" s="150">
        <f>AC203*(100+INDEX(DEFAULT!$E$238:$AJ$240,3,'USER INPUTS'!$B$4))/100</f>
        <v>0</v>
      </c>
      <c r="AE203" s="150">
        <f>AD203*(100+INDEX(DEFAULT!$E$238:$AJ$240,3,'USER INPUTS'!$B$4))/100</f>
        <v>0</v>
      </c>
      <c r="AF203" s="150">
        <f>AE203*(100+INDEX(DEFAULT!$E$238:$AJ$240,3,'USER INPUTS'!$B$4))/100</f>
        <v>0</v>
      </c>
      <c r="AG203" s="150">
        <f>AF203*(100+INDEX(DEFAULT!$E$238:$AJ$240,3,'USER INPUTS'!$B$4))/100</f>
        <v>0</v>
      </c>
      <c r="AH203" s="150">
        <f>AG203*(100+INDEX(DEFAULT!$E$238:$AJ$240,3,'USER INPUTS'!$B$4))/100</f>
        <v>0</v>
      </c>
      <c r="AI203" s="139"/>
      <c r="AJ203" s="133"/>
    </row>
    <row r="204" spans="1:36" s="134" customFormat="1">
      <c r="A204" s="243" t="str">
        <f>INDEX(DEFAULT!$E$274:$AJ$331,52,'USER INPUTS'!$B$4)</f>
        <v>-</v>
      </c>
      <c r="B204" s="294"/>
      <c r="C204" s="100">
        <f>'USER INPUTS'!I64</f>
        <v>0</v>
      </c>
      <c r="D204" s="295"/>
      <c r="E204" s="150">
        <f>(INDEX(DEFAULT!$E$339:$AJ$396,52,'USER INPUTS'!$B$4)/100)*($C204/100)*E$133</f>
        <v>0</v>
      </c>
      <c r="F204" s="150">
        <f>E204*(100+INDEX(DEFAULT!$E$238:$AJ$240,1,'USER INPUTS'!$B$4))/100</f>
        <v>0</v>
      </c>
      <c r="G204" s="150">
        <f>F204*(100+INDEX(DEFAULT!$E$238:$AJ$240,1,'USER INPUTS'!$B$4))/100</f>
        <v>0</v>
      </c>
      <c r="H204" s="150">
        <f>G204*(100+INDEX(DEFAULT!$E$238:$AJ$240,1,'USER INPUTS'!$B$4))/100</f>
        <v>0</v>
      </c>
      <c r="I204" s="150">
        <f>H204*(100+INDEX(DEFAULT!$E$238:$AJ$240,1,'USER INPUTS'!$B$4))/100</f>
        <v>0</v>
      </c>
      <c r="J204" s="150">
        <f>I204*(100+INDEX(DEFAULT!$E$238:$AJ$240,1,'USER INPUTS'!$B$4))/100</f>
        <v>0</v>
      </c>
      <c r="K204" s="150">
        <f>J204*(100+INDEX(DEFAULT!$E$238:$AJ$240,1,'USER INPUTS'!$B$4))/100</f>
        <v>0</v>
      </c>
      <c r="L204" s="150">
        <f>K204*(100+INDEX(DEFAULT!$E$238:$AJ$240,1,'USER INPUTS'!$B$4))/100</f>
        <v>0</v>
      </c>
      <c r="M204" s="150">
        <f>L204*(100+INDEX(DEFAULT!$E$238:$AJ$240,1,'USER INPUTS'!$B$4))/100</f>
        <v>0</v>
      </c>
      <c r="N204" s="150">
        <f>M204*(100+INDEX(DEFAULT!$E$238:$AJ$240,1,'USER INPUTS'!$B$4))/100</f>
        <v>0</v>
      </c>
      <c r="O204" s="150">
        <f>N204*(100+INDEX(DEFAULT!$E$238:$AJ$240,2,'USER INPUTS'!$B$4))/100</f>
        <v>0</v>
      </c>
      <c r="P204" s="150">
        <f>O204*(100+INDEX(DEFAULT!$E$238:$AJ$240,2,'USER INPUTS'!$B$4))/100</f>
        <v>0</v>
      </c>
      <c r="Q204" s="150">
        <f>P204*(100+INDEX(DEFAULT!$E$238:$AJ$240,2,'USER INPUTS'!$B$4))/100</f>
        <v>0</v>
      </c>
      <c r="R204" s="150">
        <f>Q204*(100+INDEX(DEFAULT!$E$238:$AJ$240,2,'USER INPUTS'!$B$4))/100</f>
        <v>0</v>
      </c>
      <c r="S204" s="150">
        <f>R204*(100+INDEX(DEFAULT!$E$238:$AJ$240,2,'USER INPUTS'!$B$4))/100</f>
        <v>0</v>
      </c>
      <c r="T204" s="150">
        <f>S204*(100+INDEX(DEFAULT!$E$238:$AJ$240,2,'USER INPUTS'!$B$4))/100</f>
        <v>0</v>
      </c>
      <c r="U204" s="150">
        <f>T204*(100+INDEX(DEFAULT!$E$238:$AJ$240,2,'USER INPUTS'!$B$4))/100</f>
        <v>0</v>
      </c>
      <c r="V204" s="150">
        <f>U204*(100+INDEX(DEFAULT!$E$238:$AJ$240,2,'USER INPUTS'!$B$4))/100</f>
        <v>0</v>
      </c>
      <c r="W204" s="150">
        <f>V204*(100+INDEX(DEFAULT!$E$238:$AJ$240,2,'USER INPUTS'!$B$4))/100</f>
        <v>0</v>
      </c>
      <c r="X204" s="150">
        <f>W204*(100+INDEX(DEFAULT!$E$238:$AJ$240,2,'USER INPUTS'!$B$4))/100</f>
        <v>0</v>
      </c>
      <c r="Y204" s="150">
        <f>X204*(100+INDEX(DEFAULT!$E$238:$AJ$240,3,'USER INPUTS'!$B$4))/100</f>
        <v>0</v>
      </c>
      <c r="Z204" s="150">
        <f>Y204*(100+INDEX(DEFAULT!$E$238:$AJ$240,3,'USER INPUTS'!$B$4))/100</f>
        <v>0</v>
      </c>
      <c r="AA204" s="150">
        <f>Z204*(100+INDEX(DEFAULT!$E$238:$AJ$240,3,'USER INPUTS'!$B$4))/100</f>
        <v>0</v>
      </c>
      <c r="AB204" s="150">
        <f>AA204*(100+INDEX(DEFAULT!$E$238:$AJ$240,3,'USER INPUTS'!$B$4))/100</f>
        <v>0</v>
      </c>
      <c r="AC204" s="150">
        <f>AB204*(100+INDEX(DEFAULT!$E$238:$AJ$240,3,'USER INPUTS'!$B$4))/100</f>
        <v>0</v>
      </c>
      <c r="AD204" s="150">
        <f>AC204*(100+INDEX(DEFAULT!$E$238:$AJ$240,3,'USER INPUTS'!$B$4))/100</f>
        <v>0</v>
      </c>
      <c r="AE204" s="150">
        <f>AD204*(100+INDEX(DEFAULT!$E$238:$AJ$240,3,'USER INPUTS'!$B$4))/100</f>
        <v>0</v>
      </c>
      <c r="AF204" s="150">
        <f>AE204*(100+INDEX(DEFAULT!$E$238:$AJ$240,3,'USER INPUTS'!$B$4))/100</f>
        <v>0</v>
      </c>
      <c r="AG204" s="150">
        <f>AF204*(100+INDEX(DEFAULT!$E$238:$AJ$240,3,'USER INPUTS'!$B$4))/100</f>
        <v>0</v>
      </c>
      <c r="AH204" s="150">
        <f>AG204*(100+INDEX(DEFAULT!$E$238:$AJ$240,3,'USER INPUTS'!$B$4))/100</f>
        <v>0</v>
      </c>
      <c r="AI204" s="139"/>
      <c r="AJ204" s="133"/>
    </row>
    <row r="205" spans="1:36" s="134" customFormat="1">
      <c r="A205" s="243" t="str">
        <f>INDEX(DEFAULT!$E$274:$AJ$331,53,'USER INPUTS'!$B$4)</f>
        <v>-</v>
      </c>
      <c r="B205" s="294"/>
      <c r="C205" s="100">
        <f>'USER INPUTS'!I65</f>
        <v>0</v>
      </c>
      <c r="D205" s="295"/>
      <c r="E205" s="150">
        <f>(INDEX(DEFAULT!$E$339:$AJ$396,53,'USER INPUTS'!$B$4)/100)*($C205/100)*E$133</f>
        <v>0</v>
      </c>
      <c r="F205" s="150">
        <f>E205*(100+INDEX(DEFAULT!$E$238:$AJ$240,1,'USER INPUTS'!$B$4))/100</f>
        <v>0</v>
      </c>
      <c r="G205" s="150">
        <f>F205*(100+INDEX(DEFAULT!$E$238:$AJ$240,1,'USER INPUTS'!$B$4))/100</f>
        <v>0</v>
      </c>
      <c r="H205" s="150">
        <f>G205*(100+INDEX(DEFAULT!$E$238:$AJ$240,1,'USER INPUTS'!$B$4))/100</f>
        <v>0</v>
      </c>
      <c r="I205" s="150">
        <f>H205*(100+INDEX(DEFAULT!$E$238:$AJ$240,1,'USER INPUTS'!$B$4))/100</f>
        <v>0</v>
      </c>
      <c r="J205" s="150">
        <f>I205*(100+INDEX(DEFAULT!$E$238:$AJ$240,1,'USER INPUTS'!$B$4))/100</f>
        <v>0</v>
      </c>
      <c r="K205" s="150">
        <f>J205*(100+INDEX(DEFAULT!$E$238:$AJ$240,1,'USER INPUTS'!$B$4))/100</f>
        <v>0</v>
      </c>
      <c r="L205" s="150">
        <f>K205*(100+INDEX(DEFAULT!$E$238:$AJ$240,1,'USER INPUTS'!$B$4))/100</f>
        <v>0</v>
      </c>
      <c r="M205" s="150">
        <f>L205*(100+INDEX(DEFAULT!$E$238:$AJ$240,1,'USER INPUTS'!$B$4))/100</f>
        <v>0</v>
      </c>
      <c r="N205" s="150">
        <f>M205*(100+INDEX(DEFAULT!$E$238:$AJ$240,1,'USER INPUTS'!$B$4))/100</f>
        <v>0</v>
      </c>
      <c r="O205" s="150">
        <f>N205*(100+INDEX(DEFAULT!$E$238:$AJ$240,2,'USER INPUTS'!$B$4))/100</f>
        <v>0</v>
      </c>
      <c r="P205" s="150">
        <f>O205*(100+INDEX(DEFAULT!$E$238:$AJ$240,2,'USER INPUTS'!$B$4))/100</f>
        <v>0</v>
      </c>
      <c r="Q205" s="150">
        <f>P205*(100+INDEX(DEFAULT!$E$238:$AJ$240,2,'USER INPUTS'!$B$4))/100</f>
        <v>0</v>
      </c>
      <c r="R205" s="150">
        <f>Q205*(100+INDEX(DEFAULT!$E$238:$AJ$240,2,'USER INPUTS'!$B$4))/100</f>
        <v>0</v>
      </c>
      <c r="S205" s="150">
        <f>R205*(100+INDEX(DEFAULT!$E$238:$AJ$240,2,'USER INPUTS'!$B$4))/100</f>
        <v>0</v>
      </c>
      <c r="T205" s="150">
        <f>S205*(100+INDEX(DEFAULT!$E$238:$AJ$240,2,'USER INPUTS'!$B$4))/100</f>
        <v>0</v>
      </c>
      <c r="U205" s="150">
        <f>T205*(100+INDEX(DEFAULT!$E$238:$AJ$240,2,'USER INPUTS'!$B$4))/100</f>
        <v>0</v>
      </c>
      <c r="V205" s="150">
        <f>U205*(100+INDEX(DEFAULT!$E$238:$AJ$240,2,'USER INPUTS'!$B$4))/100</f>
        <v>0</v>
      </c>
      <c r="W205" s="150">
        <f>V205*(100+INDEX(DEFAULT!$E$238:$AJ$240,2,'USER INPUTS'!$B$4))/100</f>
        <v>0</v>
      </c>
      <c r="X205" s="150">
        <f>W205*(100+INDEX(DEFAULT!$E$238:$AJ$240,2,'USER INPUTS'!$B$4))/100</f>
        <v>0</v>
      </c>
      <c r="Y205" s="150">
        <f>X205*(100+INDEX(DEFAULT!$E$238:$AJ$240,3,'USER INPUTS'!$B$4))/100</f>
        <v>0</v>
      </c>
      <c r="Z205" s="150">
        <f>Y205*(100+INDEX(DEFAULT!$E$238:$AJ$240,3,'USER INPUTS'!$B$4))/100</f>
        <v>0</v>
      </c>
      <c r="AA205" s="150">
        <f>Z205*(100+INDEX(DEFAULT!$E$238:$AJ$240,3,'USER INPUTS'!$B$4))/100</f>
        <v>0</v>
      </c>
      <c r="AB205" s="150">
        <f>AA205*(100+INDEX(DEFAULT!$E$238:$AJ$240,3,'USER INPUTS'!$B$4))/100</f>
        <v>0</v>
      </c>
      <c r="AC205" s="150">
        <f>AB205*(100+INDEX(DEFAULT!$E$238:$AJ$240,3,'USER INPUTS'!$B$4))/100</f>
        <v>0</v>
      </c>
      <c r="AD205" s="150">
        <f>AC205*(100+INDEX(DEFAULT!$E$238:$AJ$240,3,'USER INPUTS'!$B$4))/100</f>
        <v>0</v>
      </c>
      <c r="AE205" s="150">
        <f>AD205*(100+INDEX(DEFAULT!$E$238:$AJ$240,3,'USER INPUTS'!$B$4))/100</f>
        <v>0</v>
      </c>
      <c r="AF205" s="150">
        <f>AE205*(100+INDEX(DEFAULT!$E$238:$AJ$240,3,'USER INPUTS'!$B$4))/100</f>
        <v>0</v>
      </c>
      <c r="AG205" s="150">
        <f>AF205*(100+INDEX(DEFAULT!$E$238:$AJ$240,3,'USER INPUTS'!$B$4))/100</f>
        <v>0</v>
      </c>
      <c r="AH205" s="150">
        <f>AG205*(100+INDEX(DEFAULT!$E$238:$AJ$240,3,'USER INPUTS'!$B$4))/100</f>
        <v>0</v>
      </c>
      <c r="AI205" s="139"/>
      <c r="AJ205" s="133"/>
    </row>
    <row r="206" spans="1:36" s="134" customFormat="1">
      <c r="A206" s="243" t="str">
        <f>INDEX(DEFAULT!$E$274:$AJ$331,54,'USER INPUTS'!$B$4)</f>
        <v>-</v>
      </c>
      <c r="B206" s="294"/>
      <c r="C206" s="100">
        <f>'USER INPUTS'!I66</f>
        <v>0</v>
      </c>
      <c r="D206" s="295"/>
      <c r="E206" s="150">
        <f>(INDEX(DEFAULT!$E$339:$AJ$396,54,'USER INPUTS'!$B$4)/100)*($C206/100)*E$133</f>
        <v>0</v>
      </c>
      <c r="F206" s="150">
        <f>E206*(100+INDEX(DEFAULT!$E$238:$AJ$240,1,'USER INPUTS'!$B$4))/100</f>
        <v>0</v>
      </c>
      <c r="G206" s="150">
        <f>F206*(100+INDEX(DEFAULT!$E$238:$AJ$240,1,'USER INPUTS'!$B$4))/100</f>
        <v>0</v>
      </c>
      <c r="H206" s="150">
        <f>G206*(100+INDEX(DEFAULT!$E$238:$AJ$240,1,'USER INPUTS'!$B$4))/100</f>
        <v>0</v>
      </c>
      <c r="I206" s="150">
        <f>H206*(100+INDEX(DEFAULT!$E$238:$AJ$240,1,'USER INPUTS'!$B$4))/100</f>
        <v>0</v>
      </c>
      <c r="J206" s="150">
        <f>I206*(100+INDEX(DEFAULT!$E$238:$AJ$240,1,'USER INPUTS'!$B$4))/100</f>
        <v>0</v>
      </c>
      <c r="K206" s="150">
        <f>J206*(100+INDEX(DEFAULT!$E$238:$AJ$240,1,'USER INPUTS'!$B$4))/100</f>
        <v>0</v>
      </c>
      <c r="L206" s="150">
        <f>K206*(100+INDEX(DEFAULT!$E$238:$AJ$240,1,'USER INPUTS'!$B$4))/100</f>
        <v>0</v>
      </c>
      <c r="M206" s="150">
        <f>L206*(100+INDEX(DEFAULT!$E$238:$AJ$240,1,'USER INPUTS'!$B$4))/100</f>
        <v>0</v>
      </c>
      <c r="N206" s="150">
        <f>M206*(100+INDEX(DEFAULT!$E$238:$AJ$240,1,'USER INPUTS'!$B$4))/100</f>
        <v>0</v>
      </c>
      <c r="O206" s="150">
        <f>N206*(100+INDEX(DEFAULT!$E$238:$AJ$240,2,'USER INPUTS'!$B$4))/100</f>
        <v>0</v>
      </c>
      <c r="P206" s="150">
        <f>O206*(100+INDEX(DEFAULT!$E$238:$AJ$240,2,'USER INPUTS'!$B$4))/100</f>
        <v>0</v>
      </c>
      <c r="Q206" s="150">
        <f>P206*(100+INDEX(DEFAULT!$E$238:$AJ$240,2,'USER INPUTS'!$B$4))/100</f>
        <v>0</v>
      </c>
      <c r="R206" s="150">
        <f>Q206*(100+INDEX(DEFAULT!$E$238:$AJ$240,2,'USER INPUTS'!$B$4))/100</f>
        <v>0</v>
      </c>
      <c r="S206" s="150">
        <f>R206*(100+INDEX(DEFAULT!$E$238:$AJ$240,2,'USER INPUTS'!$B$4))/100</f>
        <v>0</v>
      </c>
      <c r="T206" s="150">
        <f>S206*(100+INDEX(DEFAULT!$E$238:$AJ$240,2,'USER INPUTS'!$B$4))/100</f>
        <v>0</v>
      </c>
      <c r="U206" s="150">
        <f>T206*(100+INDEX(DEFAULT!$E$238:$AJ$240,2,'USER INPUTS'!$B$4))/100</f>
        <v>0</v>
      </c>
      <c r="V206" s="150">
        <f>U206*(100+INDEX(DEFAULT!$E$238:$AJ$240,2,'USER INPUTS'!$B$4))/100</f>
        <v>0</v>
      </c>
      <c r="W206" s="150">
        <f>V206*(100+INDEX(DEFAULT!$E$238:$AJ$240,2,'USER INPUTS'!$B$4))/100</f>
        <v>0</v>
      </c>
      <c r="X206" s="150">
        <f>W206*(100+INDEX(DEFAULT!$E$238:$AJ$240,2,'USER INPUTS'!$B$4))/100</f>
        <v>0</v>
      </c>
      <c r="Y206" s="150">
        <f>X206*(100+INDEX(DEFAULT!$E$238:$AJ$240,3,'USER INPUTS'!$B$4))/100</f>
        <v>0</v>
      </c>
      <c r="Z206" s="150">
        <f>Y206*(100+INDEX(DEFAULT!$E$238:$AJ$240,3,'USER INPUTS'!$B$4))/100</f>
        <v>0</v>
      </c>
      <c r="AA206" s="150">
        <f>Z206*(100+INDEX(DEFAULT!$E$238:$AJ$240,3,'USER INPUTS'!$B$4))/100</f>
        <v>0</v>
      </c>
      <c r="AB206" s="150">
        <f>AA206*(100+INDEX(DEFAULT!$E$238:$AJ$240,3,'USER INPUTS'!$B$4))/100</f>
        <v>0</v>
      </c>
      <c r="AC206" s="150">
        <f>AB206*(100+INDEX(DEFAULT!$E$238:$AJ$240,3,'USER INPUTS'!$B$4))/100</f>
        <v>0</v>
      </c>
      <c r="AD206" s="150">
        <f>AC206*(100+INDEX(DEFAULT!$E$238:$AJ$240,3,'USER INPUTS'!$B$4))/100</f>
        <v>0</v>
      </c>
      <c r="AE206" s="150">
        <f>AD206*(100+INDEX(DEFAULT!$E$238:$AJ$240,3,'USER INPUTS'!$B$4))/100</f>
        <v>0</v>
      </c>
      <c r="AF206" s="150">
        <f>AE206*(100+INDEX(DEFAULT!$E$238:$AJ$240,3,'USER INPUTS'!$B$4))/100</f>
        <v>0</v>
      </c>
      <c r="AG206" s="150">
        <f>AF206*(100+INDEX(DEFAULT!$E$238:$AJ$240,3,'USER INPUTS'!$B$4))/100</f>
        <v>0</v>
      </c>
      <c r="AH206" s="150">
        <f>AG206*(100+INDEX(DEFAULT!$E$238:$AJ$240,3,'USER INPUTS'!$B$4))/100</f>
        <v>0</v>
      </c>
      <c r="AI206" s="139"/>
      <c r="AJ206" s="133"/>
    </row>
    <row r="207" spans="1:36" s="134" customFormat="1">
      <c r="A207" s="243" t="str">
        <f>INDEX(DEFAULT!$E$274:$AJ$331,55,'USER INPUTS'!$B$4)</f>
        <v>-</v>
      </c>
      <c r="B207" s="294"/>
      <c r="C207" s="100">
        <f>'USER INPUTS'!I67</f>
        <v>0</v>
      </c>
      <c r="D207" s="295"/>
      <c r="E207" s="150">
        <f>(INDEX(DEFAULT!$E$339:$AJ$396,55,'USER INPUTS'!$B$4)/100)*($C207/100)*E$133</f>
        <v>0</v>
      </c>
      <c r="F207" s="150">
        <f>E207*(100+INDEX(DEFAULT!$E$238:$AJ$240,1,'USER INPUTS'!$B$4))/100</f>
        <v>0</v>
      </c>
      <c r="G207" s="150">
        <f>F207*(100+INDEX(DEFAULT!$E$238:$AJ$240,1,'USER INPUTS'!$B$4))/100</f>
        <v>0</v>
      </c>
      <c r="H207" s="150">
        <f>G207*(100+INDEX(DEFAULT!$E$238:$AJ$240,1,'USER INPUTS'!$B$4))/100</f>
        <v>0</v>
      </c>
      <c r="I207" s="150">
        <f>H207*(100+INDEX(DEFAULT!$E$238:$AJ$240,1,'USER INPUTS'!$B$4))/100</f>
        <v>0</v>
      </c>
      <c r="J207" s="150">
        <f>I207*(100+INDEX(DEFAULT!$E$238:$AJ$240,1,'USER INPUTS'!$B$4))/100</f>
        <v>0</v>
      </c>
      <c r="K207" s="150">
        <f>J207*(100+INDEX(DEFAULT!$E$238:$AJ$240,1,'USER INPUTS'!$B$4))/100</f>
        <v>0</v>
      </c>
      <c r="L207" s="150">
        <f>K207*(100+INDEX(DEFAULT!$E$238:$AJ$240,1,'USER INPUTS'!$B$4))/100</f>
        <v>0</v>
      </c>
      <c r="M207" s="150">
        <f>L207*(100+INDEX(DEFAULT!$E$238:$AJ$240,1,'USER INPUTS'!$B$4))/100</f>
        <v>0</v>
      </c>
      <c r="N207" s="150">
        <f>M207*(100+INDEX(DEFAULT!$E$238:$AJ$240,1,'USER INPUTS'!$B$4))/100</f>
        <v>0</v>
      </c>
      <c r="O207" s="150">
        <f>N207*(100+INDEX(DEFAULT!$E$238:$AJ$240,2,'USER INPUTS'!$B$4))/100</f>
        <v>0</v>
      </c>
      <c r="P207" s="150">
        <f>O207*(100+INDEX(DEFAULT!$E$238:$AJ$240,2,'USER INPUTS'!$B$4))/100</f>
        <v>0</v>
      </c>
      <c r="Q207" s="150">
        <f>P207*(100+INDEX(DEFAULT!$E$238:$AJ$240,2,'USER INPUTS'!$B$4))/100</f>
        <v>0</v>
      </c>
      <c r="R207" s="150">
        <f>Q207*(100+INDEX(DEFAULT!$E$238:$AJ$240,2,'USER INPUTS'!$B$4))/100</f>
        <v>0</v>
      </c>
      <c r="S207" s="150">
        <f>R207*(100+INDEX(DEFAULT!$E$238:$AJ$240,2,'USER INPUTS'!$B$4))/100</f>
        <v>0</v>
      </c>
      <c r="T207" s="150">
        <f>S207*(100+INDEX(DEFAULT!$E$238:$AJ$240,2,'USER INPUTS'!$B$4))/100</f>
        <v>0</v>
      </c>
      <c r="U207" s="150">
        <f>T207*(100+INDEX(DEFAULT!$E$238:$AJ$240,2,'USER INPUTS'!$B$4))/100</f>
        <v>0</v>
      </c>
      <c r="V207" s="150">
        <f>U207*(100+INDEX(DEFAULT!$E$238:$AJ$240,2,'USER INPUTS'!$B$4))/100</f>
        <v>0</v>
      </c>
      <c r="W207" s="150">
        <f>V207*(100+INDEX(DEFAULT!$E$238:$AJ$240,2,'USER INPUTS'!$B$4))/100</f>
        <v>0</v>
      </c>
      <c r="X207" s="150">
        <f>W207*(100+INDEX(DEFAULT!$E$238:$AJ$240,2,'USER INPUTS'!$B$4))/100</f>
        <v>0</v>
      </c>
      <c r="Y207" s="150">
        <f>X207*(100+INDEX(DEFAULT!$E$238:$AJ$240,3,'USER INPUTS'!$B$4))/100</f>
        <v>0</v>
      </c>
      <c r="Z207" s="150">
        <f>Y207*(100+INDEX(DEFAULT!$E$238:$AJ$240,3,'USER INPUTS'!$B$4))/100</f>
        <v>0</v>
      </c>
      <c r="AA207" s="150">
        <f>Z207*(100+INDEX(DEFAULT!$E$238:$AJ$240,3,'USER INPUTS'!$B$4))/100</f>
        <v>0</v>
      </c>
      <c r="AB207" s="150">
        <f>AA207*(100+INDEX(DEFAULT!$E$238:$AJ$240,3,'USER INPUTS'!$B$4))/100</f>
        <v>0</v>
      </c>
      <c r="AC207" s="150">
        <f>AB207*(100+INDEX(DEFAULT!$E$238:$AJ$240,3,'USER INPUTS'!$B$4))/100</f>
        <v>0</v>
      </c>
      <c r="AD207" s="150">
        <f>AC207*(100+INDEX(DEFAULT!$E$238:$AJ$240,3,'USER INPUTS'!$B$4))/100</f>
        <v>0</v>
      </c>
      <c r="AE207" s="150">
        <f>AD207*(100+INDEX(DEFAULT!$E$238:$AJ$240,3,'USER INPUTS'!$B$4))/100</f>
        <v>0</v>
      </c>
      <c r="AF207" s="150">
        <f>AE207*(100+INDEX(DEFAULT!$E$238:$AJ$240,3,'USER INPUTS'!$B$4))/100</f>
        <v>0</v>
      </c>
      <c r="AG207" s="150">
        <f>AF207*(100+INDEX(DEFAULT!$E$238:$AJ$240,3,'USER INPUTS'!$B$4))/100</f>
        <v>0</v>
      </c>
      <c r="AH207" s="150">
        <f>AG207*(100+INDEX(DEFAULT!$E$238:$AJ$240,3,'USER INPUTS'!$B$4))/100</f>
        <v>0</v>
      </c>
      <c r="AI207" s="139"/>
      <c r="AJ207" s="133"/>
    </row>
    <row r="208" spans="1:36" s="134" customFormat="1">
      <c r="A208" s="243" t="str">
        <f>INDEX(DEFAULT!$E$274:$AJ$331,56,'USER INPUTS'!$B$4)</f>
        <v>-</v>
      </c>
      <c r="B208" s="294"/>
      <c r="C208" s="100">
        <f>'USER INPUTS'!I68</f>
        <v>0</v>
      </c>
      <c r="D208" s="295"/>
      <c r="E208" s="150">
        <f>(INDEX(DEFAULT!$E$339:$AJ$396,56,'USER INPUTS'!$B$4)/100)*($C208/100)*E$133</f>
        <v>0</v>
      </c>
      <c r="F208" s="150">
        <f>E208*(100+INDEX(DEFAULT!$E$238:$AJ$240,1,'USER INPUTS'!$B$4))/100</f>
        <v>0</v>
      </c>
      <c r="G208" s="150">
        <f>F208*(100+INDEX(DEFAULT!$E$238:$AJ$240,1,'USER INPUTS'!$B$4))/100</f>
        <v>0</v>
      </c>
      <c r="H208" s="150">
        <f>G208*(100+INDEX(DEFAULT!$E$238:$AJ$240,1,'USER INPUTS'!$B$4))/100</f>
        <v>0</v>
      </c>
      <c r="I208" s="150">
        <f>H208*(100+INDEX(DEFAULT!$E$238:$AJ$240,1,'USER INPUTS'!$B$4))/100</f>
        <v>0</v>
      </c>
      <c r="J208" s="150">
        <f>I208*(100+INDEX(DEFAULT!$E$238:$AJ$240,1,'USER INPUTS'!$B$4))/100</f>
        <v>0</v>
      </c>
      <c r="K208" s="150">
        <f>J208*(100+INDEX(DEFAULT!$E$238:$AJ$240,1,'USER INPUTS'!$B$4))/100</f>
        <v>0</v>
      </c>
      <c r="L208" s="150">
        <f>K208*(100+INDEX(DEFAULT!$E$238:$AJ$240,1,'USER INPUTS'!$B$4))/100</f>
        <v>0</v>
      </c>
      <c r="M208" s="150">
        <f>L208*(100+INDEX(DEFAULT!$E$238:$AJ$240,1,'USER INPUTS'!$B$4))/100</f>
        <v>0</v>
      </c>
      <c r="N208" s="150">
        <f>M208*(100+INDEX(DEFAULT!$E$238:$AJ$240,1,'USER INPUTS'!$B$4))/100</f>
        <v>0</v>
      </c>
      <c r="O208" s="150">
        <f>N208*(100+INDEX(DEFAULT!$E$238:$AJ$240,2,'USER INPUTS'!$B$4))/100</f>
        <v>0</v>
      </c>
      <c r="P208" s="150">
        <f>O208*(100+INDEX(DEFAULT!$E$238:$AJ$240,2,'USER INPUTS'!$B$4))/100</f>
        <v>0</v>
      </c>
      <c r="Q208" s="150">
        <f>P208*(100+INDEX(DEFAULT!$E$238:$AJ$240,2,'USER INPUTS'!$B$4))/100</f>
        <v>0</v>
      </c>
      <c r="R208" s="150">
        <f>Q208*(100+INDEX(DEFAULT!$E$238:$AJ$240,2,'USER INPUTS'!$B$4))/100</f>
        <v>0</v>
      </c>
      <c r="S208" s="150">
        <f>R208*(100+INDEX(DEFAULT!$E$238:$AJ$240,2,'USER INPUTS'!$B$4))/100</f>
        <v>0</v>
      </c>
      <c r="T208" s="150">
        <f>S208*(100+INDEX(DEFAULT!$E$238:$AJ$240,2,'USER INPUTS'!$B$4))/100</f>
        <v>0</v>
      </c>
      <c r="U208" s="150">
        <f>T208*(100+INDEX(DEFAULT!$E$238:$AJ$240,2,'USER INPUTS'!$B$4))/100</f>
        <v>0</v>
      </c>
      <c r="V208" s="150">
        <f>U208*(100+INDEX(DEFAULT!$E$238:$AJ$240,2,'USER INPUTS'!$B$4))/100</f>
        <v>0</v>
      </c>
      <c r="W208" s="150">
        <f>V208*(100+INDEX(DEFAULT!$E$238:$AJ$240,2,'USER INPUTS'!$B$4))/100</f>
        <v>0</v>
      </c>
      <c r="X208" s="150">
        <f>W208*(100+INDEX(DEFAULT!$E$238:$AJ$240,2,'USER INPUTS'!$B$4))/100</f>
        <v>0</v>
      </c>
      <c r="Y208" s="150">
        <f>X208*(100+INDEX(DEFAULT!$E$238:$AJ$240,3,'USER INPUTS'!$B$4))/100</f>
        <v>0</v>
      </c>
      <c r="Z208" s="150">
        <f>Y208*(100+INDEX(DEFAULT!$E$238:$AJ$240,3,'USER INPUTS'!$B$4))/100</f>
        <v>0</v>
      </c>
      <c r="AA208" s="150">
        <f>Z208*(100+INDEX(DEFAULT!$E$238:$AJ$240,3,'USER INPUTS'!$B$4))/100</f>
        <v>0</v>
      </c>
      <c r="AB208" s="150">
        <f>AA208*(100+INDEX(DEFAULT!$E$238:$AJ$240,3,'USER INPUTS'!$B$4))/100</f>
        <v>0</v>
      </c>
      <c r="AC208" s="150">
        <f>AB208*(100+INDEX(DEFAULT!$E$238:$AJ$240,3,'USER INPUTS'!$B$4))/100</f>
        <v>0</v>
      </c>
      <c r="AD208" s="150">
        <f>AC208*(100+INDEX(DEFAULT!$E$238:$AJ$240,3,'USER INPUTS'!$B$4))/100</f>
        <v>0</v>
      </c>
      <c r="AE208" s="150">
        <f>AD208*(100+INDEX(DEFAULT!$E$238:$AJ$240,3,'USER INPUTS'!$B$4))/100</f>
        <v>0</v>
      </c>
      <c r="AF208" s="150">
        <f>AE208*(100+INDEX(DEFAULT!$E$238:$AJ$240,3,'USER INPUTS'!$B$4))/100</f>
        <v>0</v>
      </c>
      <c r="AG208" s="150">
        <f>AF208*(100+INDEX(DEFAULT!$E$238:$AJ$240,3,'USER INPUTS'!$B$4))/100</f>
        <v>0</v>
      </c>
      <c r="AH208" s="150">
        <f>AG208*(100+INDEX(DEFAULT!$E$238:$AJ$240,3,'USER INPUTS'!$B$4))/100</f>
        <v>0</v>
      </c>
      <c r="AI208" s="139"/>
      <c r="AJ208" s="133"/>
    </row>
    <row r="209" spans="1:52" s="134" customFormat="1">
      <c r="A209" s="243" t="str">
        <f>INDEX(DEFAULT!$E$274:$AJ$331,57,'USER INPUTS'!$B$4)</f>
        <v>-</v>
      </c>
      <c r="B209" s="294"/>
      <c r="C209" s="100">
        <f>'USER INPUTS'!I69</f>
        <v>0</v>
      </c>
      <c r="D209" s="295"/>
      <c r="E209" s="150">
        <f>(INDEX(DEFAULT!$E$339:$AJ$396,57,'USER INPUTS'!$B$4)/100)*($C209/100)*E$133</f>
        <v>0</v>
      </c>
      <c r="F209" s="150">
        <f>E209*(100+INDEX(DEFAULT!$E$238:$AJ$240,1,'USER INPUTS'!$B$4))/100</f>
        <v>0</v>
      </c>
      <c r="G209" s="150">
        <f>F209*(100+INDEX(DEFAULT!$E$238:$AJ$240,1,'USER INPUTS'!$B$4))/100</f>
        <v>0</v>
      </c>
      <c r="H209" s="150">
        <f>G209*(100+INDEX(DEFAULT!$E$238:$AJ$240,1,'USER INPUTS'!$B$4))/100</f>
        <v>0</v>
      </c>
      <c r="I209" s="150">
        <f>H209*(100+INDEX(DEFAULT!$E$238:$AJ$240,1,'USER INPUTS'!$B$4))/100</f>
        <v>0</v>
      </c>
      <c r="J209" s="150">
        <f>I209*(100+INDEX(DEFAULT!$E$238:$AJ$240,1,'USER INPUTS'!$B$4))/100</f>
        <v>0</v>
      </c>
      <c r="K209" s="150">
        <f>J209*(100+INDEX(DEFAULT!$E$238:$AJ$240,1,'USER INPUTS'!$B$4))/100</f>
        <v>0</v>
      </c>
      <c r="L209" s="150">
        <f>K209*(100+INDEX(DEFAULT!$E$238:$AJ$240,1,'USER INPUTS'!$B$4))/100</f>
        <v>0</v>
      </c>
      <c r="M209" s="150">
        <f>L209*(100+INDEX(DEFAULT!$E$238:$AJ$240,1,'USER INPUTS'!$B$4))/100</f>
        <v>0</v>
      </c>
      <c r="N209" s="150">
        <f>M209*(100+INDEX(DEFAULT!$E$238:$AJ$240,1,'USER INPUTS'!$B$4))/100</f>
        <v>0</v>
      </c>
      <c r="O209" s="150">
        <f>N209*(100+INDEX(DEFAULT!$E$238:$AJ$240,2,'USER INPUTS'!$B$4))/100</f>
        <v>0</v>
      </c>
      <c r="P209" s="150">
        <f>O209*(100+INDEX(DEFAULT!$E$238:$AJ$240,2,'USER INPUTS'!$B$4))/100</f>
        <v>0</v>
      </c>
      <c r="Q209" s="150">
        <f>P209*(100+INDEX(DEFAULT!$E$238:$AJ$240,2,'USER INPUTS'!$B$4))/100</f>
        <v>0</v>
      </c>
      <c r="R209" s="150">
        <f>Q209*(100+INDEX(DEFAULT!$E$238:$AJ$240,2,'USER INPUTS'!$B$4))/100</f>
        <v>0</v>
      </c>
      <c r="S209" s="150">
        <f>R209*(100+INDEX(DEFAULT!$E$238:$AJ$240,2,'USER INPUTS'!$B$4))/100</f>
        <v>0</v>
      </c>
      <c r="T209" s="150">
        <f>S209*(100+INDEX(DEFAULT!$E$238:$AJ$240,2,'USER INPUTS'!$B$4))/100</f>
        <v>0</v>
      </c>
      <c r="U209" s="150">
        <f>T209*(100+INDEX(DEFAULT!$E$238:$AJ$240,2,'USER INPUTS'!$B$4))/100</f>
        <v>0</v>
      </c>
      <c r="V209" s="150">
        <f>U209*(100+INDEX(DEFAULT!$E$238:$AJ$240,2,'USER INPUTS'!$B$4))/100</f>
        <v>0</v>
      </c>
      <c r="W209" s="150">
        <f>V209*(100+INDEX(DEFAULT!$E$238:$AJ$240,2,'USER INPUTS'!$B$4))/100</f>
        <v>0</v>
      </c>
      <c r="X209" s="150">
        <f>W209*(100+INDEX(DEFAULT!$E$238:$AJ$240,2,'USER INPUTS'!$B$4))/100</f>
        <v>0</v>
      </c>
      <c r="Y209" s="150">
        <f>X209*(100+INDEX(DEFAULT!$E$238:$AJ$240,3,'USER INPUTS'!$B$4))/100</f>
        <v>0</v>
      </c>
      <c r="Z209" s="150">
        <f>Y209*(100+INDEX(DEFAULT!$E$238:$AJ$240,3,'USER INPUTS'!$B$4))/100</f>
        <v>0</v>
      </c>
      <c r="AA209" s="150">
        <f>Z209*(100+INDEX(DEFAULT!$E$238:$AJ$240,3,'USER INPUTS'!$B$4))/100</f>
        <v>0</v>
      </c>
      <c r="AB209" s="150">
        <f>AA209*(100+INDEX(DEFAULT!$E$238:$AJ$240,3,'USER INPUTS'!$B$4))/100</f>
        <v>0</v>
      </c>
      <c r="AC209" s="150">
        <f>AB209*(100+INDEX(DEFAULT!$E$238:$AJ$240,3,'USER INPUTS'!$B$4))/100</f>
        <v>0</v>
      </c>
      <c r="AD209" s="150">
        <f>AC209*(100+INDEX(DEFAULT!$E$238:$AJ$240,3,'USER INPUTS'!$B$4))/100</f>
        <v>0</v>
      </c>
      <c r="AE209" s="150">
        <f>AD209*(100+INDEX(DEFAULT!$E$238:$AJ$240,3,'USER INPUTS'!$B$4))/100</f>
        <v>0</v>
      </c>
      <c r="AF209" s="150">
        <f>AE209*(100+INDEX(DEFAULT!$E$238:$AJ$240,3,'USER INPUTS'!$B$4))/100</f>
        <v>0</v>
      </c>
      <c r="AG209" s="150">
        <f>AF209*(100+INDEX(DEFAULT!$E$238:$AJ$240,3,'USER INPUTS'!$B$4))/100</f>
        <v>0</v>
      </c>
      <c r="AH209" s="150">
        <f>AG209*(100+INDEX(DEFAULT!$E$238:$AJ$240,3,'USER INPUTS'!$B$4))/100</f>
        <v>0</v>
      </c>
      <c r="AI209" s="139"/>
      <c r="AJ209" s="133"/>
    </row>
    <row r="210" spans="1:52" s="134" customFormat="1">
      <c r="A210" s="243" t="str">
        <f>INDEX(DEFAULT!$E$274:$AJ$331,58,'USER INPUTS'!$B$4)</f>
        <v>-</v>
      </c>
      <c r="B210" s="294"/>
      <c r="C210" s="100">
        <f>'USER INPUTS'!I70</f>
        <v>0</v>
      </c>
      <c r="D210" s="295"/>
      <c r="E210" s="150">
        <f>(INDEX(DEFAULT!$E$339:$AJ$396,58,'USER INPUTS'!$B$4)/100)*($C210/100)*E$133</f>
        <v>0</v>
      </c>
      <c r="F210" s="150">
        <f>E210*(100+INDEX(DEFAULT!$E$238:$AJ$240,1,'USER INPUTS'!$B$4))/100</f>
        <v>0</v>
      </c>
      <c r="G210" s="150">
        <f>F210*(100+INDEX(DEFAULT!$E$238:$AJ$240,1,'USER INPUTS'!$B$4))/100</f>
        <v>0</v>
      </c>
      <c r="H210" s="150">
        <f>G210*(100+INDEX(DEFAULT!$E$238:$AJ$240,1,'USER INPUTS'!$B$4))/100</f>
        <v>0</v>
      </c>
      <c r="I210" s="150">
        <f>H210*(100+INDEX(DEFAULT!$E$238:$AJ$240,1,'USER INPUTS'!$B$4))/100</f>
        <v>0</v>
      </c>
      <c r="J210" s="150">
        <f>I210*(100+INDEX(DEFAULT!$E$238:$AJ$240,1,'USER INPUTS'!$B$4))/100</f>
        <v>0</v>
      </c>
      <c r="K210" s="150">
        <f>J210*(100+INDEX(DEFAULT!$E$238:$AJ$240,1,'USER INPUTS'!$B$4))/100</f>
        <v>0</v>
      </c>
      <c r="L210" s="150">
        <f>K210*(100+INDEX(DEFAULT!$E$238:$AJ$240,1,'USER INPUTS'!$B$4))/100</f>
        <v>0</v>
      </c>
      <c r="M210" s="150">
        <f>L210*(100+INDEX(DEFAULT!$E$238:$AJ$240,1,'USER INPUTS'!$B$4))/100</f>
        <v>0</v>
      </c>
      <c r="N210" s="150">
        <f>M210*(100+INDEX(DEFAULT!$E$238:$AJ$240,1,'USER INPUTS'!$B$4))/100</f>
        <v>0</v>
      </c>
      <c r="O210" s="150">
        <f>N210*(100+INDEX(DEFAULT!$E$238:$AJ$240,2,'USER INPUTS'!$B$4))/100</f>
        <v>0</v>
      </c>
      <c r="P210" s="150">
        <f>O210*(100+INDEX(DEFAULT!$E$238:$AJ$240,2,'USER INPUTS'!$B$4))/100</f>
        <v>0</v>
      </c>
      <c r="Q210" s="150">
        <f>P210*(100+INDEX(DEFAULT!$E$238:$AJ$240,2,'USER INPUTS'!$B$4))/100</f>
        <v>0</v>
      </c>
      <c r="R210" s="150">
        <f>Q210*(100+INDEX(DEFAULT!$E$238:$AJ$240,2,'USER INPUTS'!$B$4))/100</f>
        <v>0</v>
      </c>
      <c r="S210" s="150">
        <f>R210*(100+INDEX(DEFAULT!$E$238:$AJ$240,2,'USER INPUTS'!$B$4))/100</f>
        <v>0</v>
      </c>
      <c r="T210" s="150">
        <f>S210*(100+INDEX(DEFAULT!$E$238:$AJ$240,2,'USER INPUTS'!$B$4))/100</f>
        <v>0</v>
      </c>
      <c r="U210" s="150">
        <f>T210*(100+INDEX(DEFAULT!$E$238:$AJ$240,2,'USER INPUTS'!$B$4))/100</f>
        <v>0</v>
      </c>
      <c r="V210" s="150">
        <f>U210*(100+INDEX(DEFAULT!$E$238:$AJ$240,2,'USER INPUTS'!$B$4))/100</f>
        <v>0</v>
      </c>
      <c r="W210" s="150">
        <f>V210*(100+INDEX(DEFAULT!$E$238:$AJ$240,2,'USER INPUTS'!$B$4))/100</f>
        <v>0</v>
      </c>
      <c r="X210" s="150">
        <f>W210*(100+INDEX(DEFAULT!$E$238:$AJ$240,2,'USER INPUTS'!$B$4))/100</f>
        <v>0</v>
      </c>
      <c r="Y210" s="150">
        <f>X210*(100+INDEX(DEFAULT!$E$238:$AJ$240,3,'USER INPUTS'!$B$4))/100</f>
        <v>0</v>
      </c>
      <c r="Z210" s="150">
        <f>Y210*(100+INDEX(DEFAULT!$E$238:$AJ$240,3,'USER INPUTS'!$B$4))/100</f>
        <v>0</v>
      </c>
      <c r="AA210" s="150">
        <f>Z210*(100+INDEX(DEFAULT!$E$238:$AJ$240,3,'USER INPUTS'!$B$4))/100</f>
        <v>0</v>
      </c>
      <c r="AB210" s="150">
        <f>AA210*(100+INDEX(DEFAULT!$E$238:$AJ$240,3,'USER INPUTS'!$B$4))/100</f>
        <v>0</v>
      </c>
      <c r="AC210" s="150">
        <f>AB210*(100+INDEX(DEFAULT!$E$238:$AJ$240,3,'USER INPUTS'!$B$4))/100</f>
        <v>0</v>
      </c>
      <c r="AD210" s="150">
        <f>AC210*(100+INDEX(DEFAULT!$E$238:$AJ$240,3,'USER INPUTS'!$B$4))/100</f>
        <v>0</v>
      </c>
      <c r="AE210" s="150">
        <f>AD210*(100+INDEX(DEFAULT!$E$238:$AJ$240,3,'USER INPUTS'!$B$4))/100</f>
        <v>0</v>
      </c>
      <c r="AF210" s="150">
        <f>AE210*(100+INDEX(DEFAULT!$E$238:$AJ$240,3,'USER INPUTS'!$B$4))/100</f>
        <v>0</v>
      </c>
      <c r="AG210" s="150">
        <f>AF210*(100+INDEX(DEFAULT!$E$238:$AJ$240,3,'USER INPUTS'!$B$4))/100</f>
        <v>0</v>
      </c>
      <c r="AH210" s="150">
        <f>AG210*(100+INDEX(DEFAULT!$E$238:$AJ$240,3,'USER INPUTS'!$B$4))/100</f>
        <v>0</v>
      </c>
      <c r="AI210" s="139"/>
      <c r="AJ210" s="133"/>
    </row>
    <row r="211" spans="1:52" s="134" customFormat="1">
      <c r="A211" s="551" t="s">
        <v>437</v>
      </c>
      <c r="B211" s="388"/>
      <c r="C211" s="100"/>
      <c r="D211" s="389"/>
      <c r="E211" s="172">
        <f>SUM(E153:E210)</f>
        <v>0</v>
      </c>
      <c r="F211" s="172">
        <f t="shared" ref="F211:AH211" si="74">SUM(F153:F210)</f>
        <v>0</v>
      </c>
      <c r="G211" s="172">
        <f t="shared" si="74"/>
        <v>0</v>
      </c>
      <c r="H211" s="172">
        <f t="shared" si="74"/>
        <v>0</v>
      </c>
      <c r="I211" s="172">
        <f t="shared" si="74"/>
        <v>0</v>
      </c>
      <c r="J211" s="172">
        <f t="shared" si="74"/>
        <v>0</v>
      </c>
      <c r="K211" s="172">
        <f t="shared" si="74"/>
        <v>0</v>
      </c>
      <c r="L211" s="172">
        <f t="shared" si="74"/>
        <v>0</v>
      </c>
      <c r="M211" s="172">
        <f t="shared" si="74"/>
        <v>0</v>
      </c>
      <c r="N211" s="172">
        <f t="shared" si="74"/>
        <v>0</v>
      </c>
      <c r="O211" s="172">
        <f t="shared" si="74"/>
        <v>0</v>
      </c>
      <c r="P211" s="172">
        <f t="shared" si="74"/>
        <v>0</v>
      </c>
      <c r="Q211" s="172">
        <f t="shared" si="74"/>
        <v>0</v>
      </c>
      <c r="R211" s="172">
        <f t="shared" si="74"/>
        <v>0</v>
      </c>
      <c r="S211" s="172">
        <f t="shared" si="74"/>
        <v>0</v>
      </c>
      <c r="T211" s="172">
        <f t="shared" si="74"/>
        <v>0</v>
      </c>
      <c r="U211" s="172">
        <f t="shared" si="74"/>
        <v>0</v>
      </c>
      <c r="V211" s="172">
        <f t="shared" si="74"/>
        <v>0</v>
      </c>
      <c r="W211" s="172">
        <f t="shared" si="74"/>
        <v>0</v>
      </c>
      <c r="X211" s="172">
        <f t="shared" si="74"/>
        <v>0</v>
      </c>
      <c r="Y211" s="172">
        <f t="shared" si="74"/>
        <v>0</v>
      </c>
      <c r="Z211" s="172">
        <f t="shared" si="74"/>
        <v>0</v>
      </c>
      <c r="AA211" s="172">
        <f t="shared" si="74"/>
        <v>0</v>
      </c>
      <c r="AB211" s="172">
        <f t="shared" si="74"/>
        <v>0</v>
      </c>
      <c r="AC211" s="172">
        <f t="shared" si="74"/>
        <v>0</v>
      </c>
      <c r="AD211" s="172">
        <f t="shared" si="74"/>
        <v>0</v>
      </c>
      <c r="AE211" s="172">
        <f t="shared" si="74"/>
        <v>0</v>
      </c>
      <c r="AF211" s="172">
        <f t="shared" si="74"/>
        <v>0</v>
      </c>
      <c r="AG211" s="172">
        <f t="shared" si="74"/>
        <v>0</v>
      </c>
      <c r="AH211" s="172">
        <f t="shared" si="74"/>
        <v>0</v>
      </c>
      <c r="AI211" s="139"/>
      <c r="AJ211" s="133"/>
    </row>
    <row r="212" spans="1:52" s="134" customFormat="1">
      <c r="A212" s="43"/>
      <c r="B212" s="446"/>
      <c r="C212" s="100"/>
      <c r="D212" s="448"/>
      <c r="E212" s="172"/>
      <c r="F212" s="172"/>
      <c r="G212" s="172"/>
      <c r="H212" s="172"/>
      <c r="I212" s="172"/>
      <c r="J212" s="172"/>
      <c r="K212" s="172"/>
      <c r="L212" s="172"/>
      <c r="M212" s="172"/>
      <c r="N212" s="172"/>
      <c r="O212" s="172"/>
      <c r="P212" s="172"/>
      <c r="Q212" s="172"/>
      <c r="R212" s="172"/>
      <c r="S212" s="172"/>
      <c r="T212" s="172"/>
      <c r="U212" s="172"/>
      <c r="V212" s="172"/>
      <c r="W212" s="172"/>
      <c r="X212" s="172"/>
      <c r="Y212" s="172"/>
      <c r="Z212" s="172"/>
      <c r="AA212" s="172"/>
      <c r="AB212" s="172"/>
      <c r="AC212" s="172"/>
      <c r="AD212" s="172"/>
      <c r="AE212" s="172"/>
      <c r="AF212" s="172"/>
      <c r="AG212" s="172"/>
      <c r="AH212" s="172"/>
      <c r="AI212" s="139"/>
      <c r="AJ212" s="133"/>
    </row>
    <row r="213" spans="1:52" s="134" customFormat="1">
      <c r="A213" s="128" t="s">
        <v>548</v>
      </c>
      <c r="B213" s="447"/>
      <c r="C213" s="219"/>
      <c r="D213" s="77"/>
      <c r="E213" s="464">
        <v>2021</v>
      </c>
      <c r="F213" s="464">
        <v>2022</v>
      </c>
      <c r="G213" s="464">
        <v>2023</v>
      </c>
      <c r="H213" s="464">
        <v>2024</v>
      </c>
      <c r="I213" s="464">
        <v>2025</v>
      </c>
      <c r="J213" s="464">
        <v>2026</v>
      </c>
      <c r="K213" s="464">
        <v>2027</v>
      </c>
      <c r="L213" s="464">
        <v>2028</v>
      </c>
      <c r="M213" s="464">
        <v>2029</v>
      </c>
      <c r="N213" s="464">
        <v>2030</v>
      </c>
      <c r="O213" s="464">
        <v>2031</v>
      </c>
      <c r="P213" s="464">
        <v>2032</v>
      </c>
      <c r="Q213" s="464">
        <v>2033</v>
      </c>
      <c r="R213" s="464">
        <v>2034</v>
      </c>
      <c r="S213" s="464">
        <v>2035</v>
      </c>
      <c r="T213" s="464">
        <v>2036</v>
      </c>
      <c r="U213" s="464">
        <v>2037</v>
      </c>
      <c r="V213" s="464">
        <v>2038</v>
      </c>
      <c r="W213" s="464">
        <v>2039</v>
      </c>
      <c r="X213" s="464">
        <v>2040</v>
      </c>
      <c r="Y213" s="464">
        <v>2041</v>
      </c>
      <c r="Z213" s="464">
        <v>2042</v>
      </c>
      <c r="AA213" s="464">
        <v>2043</v>
      </c>
      <c r="AB213" s="464">
        <v>2044</v>
      </c>
      <c r="AC213" s="464">
        <v>2045</v>
      </c>
      <c r="AD213" s="464">
        <v>2046</v>
      </c>
      <c r="AE213" s="464">
        <v>2047</v>
      </c>
      <c r="AF213" s="464">
        <v>2048</v>
      </c>
      <c r="AG213" s="464">
        <v>2049</v>
      </c>
      <c r="AH213" s="464">
        <v>2050</v>
      </c>
      <c r="AI213" s="139"/>
      <c r="AJ213" s="133"/>
    </row>
    <row r="214" spans="1:52" s="134" customFormat="1">
      <c r="A214" s="551" t="s">
        <v>453</v>
      </c>
      <c r="B214" s="186" t="s">
        <v>199</v>
      </c>
      <c r="C214" s="100"/>
      <c r="D214" s="448"/>
      <c r="E214" s="156">
        <f>E128</f>
        <v>2.0553618913043477</v>
      </c>
      <c r="F214" s="156">
        <f t="shared" ref="F214:AH214" si="75">F128</f>
        <v>2.0553618913043477</v>
      </c>
      <c r="G214" s="156">
        <f t="shared" si="75"/>
        <v>2.0553618913043477</v>
      </c>
      <c r="H214" s="156">
        <f t="shared" si="75"/>
        <v>2.0553618913043477</v>
      </c>
      <c r="I214" s="156">
        <f t="shared" si="75"/>
        <v>2.0553618913043477</v>
      </c>
      <c r="J214" s="156">
        <f t="shared" si="75"/>
        <v>2.0553618913043477</v>
      </c>
      <c r="K214" s="156">
        <f t="shared" si="75"/>
        <v>2.0553618913043477</v>
      </c>
      <c r="L214" s="156">
        <f t="shared" si="75"/>
        <v>2.0553618913043477</v>
      </c>
      <c r="M214" s="156">
        <f t="shared" si="75"/>
        <v>2.0553618913043477</v>
      </c>
      <c r="N214" s="156">
        <f t="shared" si="75"/>
        <v>2.0553618913043477</v>
      </c>
      <c r="O214" s="156">
        <f t="shared" si="75"/>
        <v>2.0553618913043477</v>
      </c>
      <c r="P214" s="156">
        <f t="shared" si="75"/>
        <v>2.0553618913043477</v>
      </c>
      <c r="Q214" s="156">
        <f t="shared" si="75"/>
        <v>2.0553618913043477</v>
      </c>
      <c r="R214" s="156">
        <f t="shared" si="75"/>
        <v>2.0553618913043477</v>
      </c>
      <c r="S214" s="156">
        <f t="shared" si="75"/>
        <v>2.0553618913043477</v>
      </c>
      <c r="T214" s="156">
        <f t="shared" si="75"/>
        <v>2.0553618913043477</v>
      </c>
      <c r="U214" s="156">
        <f t="shared" si="75"/>
        <v>2.0553618913043477</v>
      </c>
      <c r="V214" s="156">
        <f t="shared" si="75"/>
        <v>2.0553618913043477</v>
      </c>
      <c r="W214" s="156">
        <f t="shared" si="75"/>
        <v>2.0553618913043477</v>
      </c>
      <c r="X214" s="156">
        <f t="shared" si="75"/>
        <v>1.9772581394347826</v>
      </c>
      <c r="Y214" s="156">
        <f t="shared" si="75"/>
        <v>1.9021223301362611</v>
      </c>
      <c r="Z214" s="156">
        <f t="shared" si="75"/>
        <v>1.8298416815910834</v>
      </c>
      <c r="AA214" s="156">
        <f t="shared" si="75"/>
        <v>1.7603076976906222</v>
      </c>
      <c r="AB214" s="156">
        <f t="shared" si="75"/>
        <v>1.6934160051783786</v>
      </c>
      <c r="AC214" s="156">
        <f t="shared" si="75"/>
        <v>1.6290661969816005</v>
      </c>
      <c r="AD214" s="156">
        <f t="shared" si="75"/>
        <v>1.5671616814963001</v>
      </c>
      <c r="AE214" s="156">
        <f t="shared" si="75"/>
        <v>1.5076095375994407</v>
      </c>
      <c r="AF214" s="156">
        <f t="shared" si="75"/>
        <v>1.4503203751706621</v>
      </c>
      <c r="AG214" s="156">
        <f t="shared" si="75"/>
        <v>1.3952082009141771</v>
      </c>
      <c r="AH214" s="156">
        <f t="shared" si="75"/>
        <v>1.3421902892794382</v>
      </c>
      <c r="AI214" s="139"/>
      <c r="AJ214" s="133"/>
    </row>
    <row r="215" spans="1:52" s="134" customFormat="1">
      <c r="A215" s="560" t="s">
        <v>452</v>
      </c>
      <c r="B215" s="386" t="s">
        <v>77</v>
      </c>
      <c r="C215" s="219"/>
      <c r="D215" s="77"/>
      <c r="E215" s="150">
        <f>E211</f>
        <v>0</v>
      </c>
      <c r="F215" s="150">
        <f t="shared" ref="F215:AH215" si="76">F211</f>
        <v>0</v>
      </c>
      <c r="G215" s="150">
        <f t="shared" si="76"/>
        <v>0</v>
      </c>
      <c r="H215" s="150">
        <f t="shared" si="76"/>
        <v>0</v>
      </c>
      <c r="I215" s="150">
        <f t="shared" si="76"/>
        <v>0</v>
      </c>
      <c r="J215" s="150">
        <f t="shared" si="76"/>
        <v>0</v>
      </c>
      <c r="K215" s="150">
        <f t="shared" si="76"/>
        <v>0</v>
      </c>
      <c r="L215" s="150">
        <f t="shared" si="76"/>
        <v>0</v>
      </c>
      <c r="M215" s="150">
        <f t="shared" si="76"/>
        <v>0</v>
      </c>
      <c r="N215" s="150">
        <f t="shared" si="76"/>
        <v>0</v>
      </c>
      <c r="O215" s="150">
        <f t="shared" si="76"/>
        <v>0</v>
      </c>
      <c r="P215" s="150">
        <f t="shared" si="76"/>
        <v>0</v>
      </c>
      <c r="Q215" s="150">
        <f t="shared" si="76"/>
        <v>0</v>
      </c>
      <c r="R215" s="150">
        <f t="shared" si="76"/>
        <v>0</v>
      </c>
      <c r="S215" s="150">
        <f t="shared" si="76"/>
        <v>0</v>
      </c>
      <c r="T215" s="150">
        <f t="shared" si="76"/>
        <v>0</v>
      </c>
      <c r="U215" s="150">
        <f t="shared" si="76"/>
        <v>0</v>
      </c>
      <c r="V215" s="150">
        <f t="shared" si="76"/>
        <v>0</v>
      </c>
      <c r="W215" s="150">
        <f t="shared" si="76"/>
        <v>0</v>
      </c>
      <c r="X215" s="150">
        <f t="shared" si="76"/>
        <v>0</v>
      </c>
      <c r="Y215" s="150">
        <f t="shared" si="76"/>
        <v>0</v>
      </c>
      <c r="Z215" s="150">
        <f t="shared" si="76"/>
        <v>0</v>
      </c>
      <c r="AA215" s="150">
        <f t="shared" si="76"/>
        <v>0</v>
      </c>
      <c r="AB215" s="150">
        <f t="shared" si="76"/>
        <v>0</v>
      </c>
      <c r="AC215" s="150">
        <f t="shared" si="76"/>
        <v>0</v>
      </c>
      <c r="AD215" s="150">
        <f t="shared" si="76"/>
        <v>0</v>
      </c>
      <c r="AE215" s="150">
        <f t="shared" si="76"/>
        <v>0</v>
      </c>
      <c r="AF215" s="150">
        <f t="shared" si="76"/>
        <v>0</v>
      </c>
      <c r="AG215" s="150">
        <f t="shared" si="76"/>
        <v>0</v>
      </c>
      <c r="AH215" s="150">
        <f t="shared" si="76"/>
        <v>0</v>
      </c>
      <c r="AI215" s="139"/>
      <c r="AJ215" s="133"/>
    </row>
    <row r="216" spans="1:52" s="134" customFormat="1">
      <c r="A216" s="629" t="s">
        <v>551</v>
      </c>
      <c r="B216" s="186" t="s">
        <v>198</v>
      </c>
      <c r="C216" s="100"/>
      <c r="D216" s="448"/>
      <c r="E216" s="278">
        <f>E214*E215</f>
        <v>0</v>
      </c>
      <c r="F216" s="278">
        <f t="shared" ref="F216:AH216" si="77">F214*F215</f>
        <v>0</v>
      </c>
      <c r="G216" s="278">
        <f t="shared" si="77"/>
        <v>0</v>
      </c>
      <c r="H216" s="278">
        <f t="shared" si="77"/>
        <v>0</v>
      </c>
      <c r="I216" s="278">
        <f t="shared" si="77"/>
        <v>0</v>
      </c>
      <c r="J216" s="278">
        <f t="shared" si="77"/>
        <v>0</v>
      </c>
      <c r="K216" s="278">
        <f t="shared" si="77"/>
        <v>0</v>
      </c>
      <c r="L216" s="278">
        <f t="shared" si="77"/>
        <v>0</v>
      </c>
      <c r="M216" s="278">
        <f t="shared" si="77"/>
        <v>0</v>
      </c>
      <c r="N216" s="278">
        <f t="shared" si="77"/>
        <v>0</v>
      </c>
      <c r="O216" s="278">
        <f t="shared" si="77"/>
        <v>0</v>
      </c>
      <c r="P216" s="278">
        <f t="shared" si="77"/>
        <v>0</v>
      </c>
      <c r="Q216" s="278">
        <f t="shared" si="77"/>
        <v>0</v>
      </c>
      <c r="R216" s="278">
        <f t="shared" si="77"/>
        <v>0</v>
      </c>
      <c r="S216" s="278">
        <f t="shared" si="77"/>
        <v>0</v>
      </c>
      <c r="T216" s="278">
        <f t="shared" si="77"/>
        <v>0</v>
      </c>
      <c r="U216" s="278">
        <f t="shared" si="77"/>
        <v>0</v>
      </c>
      <c r="V216" s="278">
        <f t="shared" si="77"/>
        <v>0</v>
      </c>
      <c r="W216" s="278">
        <f t="shared" si="77"/>
        <v>0</v>
      </c>
      <c r="X216" s="278">
        <f t="shared" si="77"/>
        <v>0</v>
      </c>
      <c r="Y216" s="278">
        <f t="shared" si="77"/>
        <v>0</v>
      </c>
      <c r="Z216" s="278">
        <f t="shared" si="77"/>
        <v>0</v>
      </c>
      <c r="AA216" s="278">
        <f t="shared" si="77"/>
        <v>0</v>
      </c>
      <c r="AB216" s="278">
        <f t="shared" si="77"/>
        <v>0</v>
      </c>
      <c r="AC216" s="278">
        <f t="shared" si="77"/>
        <v>0</v>
      </c>
      <c r="AD216" s="278">
        <f t="shared" si="77"/>
        <v>0</v>
      </c>
      <c r="AE216" s="278">
        <f t="shared" si="77"/>
        <v>0</v>
      </c>
      <c r="AF216" s="278">
        <f t="shared" si="77"/>
        <v>0</v>
      </c>
      <c r="AG216" s="278">
        <f t="shared" si="77"/>
        <v>0</v>
      </c>
      <c r="AH216" s="278">
        <f t="shared" si="77"/>
        <v>0</v>
      </c>
      <c r="AI216" s="139"/>
      <c r="AJ216" s="133"/>
    </row>
    <row r="217" spans="1:52" ht="15.75" thickBot="1">
      <c r="A217" s="15"/>
      <c r="B217" s="17"/>
      <c r="C217" s="17"/>
      <c r="D217" s="292"/>
      <c r="E217" s="15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37"/>
    </row>
    <row r="218" spans="1:52" ht="15.75" thickBot="1"/>
    <row r="219" spans="1:52" ht="19.5" thickBot="1">
      <c r="A219" s="776" t="s">
        <v>461</v>
      </c>
      <c r="B219" s="773"/>
      <c r="C219" s="773"/>
      <c r="D219" s="773"/>
      <c r="E219" s="773"/>
      <c r="F219" s="773"/>
      <c r="G219" s="773"/>
      <c r="H219" s="773"/>
      <c r="I219" s="773"/>
      <c r="J219" s="773"/>
      <c r="K219" s="773"/>
      <c r="L219" s="773"/>
      <c r="M219" s="773"/>
      <c r="N219" s="773"/>
      <c r="O219" s="773"/>
      <c r="P219" s="773"/>
      <c r="Q219" s="773"/>
      <c r="R219" s="773"/>
      <c r="S219" s="773"/>
      <c r="T219" s="773"/>
      <c r="U219" s="773"/>
      <c r="V219" s="773"/>
      <c r="W219" s="773"/>
      <c r="X219" s="773"/>
      <c r="Y219" s="773"/>
      <c r="Z219" s="773"/>
      <c r="AA219" s="773"/>
      <c r="AB219" s="773"/>
      <c r="AC219" s="773"/>
      <c r="AD219" s="773"/>
      <c r="AE219" s="773"/>
      <c r="AF219" s="773"/>
      <c r="AG219" s="773"/>
      <c r="AH219" s="773"/>
      <c r="AI219" s="774"/>
    </row>
    <row r="220" spans="1:52">
      <c r="A220" s="24" t="s">
        <v>462</v>
      </c>
      <c r="B220" s="25"/>
      <c r="C220" s="65"/>
      <c r="D220" s="256"/>
      <c r="E220" s="65" t="s">
        <v>107</v>
      </c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58"/>
      <c r="AH220" s="25"/>
      <c r="AI220" s="26"/>
    </row>
    <row r="221" spans="1:52">
      <c r="A221" s="63" t="s">
        <v>146</v>
      </c>
      <c r="B221" s="64"/>
      <c r="C221" s="135"/>
      <c r="D221" s="77"/>
      <c r="E221" s="64">
        <v>2021</v>
      </c>
      <c r="F221" s="64">
        <f t="shared" ref="F221:AH221" si="78">E221+1</f>
        <v>2022</v>
      </c>
      <c r="G221" s="64">
        <f t="shared" si="78"/>
        <v>2023</v>
      </c>
      <c r="H221" s="64">
        <f t="shared" si="78"/>
        <v>2024</v>
      </c>
      <c r="I221" s="64">
        <f t="shared" si="78"/>
        <v>2025</v>
      </c>
      <c r="J221" s="64">
        <f t="shared" si="78"/>
        <v>2026</v>
      </c>
      <c r="K221" s="64">
        <f t="shared" si="78"/>
        <v>2027</v>
      </c>
      <c r="L221" s="64">
        <f t="shared" si="78"/>
        <v>2028</v>
      </c>
      <c r="M221" s="64">
        <f t="shared" si="78"/>
        <v>2029</v>
      </c>
      <c r="N221" s="64">
        <f t="shared" si="78"/>
        <v>2030</v>
      </c>
      <c r="O221" s="64">
        <f t="shared" si="78"/>
        <v>2031</v>
      </c>
      <c r="P221" s="64">
        <f t="shared" si="78"/>
        <v>2032</v>
      </c>
      <c r="Q221" s="64">
        <f t="shared" si="78"/>
        <v>2033</v>
      </c>
      <c r="R221" s="64">
        <f t="shared" si="78"/>
        <v>2034</v>
      </c>
      <c r="S221" s="64">
        <f t="shared" si="78"/>
        <v>2035</v>
      </c>
      <c r="T221" s="64">
        <f t="shared" si="78"/>
        <v>2036</v>
      </c>
      <c r="U221" s="64">
        <f t="shared" si="78"/>
        <v>2037</v>
      </c>
      <c r="V221" s="64">
        <f t="shared" si="78"/>
        <v>2038</v>
      </c>
      <c r="W221" s="64">
        <f t="shared" si="78"/>
        <v>2039</v>
      </c>
      <c r="X221" s="64">
        <f t="shared" si="78"/>
        <v>2040</v>
      </c>
      <c r="Y221" s="64">
        <f t="shared" si="78"/>
        <v>2041</v>
      </c>
      <c r="Z221" s="64">
        <f t="shared" si="78"/>
        <v>2042</v>
      </c>
      <c r="AA221" s="64">
        <f t="shared" si="78"/>
        <v>2043</v>
      </c>
      <c r="AB221" s="64">
        <f t="shared" si="78"/>
        <v>2044</v>
      </c>
      <c r="AC221" s="64">
        <f t="shared" si="78"/>
        <v>2045</v>
      </c>
      <c r="AD221" s="64">
        <f t="shared" si="78"/>
        <v>2046</v>
      </c>
      <c r="AE221" s="64">
        <f t="shared" si="78"/>
        <v>2047</v>
      </c>
      <c r="AF221" s="64">
        <f t="shared" si="78"/>
        <v>2048</v>
      </c>
      <c r="AG221" s="64">
        <f t="shared" si="78"/>
        <v>2049</v>
      </c>
      <c r="AH221" s="64">
        <f t="shared" si="78"/>
        <v>2050</v>
      </c>
      <c r="AI221" s="42"/>
    </row>
    <row r="222" spans="1:52">
      <c r="A222" s="27" t="s">
        <v>653</v>
      </c>
      <c r="B222" s="41"/>
      <c r="C222" s="106"/>
      <c r="D222" s="298"/>
      <c r="E222" s="254">
        <f t="shared" ref="E222:AH222" si="79">E23</f>
        <v>7.0127746623454383E-3</v>
      </c>
      <c r="F222" s="165">
        <f t="shared" si="79"/>
        <v>7.0688768596442022E-3</v>
      </c>
      <c r="G222" s="165">
        <f t="shared" si="79"/>
        <v>7.1254278745213557E-3</v>
      </c>
      <c r="H222" s="165">
        <f t="shared" si="79"/>
        <v>7.1824312975175266E-3</v>
      </c>
      <c r="I222" s="165">
        <f t="shared" si="79"/>
        <v>7.2398907478976671E-3</v>
      </c>
      <c r="J222" s="165">
        <f t="shared" si="79"/>
        <v>7.2978098738808485E-3</v>
      </c>
      <c r="K222" s="165">
        <f t="shared" si="79"/>
        <v>7.356192352871895E-3</v>
      </c>
      <c r="L222" s="165">
        <f t="shared" si="79"/>
        <v>7.4150418916948705E-3</v>
      </c>
      <c r="M222" s="165">
        <f t="shared" si="79"/>
        <v>7.4743622268284293E-3</v>
      </c>
      <c r="N222" s="165">
        <f t="shared" si="79"/>
        <v>7.5341571246430568E-3</v>
      </c>
      <c r="O222" s="165">
        <f t="shared" si="79"/>
        <v>7.579362067390915E-3</v>
      </c>
      <c r="P222" s="165">
        <f t="shared" si="79"/>
        <v>7.6248382397952601E-3</v>
      </c>
      <c r="Q222" s="165">
        <f t="shared" si="79"/>
        <v>7.6705872692340313E-3</v>
      </c>
      <c r="R222" s="165">
        <f t="shared" si="79"/>
        <v>7.7166107928494359E-3</v>
      </c>
      <c r="S222" s="165">
        <f t="shared" si="79"/>
        <v>7.7629104576065321E-3</v>
      </c>
      <c r="T222" s="165">
        <f t="shared" si="79"/>
        <v>7.8094879203521716E-3</v>
      </c>
      <c r="U222" s="165">
        <f t="shared" si="79"/>
        <v>7.8563448478742842E-3</v>
      </c>
      <c r="V222" s="165">
        <f t="shared" si="79"/>
        <v>7.9034829169615291E-3</v>
      </c>
      <c r="W222" s="165">
        <f t="shared" si="79"/>
        <v>7.9509038144632976E-3</v>
      </c>
      <c r="X222" s="165">
        <f t="shared" si="79"/>
        <v>7.9986092373500774E-3</v>
      </c>
      <c r="Y222" s="165">
        <f t="shared" si="79"/>
        <v>8.0466008927741785E-3</v>
      </c>
      <c r="Z222" s="165">
        <f t="shared" si="79"/>
        <v>8.0948804981308235E-3</v>
      </c>
      <c r="AA222" s="165">
        <f t="shared" si="79"/>
        <v>8.1434497811196088E-3</v>
      </c>
      <c r="AB222" s="165">
        <f t="shared" si="79"/>
        <v>8.1923104798063261E-3</v>
      </c>
      <c r="AC222" s="165">
        <f t="shared" si="79"/>
        <v>8.2414643426851637E-3</v>
      </c>
      <c r="AD222" s="165">
        <f t="shared" si="79"/>
        <v>8.290913128741275E-3</v>
      </c>
      <c r="AE222" s="165">
        <f t="shared" si="79"/>
        <v>8.3406586075137224E-3</v>
      </c>
      <c r="AF222" s="165">
        <f t="shared" si="79"/>
        <v>8.3907025591588042E-3</v>
      </c>
      <c r="AG222" s="165">
        <f t="shared" si="79"/>
        <v>8.4410467745137576E-3</v>
      </c>
      <c r="AH222" s="165">
        <f t="shared" si="79"/>
        <v>8.491693055160841E-3</v>
      </c>
      <c r="AI222" s="42"/>
    </row>
    <row r="223" spans="1:52">
      <c r="A223" s="63" t="s">
        <v>128</v>
      </c>
      <c r="B223" s="64"/>
      <c r="C223" s="135"/>
      <c r="D223" s="77"/>
      <c r="E223" s="320">
        <f>INDEX(DEFAULT!E420:AL420,1,'USER INPUTS'!B4)</f>
        <v>179.9</v>
      </c>
      <c r="F223" s="152">
        <f>E223</f>
        <v>179.9</v>
      </c>
      <c r="G223" s="152">
        <f t="shared" ref="G223:AH223" si="80">F223</f>
        <v>179.9</v>
      </c>
      <c r="H223" s="152">
        <f t="shared" si="80"/>
        <v>179.9</v>
      </c>
      <c r="I223" s="152">
        <f t="shared" si="80"/>
        <v>179.9</v>
      </c>
      <c r="J223" s="152">
        <f t="shared" si="80"/>
        <v>179.9</v>
      </c>
      <c r="K223" s="152">
        <f t="shared" si="80"/>
        <v>179.9</v>
      </c>
      <c r="L223" s="152">
        <f t="shared" si="80"/>
        <v>179.9</v>
      </c>
      <c r="M223" s="152">
        <f t="shared" si="80"/>
        <v>179.9</v>
      </c>
      <c r="N223" s="152">
        <f t="shared" si="80"/>
        <v>179.9</v>
      </c>
      <c r="O223" s="152">
        <f t="shared" si="80"/>
        <v>179.9</v>
      </c>
      <c r="P223" s="152">
        <f t="shared" si="80"/>
        <v>179.9</v>
      </c>
      <c r="Q223" s="152">
        <f t="shared" si="80"/>
        <v>179.9</v>
      </c>
      <c r="R223" s="152">
        <f t="shared" si="80"/>
        <v>179.9</v>
      </c>
      <c r="S223" s="152">
        <f t="shared" si="80"/>
        <v>179.9</v>
      </c>
      <c r="T223" s="152">
        <f t="shared" si="80"/>
        <v>179.9</v>
      </c>
      <c r="U223" s="152">
        <f t="shared" si="80"/>
        <v>179.9</v>
      </c>
      <c r="V223" s="152">
        <f t="shared" si="80"/>
        <v>179.9</v>
      </c>
      <c r="W223" s="152">
        <f t="shared" si="80"/>
        <v>179.9</v>
      </c>
      <c r="X223" s="152">
        <f t="shared" si="80"/>
        <v>179.9</v>
      </c>
      <c r="Y223" s="152">
        <f t="shared" si="80"/>
        <v>179.9</v>
      </c>
      <c r="Z223" s="152">
        <f t="shared" si="80"/>
        <v>179.9</v>
      </c>
      <c r="AA223" s="152">
        <f t="shared" si="80"/>
        <v>179.9</v>
      </c>
      <c r="AB223" s="152">
        <f t="shared" si="80"/>
        <v>179.9</v>
      </c>
      <c r="AC223" s="152">
        <f t="shared" si="80"/>
        <v>179.9</v>
      </c>
      <c r="AD223" s="152">
        <f t="shared" si="80"/>
        <v>179.9</v>
      </c>
      <c r="AE223" s="152">
        <f t="shared" si="80"/>
        <v>179.9</v>
      </c>
      <c r="AF223" s="152">
        <f t="shared" si="80"/>
        <v>179.9</v>
      </c>
      <c r="AG223" s="152">
        <f t="shared" si="80"/>
        <v>179.9</v>
      </c>
      <c r="AH223" s="152">
        <f t="shared" si="80"/>
        <v>179.9</v>
      </c>
      <c r="AI223" s="42"/>
      <c r="AJ223" s="105"/>
    </row>
    <row r="224" spans="1:52" s="6" customFormat="1">
      <c r="A224" s="43" t="s">
        <v>652</v>
      </c>
      <c r="B224" s="41"/>
      <c r="C224" s="106"/>
      <c r="D224" s="298"/>
      <c r="E224" s="248">
        <f>E222/E223*1000</f>
        <v>3.8981515632826223E-2</v>
      </c>
      <c r="F224" s="248">
        <f t="shared" ref="F224:AH224" si="81">F222/F223*1000</f>
        <v>3.9293367757888838E-2</v>
      </c>
      <c r="G224" s="248">
        <f t="shared" si="81"/>
        <v>3.9607714699951946E-2</v>
      </c>
      <c r="H224" s="248">
        <f t="shared" si="81"/>
        <v>3.9924576417551566E-2</v>
      </c>
      <c r="I224" s="248">
        <f t="shared" si="81"/>
        <v>4.0243973028891974E-2</v>
      </c>
      <c r="J224" s="248">
        <f t="shared" si="81"/>
        <v>4.0565924813123114E-2</v>
      </c>
      <c r="K224" s="248">
        <f t="shared" si="81"/>
        <v>4.0890452211628098E-2</v>
      </c>
      <c r="L224" s="248">
        <f t="shared" si="81"/>
        <v>4.1217575829321125E-2</v>
      </c>
      <c r="M224" s="248">
        <f t="shared" si="81"/>
        <v>4.1547316435955696E-2</v>
      </c>
      <c r="N224" s="248">
        <f t="shared" si="81"/>
        <v>4.1879694967443336E-2</v>
      </c>
      <c r="O224" s="248">
        <f t="shared" si="81"/>
        <v>4.2130973137247993E-2</v>
      </c>
      <c r="P224" s="248">
        <f t="shared" si="81"/>
        <v>4.2383758976071481E-2</v>
      </c>
      <c r="Q224" s="248">
        <f t="shared" si="81"/>
        <v>4.2638061529927912E-2</v>
      </c>
      <c r="R224" s="248">
        <f t="shared" si="81"/>
        <v>4.289388989910748E-2</v>
      </c>
      <c r="S224" s="248">
        <f t="shared" si="81"/>
        <v>4.3151253238502121E-2</v>
      </c>
      <c r="T224" s="248">
        <f t="shared" si="81"/>
        <v>4.3410160757933136E-2</v>
      </c>
      <c r="U224" s="248">
        <f t="shared" si="81"/>
        <v>4.3670621722480735E-2</v>
      </c>
      <c r="V224" s="248">
        <f t="shared" si="81"/>
        <v>4.3932645452815611E-2</v>
      </c>
      <c r="W224" s="248">
        <f t="shared" si="81"/>
        <v>4.4196241325532501E-2</v>
      </c>
      <c r="X224" s="248">
        <f t="shared" si="81"/>
        <v>4.4461418773485695E-2</v>
      </c>
      <c r="Y224" s="248">
        <f t="shared" si="81"/>
        <v>4.4728187286126618E-2</v>
      </c>
      <c r="Z224" s="248">
        <f t="shared" si="81"/>
        <v>4.4996556409843382E-2</v>
      </c>
      <c r="AA224" s="248">
        <f t="shared" si="81"/>
        <v>4.5266535748302437E-2</v>
      </c>
      <c r="AB224" s="248">
        <f t="shared" si="81"/>
        <v>4.553813496279225E-2</v>
      </c>
      <c r="AC224" s="248">
        <f t="shared" si="81"/>
        <v>4.5811363772568996E-2</v>
      </c>
      <c r="AD224" s="248">
        <f t="shared" si="81"/>
        <v>4.6086231955204421E-2</v>
      </c>
      <c r="AE224" s="248">
        <f t="shared" si="81"/>
        <v>4.6362749346935649E-2</v>
      </c>
      <c r="AF224" s="248">
        <f t="shared" si="81"/>
        <v>4.664092584301726E-2</v>
      </c>
      <c r="AG224" s="248">
        <f t="shared" si="81"/>
        <v>4.6920771398075357E-2</v>
      </c>
      <c r="AH224" s="248">
        <f t="shared" si="81"/>
        <v>4.7202296026463822E-2</v>
      </c>
      <c r="AI224" s="42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</row>
    <row r="225" spans="1:52" s="6" customFormat="1">
      <c r="A225" s="43"/>
      <c r="B225" s="41"/>
      <c r="C225" s="106"/>
      <c r="D225" s="298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2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</row>
    <row r="226" spans="1:52" s="6" customFormat="1">
      <c r="A226" s="128" t="s">
        <v>463</v>
      </c>
      <c r="B226" s="4"/>
      <c r="C226" s="4"/>
      <c r="D226" s="290"/>
      <c r="E226" s="64">
        <v>2021</v>
      </c>
      <c r="F226" s="64">
        <f t="shared" ref="F226:AH226" si="82">E226+1</f>
        <v>2022</v>
      </c>
      <c r="G226" s="64">
        <f t="shared" si="82"/>
        <v>2023</v>
      </c>
      <c r="H226" s="64">
        <f t="shared" si="82"/>
        <v>2024</v>
      </c>
      <c r="I226" s="64">
        <f t="shared" si="82"/>
        <v>2025</v>
      </c>
      <c r="J226" s="64">
        <f t="shared" si="82"/>
        <v>2026</v>
      </c>
      <c r="K226" s="64">
        <f t="shared" si="82"/>
        <v>2027</v>
      </c>
      <c r="L226" s="64">
        <f t="shared" si="82"/>
        <v>2028</v>
      </c>
      <c r="M226" s="64">
        <f t="shared" si="82"/>
        <v>2029</v>
      </c>
      <c r="N226" s="64">
        <f t="shared" si="82"/>
        <v>2030</v>
      </c>
      <c r="O226" s="64">
        <f t="shared" si="82"/>
        <v>2031</v>
      </c>
      <c r="P226" s="64">
        <f t="shared" si="82"/>
        <v>2032</v>
      </c>
      <c r="Q226" s="64">
        <f t="shared" si="82"/>
        <v>2033</v>
      </c>
      <c r="R226" s="64">
        <f t="shared" si="82"/>
        <v>2034</v>
      </c>
      <c r="S226" s="64">
        <f t="shared" si="82"/>
        <v>2035</v>
      </c>
      <c r="T226" s="64">
        <f t="shared" si="82"/>
        <v>2036</v>
      </c>
      <c r="U226" s="64">
        <f t="shared" si="82"/>
        <v>2037</v>
      </c>
      <c r="V226" s="64">
        <f t="shared" si="82"/>
        <v>2038</v>
      </c>
      <c r="W226" s="64">
        <f t="shared" si="82"/>
        <v>2039</v>
      </c>
      <c r="X226" s="64">
        <f t="shared" si="82"/>
        <v>2040</v>
      </c>
      <c r="Y226" s="64">
        <f t="shared" si="82"/>
        <v>2041</v>
      </c>
      <c r="Z226" s="64">
        <f t="shared" si="82"/>
        <v>2042</v>
      </c>
      <c r="AA226" s="64">
        <f t="shared" si="82"/>
        <v>2043</v>
      </c>
      <c r="AB226" s="64">
        <f t="shared" si="82"/>
        <v>2044</v>
      </c>
      <c r="AC226" s="64">
        <f t="shared" si="82"/>
        <v>2045</v>
      </c>
      <c r="AD226" s="64">
        <f t="shared" si="82"/>
        <v>2046</v>
      </c>
      <c r="AE226" s="64">
        <f t="shared" si="82"/>
        <v>2047</v>
      </c>
      <c r="AF226" s="64">
        <f t="shared" si="82"/>
        <v>2048</v>
      </c>
      <c r="AG226" s="64">
        <f t="shared" si="82"/>
        <v>2049</v>
      </c>
      <c r="AH226" s="64">
        <f t="shared" si="82"/>
        <v>2050</v>
      </c>
      <c r="AI226" s="42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</row>
    <row r="227" spans="1:52" s="6" customFormat="1">
      <c r="A227" s="27" t="s">
        <v>145</v>
      </c>
      <c r="B227" s="5"/>
      <c r="C227" s="5"/>
      <c r="D227" s="70"/>
      <c r="E227" s="321">
        <f>DEFAULT!B404</f>
        <v>12.64</v>
      </c>
      <c r="F227" s="171">
        <f>E227</f>
        <v>12.64</v>
      </c>
      <c r="G227" s="171">
        <f t="shared" ref="G227:AH227" si="83">F227</f>
        <v>12.64</v>
      </c>
      <c r="H227" s="171">
        <f t="shared" si="83"/>
        <v>12.64</v>
      </c>
      <c r="I227" s="171">
        <f t="shared" si="83"/>
        <v>12.64</v>
      </c>
      <c r="J227" s="171">
        <f t="shared" si="83"/>
        <v>12.64</v>
      </c>
      <c r="K227" s="171">
        <f t="shared" si="83"/>
        <v>12.64</v>
      </c>
      <c r="L227" s="171">
        <f t="shared" si="83"/>
        <v>12.64</v>
      </c>
      <c r="M227" s="171">
        <f t="shared" si="83"/>
        <v>12.64</v>
      </c>
      <c r="N227" s="171">
        <f t="shared" si="83"/>
        <v>12.64</v>
      </c>
      <c r="O227" s="171">
        <f t="shared" si="83"/>
        <v>12.64</v>
      </c>
      <c r="P227" s="171">
        <f t="shared" si="83"/>
        <v>12.64</v>
      </c>
      <c r="Q227" s="171">
        <f t="shared" si="83"/>
        <v>12.64</v>
      </c>
      <c r="R227" s="171">
        <f t="shared" si="83"/>
        <v>12.64</v>
      </c>
      <c r="S227" s="171">
        <f t="shared" si="83"/>
        <v>12.64</v>
      </c>
      <c r="T227" s="171">
        <f t="shared" si="83"/>
        <v>12.64</v>
      </c>
      <c r="U227" s="171">
        <f t="shared" si="83"/>
        <v>12.64</v>
      </c>
      <c r="V227" s="171">
        <f t="shared" si="83"/>
        <v>12.64</v>
      </c>
      <c r="W227" s="171">
        <f t="shared" si="83"/>
        <v>12.64</v>
      </c>
      <c r="X227" s="171">
        <f t="shared" si="83"/>
        <v>12.64</v>
      </c>
      <c r="Y227" s="171">
        <f t="shared" si="83"/>
        <v>12.64</v>
      </c>
      <c r="Z227" s="171">
        <f t="shared" si="83"/>
        <v>12.64</v>
      </c>
      <c r="AA227" s="171">
        <f t="shared" si="83"/>
        <v>12.64</v>
      </c>
      <c r="AB227" s="171">
        <f t="shared" si="83"/>
        <v>12.64</v>
      </c>
      <c r="AC227" s="171">
        <f t="shared" si="83"/>
        <v>12.64</v>
      </c>
      <c r="AD227" s="171">
        <f t="shared" si="83"/>
        <v>12.64</v>
      </c>
      <c r="AE227" s="171">
        <f t="shared" si="83"/>
        <v>12.64</v>
      </c>
      <c r="AF227" s="171">
        <f t="shared" si="83"/>
        <v>12.64</v>
      </c>
      <c r="AG227" s="171">
        <f t="shared" si="83"/>
        <v>12.64</v>
      </c>
      <c r="AH227" s="171">
        <f t="shared" si="83"/>
        <v>12.64</v>
      </c>
      <c r="AI227" s="42"/>
      <c r="AJ227" s="105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</row>
    <row r="228" spans="1:52" s="6" customFormat="1">
      <c r="A228" s="63" t="s">
        <v>654</v>
      </c>
      <c r="B228" s="145"/>
      <c r="C228" s="145"/>
      <c r="D228" s="146"/>
      <c r="E228" s="322">
        <f t="shared" ref="E228:AH228" si="84">E14</f>
        <v>351.34391304347827</v>
      </c>
      <c r="F228" s="322">
        <f t="shared" si="84"/>
        <v>351.34391304347827</v>
      </c>
      <c r="G228" s="322">
        <f t="shared" si="84"/>
        <v>351.34391304347827</v>
      </c>
      <c r="H228" s="322">
        <f t="shared" si="84"/>
        <v>351.34391304347827</v>
      </c>
      <c r="I228" s="322">
        <f t="shared" si="84"/>
        <v>351.34391304347827</v>
      </c>
      <c r="J228" s="322">
        <f t="shared" si="84"/>
        <v>351.34391304347827</v>
      </c>
      <c r="K228" s="322">
        <f t="shared" si="84"/>
        <v>351.34391304347827</v>
      </c>
      <c r="L228" s="322">
        <f t="shared" si="84"/>
        <v>351.34391304347827</v>
      </c>
      <c r="M228" s="322">
        <f t="shared" si="84"/>
        <v>351.34391304347827</v>
      </c>
      <c r="N228" s="322">
        <f t="shared" si="84"/>
        <v>351.34391304347827</v>
      </c>
      <c r="O228" s="322">
        <f t="shared" si="84"/>
        <v>351.34391304347827</v>
      </c>
      <c r="P228" s="322">
        <f t="shared" si="84"/>
        <v>351.34391304347827</v>
      </c>
      <c r="Q228" s="322">
        <f t="shared" si="84"/>
        <v>351.34391304347827</v>
      </c>
      <c r="R228" s="322">
        <f t="shared" si="84"/>
        <v>351.34391304347827</v>
      </c>
      <c r="S228" s="322">
        <f t="shared" si="84"/>
        <v>351.34391304347827</v>
      </c>
      <c r="T228" s="322">
        <f t="shared" si="84"/>
        <v>351.34391304347827</v>
      </c>
      <c r="U228" s="322">
        <f t="shared" si="84"/>
        <v>351.34391304347827</v>
      </c>
      <c r="V228" s="322">
        <f t="shared" si="84"/>
        <v>351.34391304347827</v>
      </c>
      <c r="W228" s="322">
        <f t="shared" si="84"/>
        <v>351.34391304347827</v>
      </c>
      <c r="X228" s="322">
        <f t="shared" si="84"/>
        <v>337.99284434782612</v>
      </c>
      <c r="Y228" s="322">
        <f t="shared" si="84"/>
        <v>325.14911626260874</v>
      </c>
      <c r="Z228" s="322">
        <f t="shared" si="84"/>
        <v>312.79344984462966</v>
      </c>
      <c r="AA228" s="322">
        <f t="shared" si="84"/>
        <v>300.90729875053376</v>
      </c>
      <c r="AB228" s="322">
        <f t="shared" si="84"/>
        <v>289.47282139801348</v>
      </c>
      <c r="AC228" s="322">
        <f t="shared" si="84"/>
        <v>278.472854184889</v>
      </c>
      <c r="AD228" s="322">
        <f t="shared" si="84"/>
        <v>267.89088572586326</v>
      </c>
      <c r="AE228" s="322">
        <f t="shared" si="84"/>
        <v>257.71103206828047</v>
      </c>
      <c r="AF228" s="322">
        <f t="shared" si="84"/>
        <v>247.91801284968582</v>
      </c>
      <c r="AG228" s="322">
        <f t="shared" si="84"/>
        <v>238.49712836139778</v>
      </c>
      <c r="AH228" s="322">
        <f t="shared" si="84"/>
        <v>229.43423748366467</v>
      </c>
      <c r="AI228" s="42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</row>
    <row r="229" spans="1:52" s="143" customFormat="1">
      <c r="A229" s="43" t="s">
        <v>147</v>
      </c>
      <c r="B229" s="140"/>
      <c r="C229" s="140"/>
      <c r="D229" s="324"/>
      <c r="E229" s="323">
        <f>E227*E228</f>
        <v>4440.9870608695655</v>
      </c>
      <c r="F229" s="170">
        <f>F227*F228</f>
        <v>4440.9870608695655</v>
      </c>
      <c r="G229" s="170">
        <f>G227*G228</f>
        <v>4440.9870608695655</v>
      </c>
      <c r="H229" s="170">
        <f t="shared" ref="H229:AH229" si="85">H227*H228</f>
        <v>4440.9870608695655</v>
      </c>
      <c r="I229" s="170">
        <f t="shared" si="85"/>
        <v>4440.9870608695655</v>
      </c>
      <c r="J229" s="170">
        <f t="shared" si="85"/>
        <v>4440.9870608695655</v>
      </c>
      <c r="K229" s="170">
        <f t="shared" si="85"/>
        <v>4440.9870608695655</v>
      </c>
      <c r="L229" s="170">
        <f t="shared" si="85"/>
        <v>4440.9870608695655</v>
      </c>
      <c r="M229" s="170">
        <f t="shared" si="85"/>
        <v>4440.9870608695655</v>
      </c>
      <c r="N229" s="170">
        <f t="shared" si="85"/>
        <v>4440.9870608695655</v>
      </c>
      <c r="O229" s="170">
        <f t="shared" si="85"/>
        <v>4440.9870608695655</v>
      </c>
      <c r="P229" s="170">
        <f t="shared" si="85"/>
        <v>4440.9870608695655</v>
      </c>
      <c r="Q229" s="170">
        <f t="shared" si="85"/>
        <v>4440.9870608695655</v>
      </c>
      <c r="R229" s="170">
        <f t="shared" si="85"/>
        <v>4440.9870608695655</v>
      </c>
      <c r="S229" s="170">
        <f t="shared" si="85"/>
        <v>4440.9870608695655</v>
      </c>
      <c r="T229" s="170">
        <f t="shared" si="85"/>
        <v>4440.9870608695655</v>
      </c>
      <c r="U229" s="170">
        <f t="shared" si="85"/>
        <v>4440.9870608695655</v>
      </c>
      <c r="V229" s="170">
        <f t="shared" si="85"/>
        <v>4440.9870608695655</v>
      </c>
      <c r="W229" s="170">
        <f t="shared" si="85"/>
        <v>4440.9870608695655</v>
      </c>
      <c r="X229" s="170">
        <f t="shared" si="85"/>
        <v>4272.2295525565223</v>
      </c>
      <c r="Y229" s="170">
        <f t="shared" si="85"/>
        <v>4109.8848295593743</v>
      </c>
      <c r="Z229" s="170">
        <f t="shared" si="85"/>
        <v>3953.7092060361192</v>
      </c>
      <c r="AA229" s="170">
        <f t="shared" si="85"/>
        <v>3803.4682562067469</v>
      </c>
      <c r="AB229" s="170">
        <f t="shared" si="85"/>
        <v>3658.9364624708905</v>
      </c>
      <c r="AC229" s="170">
        <f t="shared" si="85"/>
        <v>3519.8968768969971</v>
      </c>
      <c r="AD229" s="170">
        <f t="shared" si="85"/>
        <v>3386.1407955749119</v>
      </c>
      <c r="AE229" s="170">
        <f t="shared" si="85"/>
        <v>3257.4674453430653</v>
      </c>
      <c r="AF229" s="170">
        <f t="shared" si="85"/>
        <v>3133.6836824200291</v>
      </c>
      <c r="AG229" s="170">
        <f t="shared" si="85"/>
        <v>3014.6037024880679</v>
      </c>
      <c r="AH229" s="170">
        <f t="shared" si="85"/>
        <v>2900.0487617935214</v>
      </c>
      <c r="AI229" s="42"/>
      <c r="AK229" s="144"/>
      <c r="AL229" s="144"/>
      <c r="AM229" s="144"/>
      <c r="AN229" s="144"/>
      <c r="AO229" s="144"/>
      <c r="AP229" s="144"/>
      <c r="AQ229" s="144"/>
      <c r="AR229" s="144"/>
      <c r="AS229" s="144"/>
      <c r="AT229" s="144"/>
      <c r="AU229" s="144"/>
      <c r="AV229" s="144"/>
      <c r="AW229" s="144"/>
      <c r="AX229" s="144"/>
      <c r="AY229" s="144"/>
      <c r="AZ229" s="144"/>
    </row>
    <row r="230" spans="1:52" s="6" customFormat="1">
      <c r="A230" s="37"/>
      <c r="B230" s="37"/>
      <c r="C230" s="37"/>
      <c r="D230" s="325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42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</row>
    <row r="231" spans="1:52">
      <c r="A231" s="43" t="s">
        <v>464</v>
      </c>
      <c r="B231" s="5"/>
      <c r="C231" s="5"/>
      <c r="D231" s="298"/>
      <c r="E231" s="41" t="s">
        <v>0</v>
      </c>
      <c r="F231" s="5"/>
      <c r="G231" s="5" t="s">
        <v>116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12"/>
    </row>
    <row r="232" spans="1:52">
      <c r="A232" s="63" t="s">
        <v>111</v>
      </c>
      <c r="B232" s="4"/>
      <c r="C232" s="4"/>
      <c r="D232" s="77" t="s">
        <v>141</v>
      </c>
      <c r="E232" s="64">
        <v>2021</v>
      </c>
      <c r="F232" s="64">
        <f t="shared" ref="F232:AH232" si="86">E232+1</f>
        <v>2022</v>
      </c>
      <c r="G232" s="64">
        <f t="shared" si="86"/>
        <v>2023</v>
      </c>
      <c r="H232" s="64">
        <f t="shared" si="86"/>
        <v>2024</v>
      </c>
      <c r="I232" s="64">
        <f t="shared" si="86"/>
        <v>2025</v>
      </c>
      <c r="J232" s="64">
        <f t="shared" si="86"/>
        <v>2026</v>
      </c>
      <c r="K232" s="64">
        <f t="shared" si="86"/>
        <v>2027</v>
      </c>
      <c r="L232" s="64">
        <f t="shared" si="86"/>
        <v>2028</v>
      </c>
      <c r="M232" s="64">
        <f t="shared" si="86"/>
        <v>2029</v>
      </c>
      <c r="N232" s="64">
        <f t="shared" si="86"/>
        <v>2030</v>
      </c>
      <c r="O232" s="64">
        <f t="shared" si="86"/>
        <v>2031</v>
      </c>
      <c r="P232" s="64">
        <f t="shared" si="86"/>
        <v>2032</v>
      </c>
      <c r="Q232" s="64">
        <f t="shared" si="86"/>
        <v>2033</v>
      </c>
      <c r="R232" s="64">
        <f t="shared" si="86"/>
        <v>2034</v>
      </c>
      <c r="S232" s="64">
        <f t="shared" si="86"/>
        <v>2035</v>
      </c>
      <c r="T232" s="64">
        <f t="shared" si="86"/>
        <v>2036</v>
      </c>
      <c r="U232" s="64">
        <f t="shared" si="86"/>
        <v>2037</v>
      </c>
      <c r="V232" s="64">
        <f t="shared" si="86"/>
        <v>2038</v>
      </c>
      <c r="W232" s="64">
        <f t="shared" si="86"/>
        <v>2039</v>
      </c>
      <c r="X232" s="64">
        <f t="shared" si="86"/>
        <v>2040</v>
      </c>
      <c r="Y232" s="64">
        <f t="shared" si="86"/>
        <v>2041</v>
      </c>
      <c r="Z232" s="64">
        <f t="shared" si="86"/>
        <v>2042</v>
      </c>
      <c r="AA232" s="64">
        <f t="shared" si="86"/>
        <v>2043</v>
      </c>
      <c r="AB232" s="64">
        <f t="shared" si="86"/>
        <v>2044</v>
      </c>
      <c r="AC232" s="64">
        <f t="shared" si="86"/>
        <v>2045</v>
      </c>
      <c r="AD232" s="64">
        <f t="shared" si="86"/>
        <v>2046</v>
      </c>
      <c r="AE232" s="64">
        <f t="shared" si="86"/>
        <v>2047</v>
      </c>
      <c r="AF232" s="64">
        <f t="shared" si="86"/>
        <v>2048</v>
      </c>
      <c r="AG232" s="64">
        <f t="shared" si="86"/>
        <v>2049</v>
      </c>
      <c r="AH232" s="64">
        <f t="shared" si="86"/>
        <v>2050</v>
      </c>
      <c r="AI232" s="12"/>
    </row>
    <row r="233" spans="1:52">
      <c r="A233" s="27" t="s">
        <v>3</v>
      </c>
      <c r="B233" s="5"/>
      <c r="C233" s="5"/>
      <c r="D233" s="192">
        <f>DEFAULT!D403</f>
        <v>2647.0800000000199</v>
      </c>
      <c r="E233" s="150">
        <f>INDEX(DEFAULT!$E$403:$AL$405,1,'USER INPUTS'!$B$4)</f>
        <v>50</v>
      </c>
      <c r="F233" s="170">
        <f>E233</f>
        <v>50</v>
      </c>
      <c r="G233" s="170">
        <f t="shared" ref="G233:AH233" si="87">F233</f>
        <v>50</v>
      </c>
      <c r="H233" s="170">
        <f t="shared" si="87"/>
        <v>50</v>
      </c>
      <c r="I233" s="170">
        <f t="shared" si="87"/>
        <v>50</v>
      </c>
      <c r="J233" s="170">
        <f t="shared" si="87"/>
        <v>50</v>
      </c>
      <c r="K233" s="170">
        <f t="shared" si="87"/>
        <v>50</v>
      </c>
      <c r="L233" s="170">
        <f t="shared" si="87"/>
        <v>50</v>
      </c>
      <c r="M233" s="170">
        <f t="shared" si="87"/>
        <v>50</v>
      </c>
      <c r="N233" s="170">
        <f t="shared" si="87"/>
        <v>50</v>
      </c>
      <c r="O233" s="170">
        <f t="shared" si="87"/>
        <v>50</v>
      </c>
      <c r="P233" s="170">
        <f t="shared" si="87"/>
        <v>50</v>
      </c>
      <c r="Q233" s="170">
        <f t="shared" si="87"/>
        <v>50</v>
      </c>
      <c r="R233" s="170">
        <f t="shared" si="87"/>
        <v>50</v>
      </c>
      <c r="S233" s="170">
        <f t="shared" si="87"/>
        <v>50</v>
      </c>
      <c r="T233" s="170">
        <f t="shared" si="87"/>
        <v>50</v>
      </c>
      <c r="U233" s="170">
        <f t="shared" si="87"/>
        <v>50</v>
      </c>
      <c r="V233" s="170">
        <f t="shared" si="87"/>
        <v>50</v>
      </c>
      <c r="W233" s="170">
        <f t="shared" si="87"/>
        <v>50</v>
      </c>
      <c r="X233" s="170">
        <f t="shared" si="87"/>
        <v>50</v>
      </c>
      <c r="Y233" s="170">
        <f t="shared" si="87"/>
        <v>50</v>
      </c>
      <c r="Z233" s="170">
        <f t="shared" si="87"/>
        <v>50</v>
      </c>
      <c r="AA233" s="170">
        <f t="shared" si="87"/>
        <v>50</v>
      </c>
      <c r="AB233" s="170">
        <f t="shared" si="87"/>
        <v>50</v>
      </c>
      <c r="AC233" s="170">
        <f t="shared" si="87"/>
        <v>50</v>
      </c>
      <c r="AD233" s="170">
        <f t="shared" si="87"/>
        <v>50</v>
      </c>
      <c r="AE233" s="170">
        <f t="shared" si="87"/>
        <v>50</v>
      </c>
      <c r="AF233" s="170">
        <f t="shared" si="87"/>
        <v>50</v>
      </c>
      <c r="AG233" s="170">
        <f t="shared" si="87"/>
        <v>50</v>
      </c>
      <c r="AH233" s="170">
        <f t="shared" si="87"/>
        <v>50</v>
      </c>
      <c r="AI233" s="12"/>
    </row>
    <row r="234" spans="1:52" s="6" customFormat="1">
      <c r="A234" s="72" t="s">
        <v>59</v>
      </c>
      <c r="B234" s="4"/>
      <c r="C234" s="4"/>
      <c r="D234" s="193" t="s">
        <v>142</v>
      </c>
      <c r="E234" s="150">
        <f>INDEX(DEFAULT!$E$403:$AL$405,2,'USER INPUTS'!$B$4)</f>
        <v>50</v>
      </c>
      <c r="F234" s="170">
        <f>E234</f>
        <v>50</v>
      </c>
      <c r="G234" s="170">
        <f t="shared" ref="G234:AH234" si="88">F234</f>
        <v>50</v>
      </c>
      <c r="H234" s="170">
        <f t="shared" si="88"/>
        <v>50</v>
      </c>
      <c r="I234" s="170">
        <f t="shared" si="88"/>
        <v>50</v>
      </c>
      <c r="J234" s="170">
        <f t="shared" si="88"/>
        <v>50</v>
      </c>
      <c r="K234" s="170">
        <f t="shared" si="88"/>
        <v>50</v>
      </c>
      <c r="L234" s="170">
        <f t="shared" si="88"/>
        <v>50</v>
      </c>
      <c r="M234" s="170">
        <f t="shared" si="88"/>
        <v>50</v>
      </c>
      <c r="N234" s="170">
        <f t="shared" si="88"/>
        <v>50</v>
      </c>
      <c r="O234" s="170">
        <f t="shared" si="88"/>
        <v>50</v>
      </c>
      <c r="P234" s="170">
        <f t="shared" si="88"/>
        <v>50</v>
      </c>
      <c r="Q234" s="170">
        <f t="shared" si="88"/>
        <v>50</v>
      </c>
      <c r="R234" s="170">
        <f t="shared" si="88"/>
        <v>50</v>
      </c>
      <c r="S234" s="170">
        <f t="shared" si="88"/>
        <v>50</v>
      </c>
      <c r="T234" s="170">
        <f t="shared" si="88"/>
        <v>50</v>
      </c>
      <c r="U234" s="170">
        <f t="shared" si="88"/>
        <v>50</v>
      </c>
      <c r="V234" s="170">
        <f t="shared" si="88"/>
        <v>50</v>
      </c>
      <c r="W234" s="170">
        <f t="shared" si="88"/>
        <v>50</v>
      </c>
      <c r="X234" s="170">
        <f t="shared" si="88"/>
        <v>50</v>
      </c>
      <c r="Y234" s="170">
        <f t="shared" si="88"/>
        <v>50</v>
      </c>
      <c r="Z234" s="170">
        <f t="shared" si="88"/>
        <v>50</v>
      </c>
      <c r="AA234" s="170">
        <f t="shared" si="88"/>
        <v>50</v>
      </c>
      <c r="AB234" s="170">
        <f t="shared" si="88"/>
        <v>50</v>
      </c>
      <c r="AC234" s="170">
        <f t="shared" si="88"/>
        <v>50</v>
      </c>
      <c r="AD234" s="170">
        <f t="shared" si="88"/>
        <v>50</v>
      </c>
      <c r="AE234" s="170">
        <f t="shared" si="88"/>
        <v>50</v>
      </c>
      <c r="AF234" s="170">
        <f t="shared" si="88"/>
        <v>50</v>
      </c>
      <c r="AG234" s="170">
        <f t="shared" si="88"/>
        <v>50</v>
      </c>
      <c r="AH234" s="170">
        <f t="shared" si="88"/>
        <v>50</v>
      </c>
      <c r="AI234" s="12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</row>
    <row r="235" spans="1:52" s="134" customFormat="1">
      <c r="A235" s="43" t="s">
        <v>106</v>
      </c>
      <c r="B235" s="131"/>
      <c r="C235" s="131"/>
      <c r="D235" s="82"/>
      <c r="E235" s="150">
        <f>(E233/100*$D$233)+(E234/100*E229)</f>
        <v>3544.0335304347927</v>
      </c>
      <c r="F235" s="150">
        <f t="shared" ref="F235:AH235" si="89">(F233/100*$D$233)+(F234/100*F229)</f>
        <v>3544.0335304347927</v>
      </c>
      <c r="G235" s="150">
        <f t="shared" si="89"/>
        <v>3544.0335304347927</v>
      </c>
      <c r="H235" s="150">
        <f t="shared" si="89"/>
        <v>3544.0335304347927</v>
      </c>
      <c r="I235" s="150">
        <f t="shared" si="89"/>
        <v>3544.0335304347927</v>
      </c>
      <c r="J235" s="150">
        <f t="shared" si="89"/>
        <v>3544.0335304347927</v>
      </c>
      <c r="K235" s="150">
        <f t="shared" si="89"/>
        <v>3544.0335304347927</v>
      </c>
      <c r="L235" s="150">
        <f t="shared" si="89"/>
        <v>3544.0335304347927</v>
      </c>
      <c r="M235" s="150">
        <f t="shared" si="89"/>
        <v>3544.0335304347927</v>
      </c>
      <c r="N235" s="150">
        <f t="shared" si="89"/>
        <v>3544.0335304347927</v>
      </c>
      <c r="O235" s="150">
        <f t="shared" si="89"/>
        <v>3544.0335304347927</v>
      </c>
      <c r="P235" s="150">
        <f t="shared" si="89"/>
        <v>3544.0335304347927</v>
      </c>
      <c r="Q235" s="150">
        <f t="shared" si="89"/>
        <v>3544.0335304347927</v>
      </c>
      <c r="R235" s="150">
        <f t="shared" si="89"/>
        <v>3544.0335304347927</v>
      </c>
      <c r="S235" s="150">
        <f t="shared" si="89"/>
        <v>3544.0335304347927</v>
      </c>
      <c r="T235" s="150">
        <f t="shared" si="89"/>
        <v>3544.0335304347927</v>
      </c>
      <c r="U235" s="150">
        <f t="shared" si="89"/>
        <v>3544.0335304347927</v>
      </c>
      <c r="V235" s="150">
        <f t="shared" si="89"/>
        <v>3544.0335304347927</v>
      </c>
      <c r="W235" s="150">
        <f t="shared" si="89"/>
        <v>3544.0335304347927</v>
      </c>
      <c r="X235" s="150">
        <f t="shared" si="89"/>
        <v>3459.6547762782711</v>
      </c>
      <c r="Y235" s="150">
        <f t="shared" si="89"/>
        <v>3378.4824147796971</v>
      </c>
      <c r="Z235" s="150">
        <f t="shared" si="89"/>
        <v>3300.3946030180696</v>
      </c>
      <c r="AA235" s="150">
        <f t="shared" si="89"/>
        <v>3225.2741281033832</v>
      </c>
      <c r="AB235" s="150">
        <f t="shared" si="89"/>
        <v>3153.0082312354552</v>
      </c>
      <c r="AC235" s="150">
        <f t="shared" si="89"/>
        <v>3083.4884384485085</v>
      </c>
      <c r="AD235" s="150">
        <f t="shared" si="89"/>
        <v>3016.6103977874659</v>
      </c>
      <c r="AE235" s="150">
        <f t="shared" si="89"/>
        <v>2952.2737226715426</v>
      </c>
      <c r="AF235" s="150">
        <f t="shared" si="89"/>
        <v>2890.3818412100245</v>
      </c>
      <c r="AG235" s="150">
        <f t="shared" si="89"/>
        <v>2830.8418512440439</v>
      </c>
      <c r="AH235" s="150">
        <f t="shared" si="89"/>
        <v>2773.5643808967707</v>
      </c>
      <c r="AI235" s="139"/>
      <c r="AJ235" s="133"/>
    </row>
    <row r="236" spans="1:52" s="134" customFormat="1">
      <c r="A236" s="43"/>
      <c r="B236" s="131"/>
      <c r="C236" s="131"/>
      <c r="D236" s="340"/>
      <c r="E236" s="172"/>
      <c r="F236" s="172"/>
      <c r="G236" s="172"/>
      <c r="H236" s="172"/>
      <c r="I236" s="172"/>
      <c r="J236" s="172"/>
      <c r="K236" s="172"/>
      <c r="L236" s="172"/>
      <c r="M236" s="172"/>
      <c r="N236" s="172"/>
      <c r="O236" s="172"/>
      <c r="P236" s="172"/>
      <c r="Q236" s="172"/>
      <c r="R236" s="172"/>
      <c r="S236" s="172"/>
      <c r="T236" s="172"/>
      <c r="U236" s="172"/>
      <c r="V236" s="172"/>
      <c r="W236" s="172"/>
      <c r="X236" s="172"/>
      <c r="Y236" s="172"/>
      <c r="Z236" s="172"/>
      <c r="AA236" s="172"/>
      <c r="AB236" s="172"/>
      <c r="AC236" s="172"/>
      <c r="AD236" s="172"/>
      <c r="AE236" s="172"/>
      <c r="AF236" s="172"/>
      <c r="AG236" s="172"/>
      <c r="AH236" s="172"/>
      <c r="AI236" s="139"/>
      <c r="AJ236" s="133"/>
    </row>
    <row r="237" spans="1:52" s="134" customFormat="1">
      <c r="A237" s="128" t="s">
        <v>661</v>
      </c>
      <c r="B237" s="616"/>
      <c r="C237" s="219"/>
      <c r="D237" s="77"/>
      <c r="E237" s="172"/>
      <c r="F237" s="172"/>
      <c r="G237" s="172"/>
      <c r="H237" s="172"/>
      <c r="I237" s="172"/>
      <c r="J237" s="172"/>
      <c r="K237" s="172"/>
      <c r="L237" s="172"/>
      <c r="M237" s="172"/>
      <c r="N237" s="172"/>
      <c r="O237" s="172"/>
      <c r="P237" s="172"/>
      <c r="Q237" s="172"/>
      <c r="R237" s="172"/>
      <c r="S237" s="172"/>
      <c r="T237" s="172"/>
      <c r="U237" s="172"/>
      <c r="V237" s="172"/>
      <c r="W237" s="172"/>
      <c r="X237" s="172"/>
      <c r="Y237" s="172"/>
      <c r="Z237" s="172"/>
      <c r="AA237" s="172"/>
      <c r="AB237" s="172"/>
      <c r="AC237" s="172"/>
      <c r="AD237" s="172"/>
      <c r="AE237" s="172"/>
      <c r="AF237" s="172"/>
      <c r="AG237" s="172"/>
      <c r="AH237" s="172"/>
      <c r="AI237" s="139"/>
      <c r="AJ237" s="133"/>
    </row>
    <row r="238" spans="1:52" s="134" customFormat="1">
      <c r="A238" s="551" t="s">
        <v>453</v>
      </c>
      <c r="B238" s="186" t="s">
        <v>199</v>
      </c>
      <c r="C238" s="100"/>
      <c r="D238" s="617"/>
      <c r="E238" s="150">
        <f>E235/1000</f>
        <v>3.5440335304347927</v>
      </c>
      <c r="F238" s="150">
        <f>F235/1000</f>
        <v>3.5440335304347927</v>
      </c>
      <c r="G238" s="150">
        <f t="shared" ref="G238:AH238" si="90">G235/1000</f>
        <v>3.5440335304347927</v>
      </c>
      <c r="H238" s="150">
        <f t="shared" si="90"/>
        <v>3.5440335304347927</v>
      </c>
      <c r="I238" s="150">
        <f t="shared" si="90"/>
        <v>3.5440335304347927</v>
      </c>
      <c r="J238" s="150">
        <f t="shared" si="90"/>
        <v>3.5440335304347927</v>
      </c>
      <c r="K238" s="150">
        <f t="shared" si="90"/>
        <v>3.5440335304347927</v>
      </c>
      <c r="L238" s="150">
        <f t="shared" si="90"/>
        <v>3.5440335304347927</v>
      </c>
      <c r="M238" s="150">
        <f t="shared" si="90"/>
        <v>3.5440335304347927</v>
      </c>
      <c r="N238" s="150">
        <f t="shared" si="90"/>
        <v>3.5440335304347927</v>
      </c>
      <c r="O238" s="150">
        <f t="shared" si="90"/>
        <v>3.5440335304347927</v>
      </c>
      <c r="P238" s="150">
        <f t="shared" si="90"/>
        <v>3.5440335304347927</v>
      </c>
      <c r="Q238" s="150">
        <f t="shared" si="90"/>
        <v>3.5440335304347927</v>
      </c>
      <c r="R238" s="150">
        <f t="shared" si="90"/>
        <v>3.5440335304347927</v>
      </c>
      <c r="S238" s="150">
        <f t="shared" si="90"/>
        <v>3.5440335304347927</v>
      </c>
      <c r="T238" s="150">
        <f t="shared" si="90"/>
        <v>3.5440335304347927</v>
      </c>
      <c r="U238" s="150">
        <f t="shared" si="90"/>
        <v>3.5440335304347927</v>
      </c>
      <c r="V238" s="150">
        <f t="shared" si="90"/>
        <v>3.5440335304347927</v>
      </c>
      <c r="W238" s="150">
        <f t="shared" si="90"/>
        <v>3.5440335304347927</v>
      </c>
      <c r="X238" s="150">
        <f t="shared" si="90"/>
        <v>3.459654776278271</v>
      </c>
      <c r="Y238" s="150">
        <f t="shared" si="90"/>
        <v>3.3784824147796972</v>
      </c>
      <c r="Z238" s="150">
        <f t="shared" si="90"/>
        <v>3.3003946030180695</v>
      </c>
      <c r="AA238" s="150">
        <f t="shared" si="90"/>
        <v>3.2252741281033832</v>
      </c>
      <c r="AB238" s="150">
        <f t="shared" si="90"/>
        <v>3.153008231235455</v>
      </c>
      <c r="AC238" s="150">
        <f t="shared" si="90"/>
        <v>3.0834884384485086</v>
      </c>
      <c r="AD238" s="150">
        <f t="shared" si="90"/>
        <v>3.0166103977874661</v>
      </c>
      <c r="AE238" s="150">
        <f t="shared" si="90"/>
        <v>2.9522737226715425</v>
      </c>
      <c r="AF238" s="150">
        <f t="shared" si="90"/>
        <v>2.8903818412100244</v>
      </c>
      <c r="AG238" s="150">
        <f t="shared" si="90"/>
        <v>2.8308418512440441</v>
      </c>
      <c r="AH238" s="150">
        <f t="shared" si="90"/>
        <v>2.7735643808967705</v>
      </c>
      <c r="AI238" s="139"/>
      <c r="AJ238" s="133"/>
    </row>
    <row r="239" spans="1:52" s="134" customFormat="1">
      <c r="A239" s="560" t="s">
        <v>452</v>
      </c>
      <c r="B239" s="386" t="s">
        <v>77</v>
      </c>
      <c r="C239" s="219"/>
      <c r="D239" s="77"/>
      <c r="E239" s="150">
        <f>E224</f>
        <v>3.8981515632826223E-2</v>
      </c>
      <c r="F239" s="150">
        <f>F224</f>
        <v>3.9293367757888838E-2</v>
      </c>
      <c r="G239" s="150">
        <f t="shared" ref="G239:AH239" si="91">G224</f>
        <v>3.9607714699951946E-2</v>
      </c>
      <c r="H239" s="150">
        <f t="shared" si="91"/>
        <v>3.9924576417551566E-2</v>
      </c>
      <c r="I239" s="150">
        <f t="shared" si="91"/>
        <v>4.0243973028891974E-2</v>
      </c>
      <c r="J239" s="150">
        <f t="shared" si="91"/>
        <v>4.0565924813123114E-2</v>
      </c>
      <c r="K239" s="150">
        <f t="shared" si="91"/>
        <v>4.0890452211628098E-2</v>
      </c>
      <c r="L239" s="150">
        <f t="shared" si="91"/>
        <v>4.1217575829321125E-2</v>
      </c>
      <c r="M239" s="150">
        <f t="shared" si="91"/>
        <v>4.1547316435955696E-2</v>
      </c>
      <c r="N239" s="150">
        <f t="shared" si="91"/>
        <v>4.1879694967443336E-2</v>
      </c>
      <c r="O239" s="150">
        <f t="shared" si="91"/>
        <v>4.2130973137247993E-2</v>
      </c>
      <c r="P239" s="150">
        <f t="shared" si="91"/>
        <v>4.2383758976071481E-2</v>
      </c>
      <c r="Q239" s="150">
        <f t="shared" si="91"/>
        <v>4.2638061529927912E-2</v>
      </c>
      <c r="R239" s="150">
        <f t="shared" si="91"/>
        <v>4.289388989910748E-2</v>
      </c>
      <c r="S239" s="150">
        <f t="shared" si="91"/>
        <v>4.3151253238502121E-2</v>
      </c>
      <c r="T239" s="150">
        <f t="shared" si="91"/>
        <v>4.3410160757933136E-2</v>
      </c>
      <c r="U239" s="150">
        <f t="shared" si="91"/>
        <v>4.3670621722480735E-2</v>
      </c>
      <c r="V239" s="150">
        <f t="shared" si="91"/>
        <v>4.3932645452815611E-2</v>
      </c>
      <c r="W239" s="150">
        <f t="shared" si="91"/>
        <v>4.4196241325532501E-2</v>
      </c>
      <c r="X239" s="150">
        <f t="shared" si="91"/>
        <v>4.4461418773485695E-2</v>
      </c>
      <c r="Y239" s="150">
        <f t="shared" si="91"/>
        <v>4.4728187286126618E-2</v>
      </c>
      <c r="Z239" s="150">
        <f t="shared" si="91"/>
        <v>4.4996556409843382E-2</v>
      </c>
      <c r="AA239" s="150">
        <f t="shared" si="91"/>
        <v>4.5266535748302437E-2</v>
      </c>
      <c r="AB239" s="150">
        <f t="shared" si="91"/>
        <v>4.553813496279225E-2</v>
      </c>
      <c r="AC239" s="150">
        <f t="shared" si="91"/>
        <v>4.5811363772568996E-2</v>
      </c>
      <c r="AD239" s="150">
        <f t="shared" si="91"/>
        <v>4.6086231955204421E-2</v>
      </c>
      <c r="AE239" s="150">
        <f t="shared" si="91"/>
        <v>4.6362749346935649E-2</v>
      </c>
      <c r="AF239" s="150">
        <f t="shared" si="91"/>
        <v>4.664092584301726E-2</v>
      </c>
      <c r="AG239" s="150">
        <f t="shared" si="91"/>
        <v>4.6920771398075357E-2</v>
      </c>
      <c r="AH239" s="150">
        <f t="shared" si="91"/>
        <v>4.7202296026463822E-2</v>
      </c>
      <c r="AI239" s="139"/>
      <c r="AJ239" s="133"/>
    </row>
    <row r="240" spans="1:52" s="134" customFormat="1">
      <c r="A240" s="629" t="s">
        <v>551</v>
      </c>
      <c r="B240" s="186" t="s">
        <v>198</v>
      </c>
      <c r="C240" s="100"/>
      <c r="D240" s="617"/>
      <c r="E240" s="278">
        <f>E238*E239</f>
        <v>0.13815179846990419</v>
      </c>
      <c r="F240" s="278">
        <f>F238*F239</f>
        <v>0.13925701285766343</v>
      </c>
      <c r="G240" s="278">
        <f t="shared" ref="G240:AH240" si="92">G238*G239</f>
        <v>0.14037106896052473</v>
      </c>
      <c r="H240" s="278">
        <f t="shared" si="92"/>
        <v>0.14149403751220896</v>
      </c>
      <c r="I240" s="278">
        <f t="shared" si="92"/>
        <v>0.14262598981230659</v>
      </c>
      <c r="J240" s="278">
        <f t="shared" si="92"/>
        <v>0.14376699773080506</v>
      </c>
      <c r="K240" s="278">
        <f t="shared" si="92"/>
        <v>0.1449171337126515</v>
      </c>
      <c r="L240" s="278">
        <f t="shared" si="92"/>
        <v>0.14607647078235272</v>
      </c>
      <c r="M240" s="278">
        <f t="shared" si="92"/>
        <v>0.14724508254861154</v>
      </c>
      <c r="N240" s="278">
        <f t="shared" si="92"/>
        <v>0.14842304320900043</v>
      </c>
      <c r="O240" s="278">
        <f t="shared" si="92"/>
        <v>0.14931358146825441</v>
      </c>
      <c r="P240" s="278">
        <f t="shared" si="92"/>
        <v>0.15020946295706394</v>
      </c>
      <c r="Q240" s="278">
        <f t="shared" si="92"/>
        <v>0.15111071973480633</v>
      </c>
      <c r="R240" s="278">
        <f t="shared" si="92"/>
        <v>0.15201738405321519</v>
      </c>
      <c r="S240" s="278">
        <f t="shared" si="92"/>
        <v>0.15292948835753445</v>
      </c>
      <c r="T240" s="278">
        <f t="shared" si="92"/>
        <v>0.15384706528767966</v>
      </c>
      <c r="U240" s="278">
        <f t="shared" si="92"/>
        <v>0.15477014767940575</v>
      </c>
      <c r="V240" s="278">
        <f t="shared" si="92"/>
        <v>0.15569876856548215</v>
      </c>
      <c r="W240" s="278">
        <f t="shared" si="92"/>
        <v>0.15663296117687503</v>
      </c>
      <c r="X240" s="278">
        <f t="shared" si="92"/>
        <v>0.15382115981979816</v>
      </c>
      <c r="Y240" s="278">
        <f t="shared" si="92"/>
        <v>0.15111339419115161</v>
      </c>
      <c r="Z240" s="278">
        <f t="shared" si="92"/>
        <v>0.14850639192944523</v>
      </c>
      <c r="AA240" s="278">
        <f t="shared" si="92"/>
        <v>0.14599698661786678</v>
      </c>
      <c r="AB240" s="278">
        <f t="shared" si="92"/>
        <v>0.14358211437279503</v>
      </c>
      <c r="AC240" s="278">
        <f t="shared" si="92"/>
        <v>0.14125881054227535</v>
      </c>
      <c r="AD240" s="278">
        <f t="shared" si="92"/>
        <v>0.13902420651091463</v>
      </c>
      <c r="AE240" s="278">
        <f t="shared" si="92"/>
        <v>0.13687552660776534</v>
      </c>
      <c r="AF240" s="278">
        <f t="shared" si="92"/>
        <v>0.13481008511388043</v>
      </c>
      <c r="AG240" s="278">
        <f t="shared" si="92"/>
        <v>0.13282528336632624</v>
      </c>
      <c r="AH240" s="278">
        <f t="shared" si="92"/>
        <v>0.13091860695554522</v>
      </c>
      <c r="AI240" s="139"/>
      <c r="AJ240" s="133"/>
    </row>
    <row r="241" spans="1:37" ht="15.75" thickBot="1">
      <c r="A241" s="15"/>
      <c r="B241" s="16"/>
      <c r="C241" s="16"/>
      <c r="D241" s="326"/>
      <c r="E241" s="158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7"/>
      <c r="AH241" s="16"/>
      <c r="AI241" s="20"/>
    </row>
    <row r="242" spans="1:37" ht="15.75" thickBot="1">
      <c r="A242" s="21"/>
      <c r="B242" s="8"/>
      <c r="C242" s="8"/>
      <c r="D242" s="98"/>
      <c r="E242" s="159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21"/>
      <c r="AH242" s="8"/>
      <c r="AI242" s="8"/>
      <c r="AJ242" s="85"/>
      <c r="AK242" s="86"/>
    </row>
    <row r="243" spans="1:37" ht="19.5" thickBot="1">
      <c r="A243" s="766" t="s">
        <v>465</v>
      </c>
      <c r="B243" s="767"/>
      <c r="C243" s="767"/>
      <c r="D243" s="767"/>
      <c r="E243" s="767"/>
      <c r="F243" s="767"/>
      <c r="G243" s="767"/>
      <c r="H243" s="767"/>
      <c r="I243" s="767"/>
      <c r="J243" s="767"/>
      <c r="K243" s="767"/>
      <c r="L243" s="767"/>
      <c r="M243" s="767"/>
      <c r="N243" s="767"/>
      <c r="O243" s="767"/>
      <c r="P243" s="767"/>
      <c r="Q243" s="767"/>
      <c r="R243" s="767"/>
      <c r="S243" s="767"/>
      <c r="T243" s="767"/>
      <c r="U243" s="767"/>
      <c r="V243" s="767"/>
      <c r="W243" s="767"/>
      <c r="X243" s="767"/>
      <c r="Y243" s="767"/>
      <c r="Z243" s="767"/>
      <c r="AA243" s="767"/>
      <c r="AB243" s="767"/>
      <c r="AC243" s="767"/>
      <c r="AD243" s="767"/>
      <c r="AE243" s="767"/>
      <c r="AF243" s="767"/>
      <c r="AG243" s="767"/>
      <c r="AH243" s="767"/>
      <c r="AI243" s="768"/>
      <c r="AJ243" s="85"/>
      <c r="AK243" s="86"/>
    </row>
    <row r="244" spans="1:37" ht="14.45" customHeight="1">
      <c r="A244" s="224" t="s">
        <v>468</v>
      </c>
      <c r="B244" s="120"/>
      <c r="C244" s="121"/>
      <c r="D244" s="336"/>
      <c r="E244" s="121"/>
      <c r="F244" s="121"/>
      <c r="G244" s="121"/>
      <c r="H244" s="121"/>
      <c r="I244" s="121"/>
      <c r="J244" s="121"/>
      <c r="K244" s="121"/>
      <c r="L244" s="121"/>
      <c r="M244" s="121"/>
      <c r="N244" s="121"/>
      <c r="O244" s="121"/>
      <c r="P244" s="121"/>
      <c r="Q244" s="121"/>
      <c r="R244" s="121"/>
      <c r="S244" s="121"/>
      <c r="T244" s="121"/>
      <c r="U244" s="121"/>
      <c r="V244" s="121"/>
      <c r="W244" s="121"/>
      <c r="X244" s="121"/>
      <c r="Y244" s="121"/>
      <c r="Z244" s="121"/>
      <c r="AA244" s="121"/>
      <c r="AB244" s="121"/>
      <c r="AC244" s="121"/>
      <c r="AD244" s="121"/>
      <c r="AE244" s="121"/>
      <c r="AF244" s="121"/>
      <c r="AG244" s="121"/>
      <c r="AH244" s="121"/>
      <c r="AI244" s="123"/>
      <c r="AJ244" s="85"/>
      <c r="AK244" s="86"/>
    </row>
    <row r="245" spans="1:37">
      <c r="A245" s="392" t="s">
        <v>466</v>
      </c>
      <c r="B245" s="387">
        <v>2018</v>
      </c>
      <c r="C245" s="387">
        <v>2019</v>
      </c>
      <c r="D245" s="77">
        <v>2020</v>
      </c>
      <c r="E245" s="387">
        <v>2021</v>
      </c>
      <c r="F245" s="387">
        <f t="shared" ref="F245:AH245" si="93">E245+1</f>
        <v>2022</v>
      </c>
      <c r="G245" s="387">
        <f t="shared" si="93"/>
        <v>2023</v>
      </c>
      <c r="H245" s="387">
        <f t="shared" si="93"/>
        <v>2024</v>
      </c>
      <c r="I245" s="387">
        <f t="shared" si="93"/>
        <v>2025</v>
      </c>
      <c r="J245" s="387">
        <f t="shared" si="93"/>
        <v>2026</v>
      </c>
      <c r="K245" s="387">
        <f t="shared" si="93"/>
        <v>2027</v>
      </c>
      <c r="L245" s="387">
        <f t="shared" si="93"/>
        <v>2028</v>
      </c>
      <c r="M245" s="387">
        <f t="shared" si="93"/>
        <v>2029</v>
      </c>
      <c r="N245" s="387">
        <f t="shared" si="93"/>
        <v>2030</v>
      </c>
      <c r="O245" s="387">
        <f t="shared" si="93"/>
        <v>2031</v>
      </c>
      <c r="P245" s="387">
        <f t="shared" si="93"/>
        <v>2032</v>
      </c>
      <c r="Q245" s="387">
        <f t="shared" si="93"/>
        <v>2033</v>
      </c>
      <c r="R245" s="387">
        <f t="shared" si="93"/>
        <v>2034</v>
      </c>
      <c r="S245" s="387">
        <f t="shared" si="93"/>
        <v>2035</v>
      </c>
      <c r="T245" s="387">
        <f t="shared" si="93"/>
        <v>2036</v>
      </c>
      <c r="U245" s="387">
        <f t="shared" si="93"/>
        <v>2037</v>
      </c>
      <c r="V245" s="387">
        <f t="shared" si="93"/>
        <v>2038</v>
      </c>
      <c r="W245" s="387">
        <f t="shared" si="93"/>
        <v>2039</v>
      </c>
      <c r="X245" s="387">
        <f t="shared" si="93"/>
        <v>2040</v>
      </c>
      <c r="Y245" s="387">
        <f t="shared" si="93"/>
        <v>2041</v>
      </c>
      <c r="Z245" s="387">
        <f t="shared" si="93"/>
        <v>2042</v>
      </c>
      <c r="AA245" s="387">
        <f t="shared" si="93"/>
        <v>2043</v>
      </c>
      <c r="AB245" s="387">
        <f t="shared" si="93"/>
        <v>2044</v>
      </c>
      <c r="AC245" s="387">
        <f t="shared" si="93"/>
        <v>2045</v>
      </c>
      <c r="AD245" s="387">
        <f t="shared" si="93"/>
        <v>2046</v>
      </c>
      <c r="AE245" s="387">
        <f t="shared" si="93"/>
        <v>2047</v>
      </c>
      <c r="AF245" s="387">
        <f t="shared" si="93"/>
        <v>2048</v>
      </c>
      <c r="AG245" s="387">
        <f t="shared" si="93"/>
        <v>2049</v>
      </c>
      <c r="AH245" s="387">
        <f t="shared" si="93"/>
        <v>2050</v>
      </c>
      <c r="AI245" s="93"/>
      <c r="AJ245" s="85"/>
      <c r="AK245" s="86"/>
    </row>
    <row r="246" spans="1:37">
      <c r="A246" s="27" t="s">
        <v>124</v>
      </c>
      <c r="B246" s="116"/>
      <c r="C246" s="182">
        <f>('USER INPUTS'!$B$6/INDEX(DEFAULT!$E$4:$AL$4,1,'USER INPUTS'!$B$4))*(INDEX(DEFAULT!$E$427:$AL$427,1,'USER INPUTS'!$B$4))*(INDEX(DEFAULT!$E$433:$AM$435,1,'USER INPUTS'!$B$4)/100)*'USER INPUTS'!C21/1000</f>
        <v>3.6022238879212257E-5</v>
      </c>
      <c r="D246" s="327">
        <f>(100+INDEX(DEFAULT!E470:AM474,1,'USER INPUTS'!$B$4))/100*'LOCAL DATASET INPUTS'!C246</f>
        <v>3.6022238879212257E-5</v>
      </c>
      <c r="E246" s="182">
        <f>(100+INDEX(DEFAULT!F470:AN474,2,'USER INPUTS'!$B$4))/100*'LOCAL DATASET INPUTS'!D246</f>
        <v>3.6022238879212257E-5</v>
      </c>
      <c r="F246" s="182">
        <f>(100+INDEX(DEFAULT!G470:AO474,2,'USER INPUTS'!$B$4))/100*'LOCAL DATASET INPUTS'!E246</f>
        <v>3.6022238879212257E-5</v>
      </c>
      <c r="G246" s="182">
        <f>(100+INDEX(DEFAULT!H470:AP474,2,'USER INPUTS'!$B$4))/100*'LOCAL DATASET INPUTS'!F246</f>
        <v>3.6022238879212257E-5</v>
      </c>
      <c r="H246" s="182">
        <f>(100+INDEX(DEFAULT!I470:AQ474,2,'USER INPUTS'!$B$4))/100*'LOCAL DATASET INPUTS'!G246</f>
        <v>3.6022238879212257E-5</v>
      </c>
      <c r="I246" s="182">
        <f>(100+INDEX(DEFAULT!J470:AR474,2,'USER INPUTS'!$B$4))/100*'LOCAL DATASET INPUTS'!H246</f>
        <v>3.6022238879212257E-5</v>
      </c>
      <c r="J246" s="182">
        <f>(100+INDEX(DEFAULT!K470:AS474,2,'USER INPUTS'!$B$4))/100*'LOCAL DATASET INPUTS'!I246</f>
        <v>3.6022238879212257E-5</v>
      </c>
      <c r="K246" s="182">
        <f>(100+INDEX(DEFAULT!L470:AT474,2,'USER INPUTS'!$B$4))/100*'LOCAL DATASET INPUTS'!J246</f>
        <v>3.6022238879212257E-5</v>
      </c>
      <c r="L246" s="182">
        <f>(100+INDEX(DEFAULT!M470:AU474,2,'USER INPUTS'!$B$4))/100*'LOCAL DATASET INPUTS'!K246</f>
        <v>3.6022238879212257E-5</v>
      </c>
      <c r="M246" s="182">
        <f>(100+INDEX(DEFAULT!N470:AV474,2,'USER INPUTS'!$B$4))/100*'LOCAL DATASET INPUTS'!L246</f>
        <v>3.6022238879212257E-5</v>
      </c>
      <c r="N246" s="182">
        <f>(100+INDEX(DEFAULT!O470:AW474,2,'USER INPUTS'!$B$4))/100*'LOCAL DATASET INPUTS'!M246</f>
        <v>3.6022238879212257E-5</v>
      </c>
      <c r="O246" s="182">
        <f>(100+INDEX(DEFAULT!P470:AX474,3,'USER INPUTS'!$B$4))/100*'LOCAL DATASET INPUTS'!N246</f>
        <v>3.6022238879212257E-5</v>
      </c>
      <c r="P246" s="182">
        <f>(100+INDEX(DEFAULT!Q470:AY474,3,'USER INPUTS'!$B$4))/100*'LOCAL DATASET INPUTS'!O246</f>
        <v>3.6022238879212257E-5</v>
      </c>
      <c r="Q246" s="182">
        <f>(100+INDEX(DEFAULT!R470:AZ474,3,'USER INPUTS'!$B$4))/100*'LOCAL DATASET INPUTS'!P246</f>
        <v>3.6022238879212257E-5</v>
      </c>
      <c r="R246" s="182">
        <f>(100+INDEX(DEFAULT!S470:BA474,3,'USER INPUTS'!$B$4))/100*'LOCAL DATASET INPUTS'!Q246</f>
        <v>3.6022238879212257E-5</v>
      </c>
      <c r="S246" s="182">
        <f>(100+INDEX(DEFAULT!T470:BB474,3,'USER INPUTS'!$B$4))/100*'LOCAL DATASET INPUTS'!R246</f>
        <v>3.6022238879212257E-5</v>
      </c>
      <c r="T246" s="182">
        <f>(100+INDEX(DEFAULT!U470:BC474,3,'USER INPUTS'!$B$4))/100*'LOCAL DATASET INPUTS'!S246</f>
        <v>3.6022238879212257E-5</v>
      </c>
      <c r="U246" s="182">
        <f>(100+INDEX(DEFAULT!V470:BD474,3,'USER INPUTS'!$B$4))/100*'LOCAL DATASET INPUTS'!T246</f>
        <v>3.6022238879212257E-5</v>
      </c>
      <c r="V246" s="182">
        <f>(100+INDEX(DEFAULT!W470:BE474,3,'USER INPUTS'!$B$4))/100*'LOCAL DATASET INPUTS'!U246</f>
        <v>3.6022238879212257E-5</v>
      </c>
      <c r="W246" s="182">
        <f>(100+INDEX(DEFAULT!X470:BF474,3,'USER INPUTS'!$B$4))/100*'LOCAL DATASET INPUTS'!V246</f>
        <v>3.6022238879212257E-5</v>
      </c>
      <c r="X246" s="182">
        <f>(100+INDEX(DEFAULT!Y470:BG474,3,'USER INPUTS'!$B$4))/100*'LOCAL DATASET INPUTS'!W246</f>
        <v>3.6022238879212257E-5</v>
      </c>
      <c r="Y246" s="182">
        <f>(100+INDEX(DEFAULT!Z470:BH474,4,'USER INPUTS'!$B$4))/100*'LOCAL DATASET INPUTS'!X246</f>
        <v>3.6022238879212257E-5</v>
      </c>
      <c r="Z246" s="182">
        <f>(100+INDEX(DEFAULT!AA470:BI474,4,'USER INPUTS'!$B$4))/100*'LOCAL DATASET INPUTS'!Y246</f>
        <v>3.6022238879212257E-5</v>
      </c>
      <c r="AA246" s="182">
        <f>(100+INDEX(DEFAULT!AA470:BJ474,4,'USER INPUTS'!$B$4))/100*'LOCAL DATASET INPUTS'!Z246</f>
        <v>3.6022238879212257E-5</v>
      </c>
      <c r="AB246" s="182">
        <f>(100+INDEX(DEFAULT!AB470:BK474,4,'USER INPUTS'!$B$4))/100*'LOCAL DATASET INPUTS'!AA246</f>
        <v>3.6022238879212257E-5</v>
      </c>
      <c r="AC246" s="182">
        <f>(100+INDEX(DEFAULT!AC470:BL474,4,'USER INPUTS'!$B$4))/100*'LOCAL DATASET INPUTS'!AB246</f>
        <v>3.6022238879212257E-5</v>
      </c>
      <c r="AD246" s="182">
        <f>(100+INDEX(DEFAULT!AD470:BM474,4,'USER INPUTS'!$B$4))/100*'LOCAL DATASET INPUTS'!AC246</f>
        <v>3.6022238879212257E-5</v>
      </c>
      <c r="AE246" s="182">
        <f>(100+INDEX(DEFAULT!AJ470:BN474,4,'USER INPUTS'!$B$4))/100*'LOCAL DATASET INPUTS'!AD246</f>
        <v>3.6022238879212257E-5</v>
      </c>
      <c r="AF246" s="182">
        <f>(100+INDEX(DEFAULT!AE470:BO474,4,'USER INPUTS'!$B$4))/100*'LOCAL DATASET INPUTS'!AE246</f>
        <v>3.6022238879212257E-5</v>
      </c>
      <c r="AG246" s="182">
        <f>(100+INDEX(DEFAULT!AF470:BP474,4,'USER INPUTS'!$B$4))/100*'LOCAL DATASET INPUTS'!AF246</f>
        <v>3.6022238879212257E-5</v>
      </c>
      <c r="AH246" s="182">
        <f>(100+INDEX(DEFAULT!AG470:BQ474,4,'USER INPUTS'!$B$4))/100*'LOCAL DATASET INPUTS'!AG246</f>
        <v>3.6022238879212257E-5</v>
      </c>
      <c r="AI246" s="93"/>
      <c r="AJ246" s="85"/>
      <c r="AK246" s="86"/>
    </row>
    <row r="247" spans="1:37">
      <c r="A247" s="27" t="s">
        <v>125</v>
      </c>
      <c r="B247" s="116"/>
      <c r="C247" s="182">
        <f>('USER INPUTS'!$B$6/INDEX(DEFAULT!$E$4:$AL$4,1,'USER INPUTS'!$B$4))*(INDEX(DEFAULT!$E$427:$AL$427,1,'USER INPUTS'!$B$4))*(INDEX(DEFAULT!$E$433:$AM$435,2,'USER INPUTS'!$B$4)/100)*'USER INPUTS'!C20/1000</f>
        <v>5.9676842409894983E-3</v>
      </c>
      <c r="D247" s="327">
        <f>(100+INDEX(DEFAULT!E545:AM548,1,'USER INPUTS'!$B$4))/100*'LOCAL DATASET INPUTS'!C247</f>
        <v>5.9676842409894983E-3</v>
      </c>
      <c r="E247" s="182">
        <f>(100+INDEX(DEFAULT!F545:AN548,2,'USER INPUTS'!$B$4))/100*'LOCAL DATASET INPUTS'!D247</f>
        <v>5.9676842409894983E-3</v>
      </c>
      <c r="F247" s="182">
        <f>(100+INDEX(DEFAULT!G545:AO548,2,'USER INPUTS'!$B$4))/100*'LOCAL DATASET INPUTS'!E247</f>
        <v>5.9676842409894983E-3</v>
      </c>
      <c r="G247" s="182">
        <f>(100+INDEX(DEFAULT!H545:AP548,2,'USER INPUTS'!$B$4))/100*'LOCAL DATASET INPUTS'!F247</f>
        <v>5.9676842409894983E-3</v>
      </c>
      <c r="H247" s="182">
        <f>(100+INDEX(DEFAULT!I545:AQ548,2,'USER INPUTS'!$B$4))/100*'LOCAL DATASET INPUTS'!G247</f>
        <v>5.9676842409894983E-3</v>
      </c>
      <c r="I247" s="182">
        <f>(100+INDEX(DEFAULT!J545:AR548,2,'USER INPUTS'!$B$4))/100*'LOCAL DATASET INPUTS'!H247</f>
        <v>5.9676842409894983E-3</v>
      </c>
      <c r="J247" s="182">
        <f>(100+INDEX(DEFAULT!K545:AS548,2,'USER INPUTS'!$B$4))/100*'LOCAL DATASET INPUTS'!I247</f>
        <v>5.9676842409894983E-3</v>
      </c>
      <c r="K247" s="182">
        <f>(100+INDEX(DEFAULT!L545:AT548,2,'USER INPUTS'!$B$4))/100*'LOCAL DATASET INPUTS'!J247</f>
        <v>5.9676842409894983E-3</v>
      </c>
      <c r="L247" s="182">
        <f>(100+INDEX(DEFAULT!M545:AU548,2,'USER INPUTS'!$B$4))/100*'LOCAL DATASET INPUTS'!K247</f>
        <v>5.9676842409894983E-3</v>
      </c>
      <c r="M247" s="182">
        <f>(100+INDEX(DEFAULT!N545:AV548,2,'USER INPUTS'!$B$4))/100*'LOCAL DATASET INPUTS'!L247</f>
        <v>5.9676842409894983E-3</v>
      </c>
      <c r="N247" s="182">
        <f>(100+INDEX(DEFAULT!O545:AW548,2,'USER INPUTS'!$B$4))/100*'LOCAL DATASET INPUTS'!M247</f>
        <v>5.9676842409894983E-3</v>
      </c>
      <c r="O247" s="182">
        <f>(100+INDEX(DEFAULT!P545:AX548,3,'USER INPUTS'!$B$4))/100*'LOCAL DATASET INPUTS'!N247</f>
        <v>5.9676842409894983E-3</v>
      </c>
      <c r="P247" s="182">
        <f>(100+INDEX(DEFAULT!Q545:AY548,3,'USER INPUTS'!$B$4))/100*'LOCAL DATASET INPUTS'!O247</f>
        <v>5.9676842409894983E-3</v>
      </c>
      <c r="Q247" s="182">
        <f>(100+INDEX(DEFAULT!R545:AZ548,3,'USER INPUTS'!$B$4))/100*'LOCAL DATASET INPUTS'!P247</f>
        <v>5.9676842409894983E-3</v>
      </c>
      <c r="R247" s="182">
        <f>(100+INDEX(DEFAULT!S545:BA548,3,'USER INPUTS'!$B$4))/100*'LOCAL DATASET INPUTS'!Q247</f>
        <v>5.9676842409894983E-3</v>
      </c>
      <c r="S247" s="182">
        <f>(100+INDEX(DEFAULT!T545:BB548,3,'USER INPUTS'!$B$4))/100*'LOCAL DATASET INPUTS'!R247</f>
        <v>5.9676842409894983E-3</v>
      </c>
      <c r="T247" s="182">
        <f>(100+INDEX(DEFAULT!U545:BC548,3,'USER INPUTS'!$B$4))/100*'LOCAL DATASET INPUTS'!S247</f>
        <v>5.9676842409894983E-3</v>
      </c>
      <c r="U247" s="182">
        <f>(100+INDEX(DEFAULT!W545:BD548,3,'USER INPUTS'!$B$4))/100*'LOCAL DATASET INPUTS'!T247</f>
        <v>5.9676842409894983E-3</v>
      </c>
      <c r="V247" s="182">
        <f>(100+INDEX(DEFAULT!X545:BE548,3,'USER INPUTS'!$B$4))/100*'LOCAL DATASET INPUTS'!U247</f>
        <v>5.9676842409894983E-3</v>
      </c>
      <c r="W247" s="182">
        <f>(100+INDEX(DEFAULT!Y545:BF548,3,'USER INPUTS'!$B$4))/100*'LOCAL DATASET INPUTS'!V247</f>
        <v>5.9676842409894983E-3</v>
      </c>
      <c r="X247" s="182">
        <f>(100+INDEX(DEFAULT!Z545:BG548,3,'USER INPUTS'!$B$4))/100*'LOCAL DATASET INPUTS'!W247</f>
        <v>5.9676842409894983E-3</v>
      </c>
      <c r="Y247" s="182">
        <f>(100+INDEX(DEFAULT!Z545:BH548,4,'USER INPUTS'!$B$4))/100*'LOCAL DATASET INPUTS'!X247</f>
        <v>5.9676842409894983E-3</v>
      </c>
      <c r="Z247" s="182">
        <f>(100+INDEX(DEFAULT!AA545:BI548,4,'USER INPUTS'!$B$4))/100*'LOCAL DATASET INPUTS'!Y247</f>
        <v>5.9676842409894983E-3</v>
      </c>
      <c r="AA247" s="182">
        <f>(100+INDEX(DEFAULT!AA545:BJ548,4,'USER INPUTS'!$B$4))/100*'LOCAL DATASET INPUTS'!Z247</f>
        <v>5.9676842409894983E-3</v>
      </c>
      <c r="AB247" s="182">
        <f>(100+INDEX(DEFAULT!AB545:BK548,4,'USER INPUTS'!$B$4))/100*'LOCAL DATASET INPUTS'!AA247</f>
        <v>5.9676842409894983E-3</v>
      </c>
      <c r="AC247" s="182">
        <f>(100+INDEX(DEFAULT!AC545:BL548,4,'USER INPUTS'!$B$4))/100*'LOCAL DATASET INPUTS'!AB247</f>
        <v>5.9676842409894983E-3</v>
      </c>
      <c r="AD247" s="182">
        <f>(100+INDEX(DEFAULT!AD545:BM548,4,'USER INPUTS'!$B$4))/100*'LOCAL DATASET INPUTS'!AC247</f>
        <v>5.9676842409894983E-3</v>
      </c>
      <c r="AE247" s="182">
        <f>(100+INDEX(DEFAULT!AJ545:BN548,4,'USER INPUTS'!$B$4))/100*'LOCAL DATASET INPUTS'!AD247</f>
        <v>5.9676842409894983E-3</v>
      </c>
      <c r="AF247" s="182">
        <f>(100+INDEX(DEFAULT!AE545:BO548,4,'USER INPUTS'!$B$4))/100*'LOCAL DATASET INPUTS'!AE247</f>
        <v>5.9676842409894983E-3</v>
      </c>
      <c r="AG247" s="182">
        <f>(100+INDEX(DEFAULT!AF545:BP548,4,'USER INPUTS'!$B$4))/100*'LOCAL DATASET INPUTS'!AF247</f>
        <v>5.9676842409894983E-3</v>
      </c>
      <c r="AH247" s="182">
        <f>(100+INDEX(DEFAULT!AG545:BQ548,4,'USER INPUTS'!$B$4))/100*'LOCAL DATASET INPUTS'!AG247</f>
        <v>5.9676842409894983E-3</v>
      </c>
      <c r="AI247" s="93"/>
      <c r="AJ247" s="85"/>
      <c r="AK247" s="86"/>
    </row>
    <row r="248" spans="1:37">
      <c r="A248" s="63" t="s">
        <v>126</v>
      </c>
      <c r="B248" s="4"/>
      <c r="C248" s="183">
        <f>('USER INPUTS'!$B$6/INDEX(DEFAULT!$E$4:$AL$4,1,'USER INPUTS'!$B$4))*(INDEX(DEFAULT!$E$427:$AL$427,1,'USER INPUTS'!$B$4))*(INDEX(DEFAULT!$E$433:$AM$435,3,'USER INPUTS'!$B$4)/100)*'USER INPUTS'!C22/1000</f>
        <v>0</v>
      </c>
      <c r="D248" s="328" t="e">
        <f>(100+INDEX(DEFAULT!#REF!,1,'USER INPUTS'!$B$4))/100*'LOCAL DATASET INPUTS'!C248</f>
        <v>#REF!</v>
      </c>
      <c r="E248" s="183" t="e">
        <f>(100+INDEX(DEFAULT!#REF!,2,'USER INPUTS'!$B$4))/100*'LOCAL DATASET INPUTS'!D248</f>
        <v>#REF!</v>
      </c>
      <c r="F248" s="183" t="e">
        <f>(100+INDEX(DEFAULT!#REF!,2,'USER INPUTS'!$B$4))/100*'LOCAL DATASET INPUTS'!E248</f>
        <v>#REF!</v>
      </c>
      <c r="G248" s="183" t="e">
        <f>(100+INDEX(DEFAULT!#REF!,2,'USER INPUTS'!$B$4))/100*'LOCAL DATASET INPUTS'!F248</f>
        <v>#REF!</v>
      </c>
      <c r="H248" s="183" t="e">
        <f>(100+INDEX(DEFAULT!#REF!,2,'USER INPUTS'!$B$4))/100*'LOCAL DATASET INPUTS'!G248</f>
        <v>#REF!</v>
      </c>
      <c r="I248" s="183" t="e">
        <f>(100+INDEX(DEFAULT!#REF!,2,'USER INPUTS'!$B$4))/100*'LOCAL DATASET INPUTS'!H248</f>
        <v>#REF!</v>
      </c>
      <c r="J248" s="183" t="e">
        <f>(100+INDEX(DEFAULT!#REF!,2,'USER INPUTS'!$B$4))/100*'LOCAL DATASET INPUTS'!I248</f>
        <v>#REF!</v>
      </c>
      <c r="K248" s="183" t="e">
        <f>(100+INDEX(DEFAULT!#REF!,2,'USER INPUTS'!$B$4))/100*'LOCAL DATASET INPUTS'!J248</f>
        <v>#REF!</v>
      </c>
      <c r="L248" s="183" t="e">
        <f>(100+INDEX(DEFAULT!#REF!,2,'USER INPUTS'!$B$4))/100*'LOCAL DATASET INPUTS'!K248</f>
        <v>#REF!</v>
      </c>
      <c r="M248" s="183" t="e">
        <f>(100+INDEX(DEFAULT!#REF!,2,'USER INPUTS'!$B$4))/100*'LOCAL DATASET INPUTS'!L248</f>
        <v>#REF!</v>
      </c>
      <c r="N248" s="183" t="e">
        <f>(100+INDEX(DEFAULT!#REF!,2,'USER INPUTS'!$B$4))/100*'LOCAL DATASET INPUTS'!M248</f>
        <v>#REF!</v>
      </c>
      <c r="O248" s="183" t="e">
        <f>(100+INDEX(DEFAULT!#REF!,3,'USER INPUTS'!$B$4))/100*'LOCAL DATASET INPUTS'!N248</f>
        <v>#REF!</v>
      </c>
      <c r="P248" s="183" t="e">
        <f>(100+INDEX(DEFAULT!#REF!,3,'USER INPUTS'!$B$4))/100*'LOCAL DATASET INPUTS'!O248</f>
        <v>#REF!</v>
      </c>
      <c r="Q248" s="183" t="e">
        <f>(100+INDEX(DEFAULT!#REF!,3,'USER INPUTS'!$B$4))/100*'LOCAL DATASET INPUTS'!P248</f>
        <v>#REF!</v>
      </c>
      <c r="R248" s="183" t="e">
        <f>(100+INDEX(DEFAULT!#REF!,3,'USER INPUTS'!$B$4))/100*'LOCAL DATASET INPUTS'!Q248</f>
        <v>#REF!</v>
      </c>
      <c r="S248" s="183" t="e">
        <f>(100+INDEX(DEFAULT!#REF!,3,'USER INPUTS'!$B$4))/100*'LOCAL DATASET INPUTS'!R248</f>
        <v>#REF!</v>
      </c>
      <c r="T248" s="183" t="e">
        <f>(100+INDEX(DEFAULT!#REF!,3,'USER INPUTS'!$B$4))/100*'LOCAL DATASET INPUTS'!S248</f>
        <v>#REF!</v>
      </c>
      <c r="U248" s="183" t="e">
        <f>(100+INDEX(DEFAULT!#REF!,3,'USER INPUTS'!$B$4))/100*'LOCAL DATASET INPUTS'!T248</f>
        <v>#REF!</v>
      </c>
      <c r="V248" s="183" t="e">
        <f>(100+INDEX(DEFAULT!#REF!,3,'USER INPUTS'!$B$4))/100*'LOCAL DATASET INPUTS'!U248</f>
        <v>#REF!</v>
      </c>
      <c r="W248" s="183" t="e">
        <f>(100+INDEX(DEFAULT!#REF!,3,'USER INPUTS'!$B$4))/100*'LOCAL DATASET INPUTS'!V248</f>
        <v>#REF!</v>
      </c>
      <c r="X248" s="183" t="e">
        <f>(100+INDEX(DEFAULT!#REF!,3,'USER INPUTS'!$B$4))/100*'LOCAL DATASET INPUTS'!W248</f>
        <v>#REF!</v>
      </c>
      <c r="Y248" s="183" t="e">
        <f>(100+INDEX(DEFAULT!#REF!,4,'USER INPUTS'!$B$4))/100*'LOCAL DATASET INPUTS'!X248</f>
        <v>#REF!</v>
      </c>
      <c r="Z248" s="183" t="e">
        <f>(100+INDEX(DEFAULT!#REF!,4,'USER INPUTS'!$B$4))/100*'LOCAL DATASET INPUTS'!Y248</f>
        <v>#REF!</v>
      </c>
      <c r="AA248" s="183" t="e">
        <f>(100+INDEX(DEFAULT!#REF!,4,'USER INPUTS'!$B$4))/100*'LOCAL DATASET INPUTS'!Z248</f>
        <v>#REF!</v>
      </c>
      <c r="AB248" s="183" t="e">
        <f>(100+INDEX(DEFAULT!#REF!,4,'USER INPUTS'!$B$4))/100*'LOCAL DATASET INPUTS'!AA248</f>
        <v>#REF!</v>
      </c>
      <c r="AC248" s="183" t="e">
        <f>(100+INDEX(DEFAULT!#REF!,4,'USER INPUTS'!$B$4))/100*'LOCAL DATASET INPUTS'!AB248</f>
        <v>#REF!</v>
      </c>
      <c r="AD248" s="183" t="e">
        <f>(100+INDEX(DEFAULT!#REF!,4,'USER INPUTS'!$B$4))/100*'LOCAL DATASET INPUTS'!AC248</f>
        <v>#REF!</v>
      </c>
      <c r="AE248" s="183" t="e">
        <f>(100+INDEX(DEFAULT!#REF!,4,'USER INPUTS'!$B$4))/100*'LOCAL DATASET INPUTS'!AD248</f>
        <v>#REF!</v>
      </c>
      <c r="AF248" s="183" t="e">
        <f>(100+INDEX(DEFAULT!#REF!,4,'USER INPUTS'!$B$4))/100*'LOCAL DATASET INPUTS'!AE248</f>
        <v>#REF!</v>
      </c>
      <c r="AG248" s="183" t="e">
        <f>(100+INDEX(DEFAULT!#REF!,4,'USER INPUTS'!$B$4))/100*'LOCAL DATASET INPUTS'!AF248</f>
        <v>#REF!</v>
      </c>
      <c r="AH248" s="183" t="e">
        <f>(100+INDEX(DEFAULT!#REF!,4,'USER INPUTS'!$B$4))/100*'LOCAL DATASET INPUTS'!AG248</f>
        <v>#REF!</v>
      </c>
      <c r="AI248" s="93"/>
      <c r="AJ248" s="85"/>
      <c r="AK248" s="86"/>
    </row>
    <row r="249" spans="1:37" s="144" customFormat="1">
      <c r="A249" s="27" t="s">
        <v>100</v>
      </c>
      <c r="B249" s="167"/>
      <c r="C249" s="182">
        <f>SUM(C246:C248)</f>
        <v>6.0037064798687109E-3</v>
      </c>
      <c r="D249" s="327" t="e">
        <f t="shared" ref="D249:AH249" si="94">SUM(D246:D248)</f>
        <v>#REF!</v>
      </c>
      <c r="E249" s="182" t="e">
        <f t="shared" si="94"/>
        <v>#REF!</v>
      </c>
      <c r="F249" s="182" t="e">
        <f t="shared" si="94"/>
        <v>#REF!</v>
      </c>
      <c r="G249" s="182" t="e">
        <f t="shared" si="94"/>
        <v>#REF!</v>
      </c>
      <c r="H249" s="182" t="e">
        <f t="shared" si="94"/>
        <v>#REF!</v>
      </c>
      <c r="I249" s="182" t="e">
        <f t="shared" si="94"/>
        <v>#REF!</v>
      </c>
      <c r="J249" s="182" t="e">
        <f t="shared" si="94"/>
        <v>#REF!</v>
      </c>
      <c r="K249" s="182" t="e">
        <f t="shared" si="94"/>
        <v>#REF!</v>
      </c>
      <c r="L249" s="182" t="e">
        <f t="shared" si="94"/>
        <v>#REF!</v>
      </c>
      <c r="M249" s="182" t="e">
        <f t="shared" si="94"/>
        <v>#REF!</v>
      </c>
      <c r="N249" s="182" t="e">
        <f t="shared" si="94"/>
        <v>#REF!</v>
      </c>
      <c r="O249" s="182" t="e">
        <f t="shared" si="94"/>
        <v>#REF!</v>
      </c>
      <c r="P249" s="182" t="e">
        <f t="shared" si="94"/>
        <v>#REF!</v>
      </c>
      <c r="Q249" s="182" t="e">
        <f t="shared" si="94"/>
        <v>#REF!</v>
      </c>
      <c r="R249" s="182" t="e">
        <f t="shared" si="94"/>
        <v>#REF!</v>
      </c>
      <c r="S249" s="182" t="e">
        <f t="shared" si="94"/>
        <v>#REF!</v>
      </c>
      <c r="T249" s="182" t="e">
        <f t="shared" si="94"/>
        <v>#REF!</v>
      </c>
      <c r="U249" s="182" t="e">
        <f t="shared" si="94"/>
        <v>#REF!</v>
      </c>
      <c r="V249" s="182" t="e">
        <f t="shared" si="94"/>
        <v>#REF!</v>
      </c>
      <c r="W249" s="182" t="e">
        <f t="shared" si="94"/>
        <v>#REF!</v>
      </c>
      <c r="X249" s="182" t="e">
        <f t="shared" si="94"/>
        <v>#REF!</v>
      </c>
      <c r="Y249" s="182" t="e">
        <f t="shared" si="94"/>
        <v>#REF!</v>
      </c>
      <c r="Z249" s="182" t="e">
        <f t="shared" si="94"/>
        <v>#REF!</v>
      </c>
      <c r="AA249" s="182" t="e">
        <f t="shared" si="94"/>
        <v>#REF!</v>
      </c>
      <c r="AB249" s="182" t="e">
        <f t="shared" si="94"/>
        <v>#REF!</v>
      </c>
      <c r="AC249" s="182" t="e">
        <f t="shared" si="94"/>
        <v>#REF!</v>
      </c>
      <c r="AD249" s="182" t="e">
        <f t="shared" si="94"/>
        <v>#REF!</v>
      </c>
      <c r="AE249" s="182" t="e">
        <f t="shared" si="94"/>
        <v>#REF!</v>
      </c>
      <c r="AF249" s="182" t="e">
        <f t="shared" si="94"/>
        <v>#REF!</v>
      </c>
      <c r="AG249" s="182" t="e">
        <f t="shared" si="94"/>
        <v>#REF!</v>
      </c>
      <c r="AH249" s="182" t="e">
        <f t="shared" si="94"/>
        <v>#REF!</v>
      </c>
      <c r="AI249" s="93"/>
      <c r="AJ249" s="162"/>
      <c r="AK249" s="168"/>
    </row>
    <row r="250" spans="1:37">
      <c r="A250" s="27"/>
      <c r="B250" s="28"/>
      <c r="C250" s="28"/>
      <c r="D250" s="329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93"/>
      <c r="AJ250" s="85"/>
      <c r="AK250" s="86"/>
    </row>
    <row r="251" spans="1:37">
      <c r="A251" s="128" t="s">
        <v>467</v>
      </c>
      <c r="B251" s="64">
        <v>2018</v>
      </c>
      <c r="C251" s="64">
        <v>2019</v>
      </c>
      <c r="D251" s="77">
        <v>2020</v>
      </c>
      <c r="E251" s="64">
        <v>2021</v>
      </c>
      <c r="F251" s="64">
        <f t="shared" ref="F251:AH251" si="95">E251+1</f>
        <v>2022</v>
      </c>
      <c r="G251" s="64">
        <f t="shared" si="95"/>
        <v>2023</v>
      </c>
      <c r="H251" s="64">
        <f t="shared" si="95"/>
        <v>2024</v>
      </c>
      <c r="I251" s="64">
        <f t="shared" si="95"/>
        <v>2025</v>
      </c>
      <c r="J251" s="64">
        <f t="shared" si="95"/>
        <v>2026</v>
      </c>
      <c r="K251" s="64">
        <f t="shared" si="95"/>
        <v>2027</v>
      </c>
      <c r="L251" s="64">
        <f t="shared" si="95"/>
        <v>2028</v>
      </c>
      <c r="M251" s="64">
        <f t="shared" si="95"/>
        <v>2029</v>
      </c>
      <c r="N251" s="64">
        <f t="shared" si="95"/>
        <v>2030</v>
      </c>
      <c r="O251" s="64">
        <f t="shared" si="95"/>
        <v>2031</v>
      </c>
      <c r="P251" s="64">
        <f t="shared" si="95"/>
        <v>2032</v>
      </c>
      <c r="Q251" s="64">
        <f t="shared" si="95"/>
        <v>2033</v>
      </c>
      <c r="R251" s="64">
        <f t="shared" si="95"/>
        <v>2034</v>
      </c>
      <c r="S251" s="64">
        <f t="shared" si="95"/>
        <v>2035</v>
      </c>
      <c r="T251" s="64">
        <f t="shared" si="95"/>
        <v>2036</v>
      </c>
      <c r="U251" s="64">
        <f t="shared" si="95"/>
        <v>2037</v>
      </c>
      <c r="V251" s="64">
        <f t="shared" si="95"/>
        <v>2038</v>
      </c>
      <c r="W251" s="64">
        <f t="shared" si="95"/>
        <v>2039</v>
      </c>
      <c r="X251" s="64">
        <f t="shared" si="95"/>
        <v>2040</v>
      </c>
      <c r="Y251" s="64">
        <f t="shared" si="95"/>
        <v>2041</v>
      </c>
      <c r="Z251" s="64">
        <f t="shared" si="95"/>
        <v>2042</v>
      </c>
      <c r="AA251" s="64">
        <f t="shared" si="95"/>
        <v>2043</v>
      </c>
      <c r="AB251" s="64">
        <f t="shared" si="95"/>
        <v>2044</v>
      </c>
      <c r="AC251" s="64">
        <f t="shared" si="95"/>
        <v>2045</v>
      </c>
      <c r="AD251" s="64">
        <f t="shared" si="95"/>
        <v>2046</v>
      </c>
      <c r="AE251" s="64">
        <f t="shared" si="95"/>
        <v>2047</v>
      </c>
      <c r="AF251" s="64">
        <f t="shared" si="95"/>
        <v>2048</v>
      </c>
      <c r="AG251" s="64">
        <f t="shared" si="95"/>
        <v>2049</v>
      </c>
      <c r="AH251" s="64">
        <f t="shared" si="95"/>
        <v>2050</v>
      </c>
      <c r="AI251" s="93"/>
      <c r="AJ251" s="85"/>
      <c r="AK251" s="86"/>
    </row>
    <row r="252" spans="1:37">
      <c r="A252" s="27" t="str">
        <f>A246</f>
        <v>Rail freight</v>
      </c>
      <c r="B252" s="116"/>
      <c r="C252" s="172">
        <f>C246/C$249*100</f>
        <v>0.59999999999999987</v>
      </c>
      <c r="D252" s="330" t="e">
        <f t="shared" ref="D252:AH252" si="96">D246/D$249*100</f>
        <v>#REF!</v>
      </c>
      <c r="E252" s="172" t="e">
        <f t="shared" si="96"/>
        <v>#REF!</v>
      </c>
      <c r="F252" s="172" t="e">
        <f t="shared" si="96"/>
        <v>#REF!</v>
      </c>
      <c r="G252" s="172" t="e">
        <f t="shared" si="96"/>
        <v>#REF!</v>
      </c>
      <c r="H252" s="172" t="e">
        <f t="shared" si="96"/>
        <v>#REF!</v>
      </c>
      <c r="I252" s="172" t="e">
        <f t="shared" si="96"/>
        <v>#REF!</v>
      </c>
      <c r="J252" s="172" t="e">
        <f t="shared" si="96"/>
        <v>#REF!</v>
      </c>
      <c r="K252" s="172" t="e">
        <f t="shared" si="96"/>
        <v>#REF!</v>
      </c>
      <c r="L252" s="172" t="e">
        <f t="shared" si="96"/>
        <v>#REF!</v>
      </c>
      <c r="M252" s="172" t="e">
        <f t="shared" si="96"/>
        <v>#REF!</v>
      </c>
      <c r="N252" s="172" t="e">
        <f t="shared" si="96"/>
        <v>#REF!</v>
      </c>
      <c r="O252" s="172" t="e">
        <f t="shared" si="96"/>
        <v>#REF!</v>
      </c>
      <c r="P252" s="172" t="e">
        <f t="shared" si="96"/>
        <v>#REF!</v>
      </c>
      <c r="Q252" s="172" t="e">
        <f t="shared" si="96"/>
        <v>#REF!</v>
      </c>
      <c r="R252" s="172" t="e">
        <f t="shared" si="96"/>
        <v>#REF!</v>
      </c>
      <c r="S252" s="172" t="e">
        <f t="shared" si="96"/>
        <v>#REF!</v>
      </c>
      <c r="T252" s="172" t="e">
        <f t="shared" si="96"/>
        <v>#REF!</v>
      </c>
      <c r="U252" s="172" t="e">
        <f t="shared" si="96"/>
        <v>#REF!</v>
      </c>
      <c r="V252" s="172" t="e">
        <f t="shared" si="96"/>
        <v>#REF!</v>
      </c>
      <c r="W252" s="172" t="e">
        <f t="shared" si="96"/>
        <v>#REF!</v>
      </c>
      <c r="X252" s="172" t="e">
        <f t="shared" si="96"/>
        <v>#REF!</v>
      </c>
      <c r="Y252" s="172" t="e">
        <f t="shared" si="96"/>
        <v>#REF!</v>
      </c>
      <c r="Z252" s="172" t="e">
        <f t="shared" si="96"/>
        <v>#REF!</v>
      </c>
      <c r="AA252" s="172" t="e">
        <f t="shared" si="96"/>
        <v>#REF!</v>
      </c>
      <c r="AB252" s="172" t="e">
        <f t="shared" si="96"/>
        <v>#REF!</v>
      </c>
      <c r="AC252" s="172" t="e">
        <f t="shared" si="96"/>
        <v>#REF!</v>
      </c>
      <c r="AD252" s="172" t="e">
        <f t="shared" si="96"/>
        <v>#REF!</v>
      </c>
      <c r="AE252" s="172" t="e">
        <f t="shared" si="96"/>
        <v>#REF!</v>
      </c>
      <c r="AF252" s="172" t="e">
        <f t="shared" si="96"/>
        <v>#REF!</v>
      </c>
      <c r="AG252" s="172" t="e">
        <f t="shared" si="96"/>
        <v>#REF!</v>
      </c>
      <c r="AH252" s="172" t="e">
        <f t="shared" si="96"/>
        <v>#REF!</v>
      </c>
      <c r="AI252" s="93"/>
      <c r="AJ252" s="85"/>
      <c r="AK252" s="86"/>
    </row>
    <row r="253" spans="1:37">
      <c r="A253" s="27" t="str">
        <f>A247</f>
        <v>Road freight</v>
      </c>
      <c r="B253" s="116"/>
      <c r="C253" s="172">
        <f>C247/C$249*100</f>
        <v>99.4</v>
      </c>
      <c r="D253" s="330" t="e">
        <f t="shared" ref="D253:AH253" si="97">D247/D$249*100</f>
        <v>#REF!</v>
      </c>
      <c r="E253" s="172" t="e">
        <f t="shared" si="97"/>
        <v>#REF!</v>
      </c>
      <c r="F253" s="172" t="e">
        <f t="shared" si="97"/>
        <v>#REF!</v>
      </c>
      <c r="G253" s="172" t="e">
        <f t="shared" si="97"/>
        <v>#REF!</v>
      </c>
      <c r="H253" s="172" t="e">
        <f t="shared" si="97"/>
        <v>#REF!</v>
      </c>
      <c r="I253" s="172" t="e">
        <f t="shared" si="97"/>
        <v>#REF!</v>
      </c>
      <c r="J253" s="172" t="e">
        <f t="shared" si="97"/>
        <v>#REF!</v>
      </c>
      <c r="K253" s="172" t="e">
        <f t="shared" si="97"/>
        <v>#REF!</v>
      </c>
      <c r="L253" s="172" t="e">
        <f t="shared" si="97"/>
        <v>#REF!</v>
      </c>
      <c r="M253" s="172" t="e">
        <f t="shared" si="97"/>
        <v>#REF!</v>
      </c>
      <c r="N253" s="172" t="e">
        <f t="shared" si="97"/>
        <v>#REF!</v>
      </c>
      <c r="O253" s="172" t="e">
        <f t="shared" si="97"/>
        <v>#REF!</v>
      </c>
      <c r="P253" s="172" t="e">
        <f t="shared" si="97"/>
        <v>#REF!</v>
      </c>
      <c r="Q253" s="172" t="e">
        <f t="shared" si="97"/>
        <v>#REF!</v>
      </c>
      <c r="R253" s="172" t="e">
        <f t="shared" si="97"/>
        <v>#REF!</v>
      </c>
      <c r="S253" s="172" t="e">
        <f t="shared" si="97"/>
        <v>#REF!</v>
      </c>
      <c r="T253" s="172" t="e">
        <f t="shared" si="97"/>
        <v>#REF!</v>
      </c>
      <c r="U253" s="172" t="e">
        <f t="shared" si="97"/>
        <v>#REF!</v>
      </c>
      <c r="V253" s="172" t="e">
        <f t="shared" si="97"/>
        <v>#REF!</v>
      </c>
      <c r="W253" s="172" t="e">
        <f t="shared" si="97"/>
        <v>#REF!</v>
      </c>
      <c r="X253" s="172" t="e">
        <f t="shared" si="97"/>
        <v>#REF!</v>
      </c>
      <c r="Y253" s="172" t="e">
        <f t="shared" si="97"/>
        <v>#REF!</v>
      </c>
      <c r="Z253" s="172" t="e">
        <f t="shared" si="97"/>
        <v>#REF!</v>
      </c>
      <c r="AA253" s="172" t="e">
        <f t="shared" si="97"/>
        <v>#REF!</v>
      </c>
      <c r="AB253" s="172" t="e">
        <f t="shared" si="97"/>
        <v>#REF!</v>
      </c>
      <c r="AC253" s="172" t="e">
        <f t="shared" si="97"/>
        <v>#REF!</v>
      </c>
      <c r="AD253" s="172" t="e">
        <f t="shared" si="97"/>
        <v>#REF!</v>
      </c>
      <c r="AE253" s="172" t="e">
        <f t="shared" si="97"/>
        <v>#REF!</v>
      </c>
      <c r="AF253" s="172" t="e">
        <f t="shared" si="97"/>
        <v>#REF!</v>
      </c>
      <c r="AG253" s="172" t="e">
        <f t="shared" si="97"/>
        <v>#REF!</v>
      </c>
      <c r="AH253" s="172" t="e">
        <f t="shared" si="97"/>
        <v>#REF!</v>
      </c>
      <c r="AI253" s="93"/>
      <c r="AJ253" s="85"/>
      <c r="AK253" s="86"/>
    </row>
    <row r="254" spans="1:37">
      <c r="A254" s="63" t="str">
        <f>A248</f>
        <v>Inland waterways freight</v>
      </c>
      <c r="B254" s="4"/>
      <c r="C254" s="173">
        <f>C248/C$249*100</f>
        <v>0</v>
      </c>
      <c r="D254" s="331" t="e">
        <f t="shared" ref="D254:AH254" si="98">D248/D$249*100</f>
        <v>#REF!</v>
      </c>
      <c r="E254" s="173" t="e">
        <f t="shared" si="98"/>
        <v>#REF!</v>
      </c>
      <c r="F254" s="173" t="e">
        <f t="shared" si="98"/>
        <v>#REF!</v>
      </c>
      <c r="G254" s="173" t="e">
        <f t="shared" si="98"/>
        <v>#REF!</v>
      </c>
      <c r="H254" s="173" t="e">
        <f t="shared" si="98"/>
        <v>#REF!</v>
      </c>
      <c r="I254" s="173" t="e">
        <f t="shared" si="98"/>
        <v>#REF!</v>
      </c>
      <c r="J254" s="173" t="e">
        <f t="shared" si="98"/>
        <v>#REF!</v>
      </c>
      <c r="K254" s="173" t="e">
        <f t="shared" si="98"/>
        <v>#REF!</v>
      </c>
      <c r="L254" s="173" t="e">
        <f t="shared" si="98"/>
        <v>#REF!</v>
      </c>
      <c r="M254" s="173" t="e">
        <f t="shared" si="98"/>
        <v>#REF!</v>
      </c>
      <c r="N254" s="173" t="e">
        <f t="shared" si="98"/>
        <v>#REF!</v>
      </c>
      <c r="O254" s="173" t="e">
        <f t="shared" si="98"/>
        <v>#REF!</v>
      </c>
      <c r="P254" s="173" t="e">
        <f t="shared" si="98"/>
        <v>#REF!</v>
      </c>
      <c r="Q254" s="173" t="e">
        <f t="shared" si="98"/>
        <v>#REF!</v>
      </c>
      <c r="R254" s="173" t="e">
        <f t="shared" si="98"/>
        <v>#REF!</v>
      </c>
      <c r="S254" s="173" t="e">
        <f t="shared" si="98"/>
        <v>#REF!</v>
      </c>
      <c r="T254" s="173" t="e">
        <f t="shared" si="98"/>
        <v>#REF!</v>
      </c>
      <c r="U254" s="173" t="e">
        <f t="shared" si="98"/>
        <v>#REF!</v>
      </c>
      <c r="V254" s="173" t="e">
        <f t="shared" si="98"/>
        <v>#REF!</v>
      </c>
      <c r="W254" s="173" t="e">
        <f t="shared" si="98"/>
        <v>#REF!</v>
      </c>
      <c r="X254" s="173" t="e">
        <f t="shared" si="98"/>
        <v>#REF!</v>
      </c>
      <c r="Y254" s="173" t="e">
        <f t="shared" si="98"/>
        <v>#REF!</v>
      </c>
      <c r="Z254" s="173" t="e">
        <f t="shared" si="98"/>
        <v>#REF!</v>
      </c>
      <c r="AA254" s="173" t="e">
        <f t="shared" si="98"/>
        <v>#REF!</v>
      </c>
      <c r="AB254" s="173" t="e">
        <f t="shared" si="98"/>
        <v>#REF!</v>
      </c>
      <c r="AC254" s="173" t="e">
        <f t="shared" si="98"/>
        <v>#REF!</v>
      </c>
      <c r="AD254" s="173" t="e">
        <f t="shared" si="98"/>
        <v>#REF!</v>
      </c>
      <c r="AE254" s="173" t="e">
        <f t="shared" si="98"/>
        <v>#REF!</v>
      </c>
      <c r="AF254" s="173" t="e">
        <f t="shared" si="98"/>
        <v>#REF!</v>
      </c>
      <c r="AG254" s="173" t="e">
        <f t="shared" si="98"/>
        <v>#REF!</v>
      </c>
      <c r="AH254" s="173" t="e">
        <f t="shared" si="98"/>
        <v>#REF!</v>
      </c>
      <c r="AI254" s="93"/>
      <c r="AJ254" s="85"/>
      <c r="AK254" s="86"/>
    </row>
    <row r="255" spans="1:37" s="144" customFormat="1">
      <c r="A255" s="27" t="s">
        <v>100</v>
      </c>
      <c r="B255" s="167"/>
      <c r="C255" s="172">
        <f>SUM(C252:C254)</f>
        <v>100</v>
      </c>
      <c r="D255" s="330" t="e">
        <f t="shared" ref="D255:AH255" si="99">SUM(D252:D254)</f>
        <v>#REF!</v>
      </c>
      <c r="E255" s="172" t="e">
        <f t="shared" si="99"/>
        <v>#REF!</v>
      </c>
      <c r="F255" s="172" t="e">
        <f t="shared" si="99"/>
        <v>#REF!</v>
      </c>
      <c r="G255" s="172" t="e">
        <f t="shared" si="99"/>
        <v>#REF!</v>
      </c>
      <c r="H255" s="172" t="e">
        <f t="shared" si="99"/>
        <v>#REF!</v>
      </c>
      <c r="I255" s="172" t="e">
        <f t="shared" si="99"/>
        <v>#REF!</v>
      </c>
      <c r="J255" s="172" t="e">
        <f t="shared" si="99"/>
        <v>#REF!</v>
      </c>
      <c r="K255" s="172" t="e">
        <f t="shared" si="99"/>
        <v>#REF!</v>
      </c>
      <c r="L255" s="172" t="e">
        <f t="shared" si="99"/>
        <v>#REF!</v>
      </c>
      <c r="M255" s="172" t="e">
        <f t="shared" si="99"/>
        <v>#REF!</v>
      </c>
      <c r="N255" s="172" t="e">
        <f t="shared" si="99"/>
        <v>#REF!</v>
      </c>
      <c r="O255" s="172" t="e">
        <f t="shared" si="99"/>
        <v>#REF!</v>
      </c>
      <c r="P255" s="172" t="e">
        <f t="shared" si="99"/>
        <v>#REF!</v>
      </c>
      <c r="Q255" s="172" t="e">
        <f t="shared" si="99"/>
        <v>#REF!</v>
      </c>
      <c r="R255" s="172" t="e">
        <f t="shared" si="99"/>
        <v>#REF!</v>
      </c>
      <c r="S255" s="172" t="e">
        <f t="shared" si="99"/>
        <v>#REF!</v>
      </c>
      <c r="T255" s="172" t="e">
        <f t="shared" si="99"/>
        <v>#REF!</v>
      </c>
      <c r="U255" s="172" t="e">
        <f t="shared" si="99"/>
        <v>#REF!</v>
      </c>
      <c r="V255" s="172" t="e">
        <f t="shared" si="99"/>
        <v>#REF!</v>
      </c>
      <c r="W255" s="172" t="e">
        <f t="shared" si="99"/>
        <v>#REF!</v>
      </c>
      <c r="X255" s="172" t="e">
        <f t="shared" si="99"/>
        <v>#REF!</v>
      </c>
      <c r="Y255" s="172" t="e">
        <f t="shared" si="99"/>
        <v>#REF!</v>
      </c>
      <c r="Z255" s="172" t="e">
        <f t="shared" si="99"/>
        <v>#REF!</v>
      </c>
      <c r="AA255" s="172" t="e">
        <f t="shared" si="99"/>
        <v>#REF!</v>
      </c>
      <c r="AB255" s="172" t="e">
        <f t="shared" si="99"/>
        <v>#REF!</v>
      </c>
      <c r="AC255" s="172" t="e">
        <f t="shared" si="99"/>
        <v>#REF!</v>
      </c>
      <c r="AD255" s="172" t="e">
        <f t="shared" si="99"/>
        <v>#REF!</v>
      </c>
      <c r="AE255" s="172" t="e">
        <f t="shared" si="99"/>
        <v>#REF!</v>
      </c>
      <c r="AF255" s="172" t="e">
        <f t="shared" si="99"/>
        <v>#REF!</v>
      </c>
      <c r="AG255" s="172" t="e">
        <f t="shared" si="99"/>
        <v>#REF!</v>
      </c>
      <c r="AH255" s="172" t="e">
        <f t="shared" si="99"/>
        <v>#REF!</v>
      </c>
      <c r="AI255" s="93"/>
      <c r="AJ255" s="162"/>
      <c r="AK255" s="168"/>
    </row>
    <row r="256" spans="1:37" ht="15.75" thickBot="1">
      <c r="A256" s="79"/>
      <c r="B256" s="80"/>
      <c r="C256" s="51"/>
      <c r="D256" s="33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3"/>
      <c r="AJ256" s="85"/>
      <c r="AK256" s="86"/>
    </row>
    <row r="257" spans="1:37" ht="15.75" thickBot="1">
      <c r="A257" s="21"/>
      <c r="B257" s="8"/>
      <c r="C257" s="8"/>
      <c r="D257" s="98"/>
      <c r="E257" s="159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21"/>
      <c r="AH257" s="8"/>
      <c r="AI257" s="8"/>
      <c r="AJ257" s="85"/>
      <c r="AK257" s="86"/>
    </row>
    <row r="258" spans="1:37" ht="19.5" thickBot="1">
      <c r="A258" s="766" t="s">
        <v>469</v>
      </c>
      <c r="B258" s="767"/>
      <c r="C258" s="767"/>
      <c r="D258" s="767"/>
      <c r="E258" s="767"/>
      <c r="F258" s="767"/>
      <c r="G258" s="767"/>
      <c r="H258" s="767"/>
      <c r="I258" s="767"/>
      <c r="J258" s="767"/>
      <c r="K258" s="767"/>
      <c r="L258" s="767"/>
      <c r="M258" s="767"/>
      <c r="N258" s="767"/>
      <c r="O258" s="767"/>
      <c r="P258" s="767"/>
      <c r="Q258" s="767"/>
      <c r="R258" s="767"/>
      <c r="S258" s="767"/>
      <c r="T258" s="767"/>
      <c r="U258" s="767"/>
      <c r="V258" s="767"/>
      <c r="W258" s="767"/>
      <c r="X258" s="767"/>
      <c r="Y258" s="767"/>
      <c r="Z258" s="767"/>
      <c r="AA258" s="767"/>
      <c r="AB258" s="767"/>
      <c r="AC258" s="767"/>
      <c r="AD258" s="767"/>
      <c r="AE258" s="767"/>
      <c r="AF258" s="767"/>
      <c r="AG258" s="767"/>
      <c r="AH258" s="767"/>
      <c r="AI258" s="768"/>
    </row>
    <row r="259" spans="1:37" ht="14.45" customHeight="1">
      <c r="A259" s="24" t="s">
        <v>470</v>
      </c>
      <c r="B259" s="121"/>
      <c r="C259" s="121"/>
      <c r="D259" s="336"/>
      <c r="E259" s="121"/>
      <c r="F259" s="121"/>
      <c r="G259" s="121"/>
      <c r="H259" s="121"/>
      <c r="I259" s="121"/>
      <c r="J259" s="121"/>
      <c r="K259" s="121"/>
      <c r="L259" s="121"/>
      <c r="M259" s="121"/>
      <c r="N259" s="121"/>
      <c r="O259" s="121"/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  <c r="Z259" s="121"/>
      <c r="AA259" s="121"/>
      <c r="AB259" s="121"/>
      <c r="AC259" s="121"/>
      <c r="AD259" s="121"/>
      <c r="AE259" s="121"/>
      <c r="AF259" s="121"/>
      <c r="AG259" s="121"/>
      <c r="AH259" s="121"/>
      <c r="AI259" s="638"/>
    </row>
    <row r="260" spans="1:37" ht="14.45" customHeight="1">
      <c r="A260" s="63" t="s">
        <v>124</v>
      </c>
      <c r="B260" s="181"/>
      <c r="C260" s="181"/>
      <c r="D260" s="337"/>
      <c r="E260" s="623">
        <v>2021</v>
      </c>
      <c r="F260" s="623">
        <f t="shared" ref="F260:AH260" si="100">E260+1</f>
        <v>2022</v>
      </c>
      <c r="G260" s="623">
        <f t="shared" si="100"/>
        <v>2023</v>
      </c>
      <c r="H260" s="623">
        <f t="shared" si="100"/>
        <v>2024</v>
      </c>
      <c r="I260" s="623">
        <f t="shared" si="100"/>
        <v>2025</v>
      </c>
      <c r="J260" s="623">
        <f t="shared" si="100"/>
        <v>2026</v>
      </c>
      <c r="K260" s="623">
        <f t="shared" si="100"/>
        <v>2027</v>
      </c>
      <c r="L260" s="623">
        <f t="shared" si="100"/>
        <v>2028</v>
      </c>
      <c r="M260" s="623">
        <f t="shared" si="100"/>
        <v>2029</v>
      </c>
      <c r="N260" s="623">
        <f t="shared" si="100"/>
        <v>2030</v>
      </c>
      <c r="O260" s="623">
        <f t="shared" si="100"/>
        <v>2031</v>
      </c>
      <c r="P260" s="623">
        <f t="shared" si="100"/>
        <v>2032</v>
      </c>
      <c r="Q260" s="623">
        <f t="shared" si="100"/>
        <v>2033</v>
      </c>
      <c r="R260" s="623">
        <f t="shared" si="100"/>
        <v>2034</v>
      </c>
      <c r="S260" s="623">
        <f t="shared" si="100"/>
        <v>2035</v>
      </c>
      <c r="T260" s="623">
        <f t="shared" si="100"/>
        <v>2036</v>
      </c>
      <c r="U260" s="623">
        <f t="shared" si="100"/>
        <v>2037</v>
      </c>
      <c r="V260" s="623">
        <f t="shared" si="100"/>
        <v>2038</v>
      </c>
      <c r="W260" s="623">
        <f t="shared" si="100"/>
        <v>2039</v>
      </c>
      <c r="X260" s="623">
        <f t="shared" si="100"/>
        <v>2040</v>
      </c>
      <c r="Y260" s="623">
        <f t="shared" si="100"/>
        <v>2041</v>
      </c>
      <c r="Z260" s="623">
        <f t="shared" si="100"/>
        <v>2042</v>
      </c>
      <c r="AA260" s="623">
        <f t="shared" si="100"/>
        <v>2043</v>
      </c>
      <c r="AB260" s="623">
        <f t="shared" si="100"/>
        <v>2044</v>
      </c>
      <c r="AC260" s="623">
        <f t="shared" si="100"/>
        <v>2045</v>
      </c>
      <c r="AD260" s="623">
        <f t="shared" si="100"/>
        <v>2046</v>
      </c>
      <c r="AE260" s="623">
        <f t="shared" si="100"/>
        <v>2047</v>
      </c>
      <c r="AF260" s="623">
        <f t="shared" si="100"/>
        <v>2048</v>
      </c>
      <c r="AG260" s="623">
        <f t="shared" si="100"/>
        <v>2049</v>
      </c>
      <c r="AH260" s="623">
        <f t="shared" si="100"/>
        <v>2050</v>
      </c>
      <c r="AI260" s="123"/>
    </row>
    <row r="261" spans="1:37" ht="14.45" customHeight="1">
      <c r="A261" s="43" t="s">
        <v>104</v>
      </c>
      <c r="B261" s="120"/>
      <c r="C261" s="120"/>
      <c r="D261" s="338"/>
      <c r="E261" s="333">
        <f>E246</f>
        <v>3.6022238879212257E-5</v>
      </c>
      <c r="F261" s="156">
        <f t="shared" ref="F261:AH261" si="101">F246</f>
        <v>3.6022238879212257E-5</v>
      </c>
      <c r="G261" s="156">
        <f t="shared" si="101"/>
        <v>3.6022238879212257E-5</v>
      </c>
      <c r="H261" s="156">
        <f t="shared" si="101"/>
        <v>3.6022238879212257E-5</v>
      </c>
      <c r="I261" s="156">
        <f t="shared" si="101"/>
        <v>3.6022238879212257E-5</v>
      </c>
      <c r="J261" s="156">
        <f t="shared" si="101"/>
        <v>3.6022238879212257E-5</v>
      </c>
      <c r="K261" s="156">
        <f t="shared" si="101"/>
        <v>3.6022238879212257E-5</v>
      </c>
      <c r="L261" s="156">
        <f t="shared" si="101"/>
        <v>3.6022238879212257E-5</v>
      </c>
      <c r="M261" s="156">
        <f t="shared" si="101"/>
        <v>3.6022238879212257E-5</v>
      </c>
      <c r="N261" s="156">
        <f t="shared" si="101"/>
        <v>3.6022238879212257E-5</v>
      </c>
      <c r="O261" s="156">
        <f t="shared" si="101"/>
        <v>3.6022238879212257E-5</v>
      </c>
      <c r="P261" s="156">
        <f t="shared" si="101"/>
        <v>3.6022238879212257E-5</v>
      </c>
      <c r="Q261" s="156">
        <f t="shared" si="101"/>
        <v>3.6022238879212257E-5</v>
      </c>
      <c r="R261" s="156">
        <f t="shared" si="101"/>
        <v>3.6022238879212257E-5</v>
      </c>
      <c r="S261" s="156">
        <f t="shared" si="101"/>
        <v>3.6022238879212257E-5</v>
      </c>
      <c r="T261" s="156">
        <f t="shared" si="101"/>
        <v>3.6022238879212257E-5</v>
      </c>
      <c r="U261" s="156">
        <f t="shared" si="101"/>
        <v>3.6022238879212257E-5</v>
      </c>
      <c r="V261" s="156">
        <f t="shared" si="101"/>
        <v>3.6022238879212257E-5</v>
      </c>
      <c r="W261" s="156">
        <f t="shared" si="101"/>
        <v>3.6022238879212257E-5</v>
      </c>
      <c r="X261" s="156">
        <f t="shared" si="101"/>
        <v>3.6022238879212257E-5</v>
      </c>
      <c r="Y261" s="156">
        <f t="shared" si="101"/>
        <v>3.6022238879212257E-5</v>
      </c>
      <c r="Z261" s="156">
        <f t="shared" si="101"/>
        <v>3.6022238879212257E-5</v>
      </c>
      <c r="AA261" s="156">
        <f t="shared" si="101"/>
        <v>3.6022238879212257E-5</v>
      </c>
      <c r="AB261" s="156">
        <f t="shared" si="101"/>
        <v>3.6022238879212257E-5</v>
      </c>
      <c r="AC261" s="156">
        <f t="shared" si="101"/>
        <v>3.6022238879212257E-5</v>
      </c>
      <c r="AD261" s="156">
        <f t="shared" si="101"/>
        <v>3.6022238879212257E-5</v>
      </c>
      <c r="AE261" s="156">
        <f t="shared" si="101"/>
        <v>3.6022238879212257E-5</v>
      </c>
      <c r="AF261" s="156">
        <f t="shared" si="101"/>
        <v>3.6022238879212257E-5</v>
      </c>
      <c r="AG261" s="156">
        <f t="shared" si="101"/>
        <v>3.6022238879212257E-5</v>
      </c>
      <c r="AH261" s="156">
        <f t="shared" si="101"/>
        <v>3.6022238879212257E-5</v>
      </c>
      <c r="AI261" s="123"/>
    </row>
    <row r="262" spans="1:37" ht="14.45" customHeight="1">
      <c r="A262" s="122"/>
      <c r="B262" s="120"/>
      <c r="C262" s="120"/>
      <c r="D262" s="338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  <c r="AA262" s="120"/>
      <c r="AB262" s="120"/>
      <c r="AC262" s="120"/>
      <c r="AD262" s="120"/>
      <c r="AE262" s="120"/>
      <c r="AF262" s="120"/>
      <c r="AG262" s="120"/>
      <c r="AH262" s="120"/>
      <c r="AI262" s="123"/>
    </row>
    <row r="263" spans="1:37">
      <c r="A263" s="128" t="s">
        <v>471</v>
      </c>
      <c r="B263" s="4"/>
      <c r="C263" s="4"/>
      <c r="D263" s="290"/>
      <c r="E263" s="623">
        <v>2021</v>
      </c>
      <c r="F263" s="623">
        <f t="shared" ref="F263:AH263" si="102">E263+1</f>
        <v>2022</v>
      </c>
      <c r="G263" s="623">
        <f t="shared" si="102"/>
        <v>2023</v>
      </c>
      <c r="H263" s="623">
        <f t="shared" si="102"/>
        <v>2024</v>
      </c>
      <c r="I263" s="623">
        <f t="shared" si="102"/>
        <v>2025</v>
      </c>
      <c r="J263" s="623">
        <f t="shared" si="102"/>
        <v>2026</v>
      </c>
      <c r="K263" s="623">
        <f t="shared" si="102"/>
        <v>2027</v>
      </c>
      <c r="L263" s="623">
        <f t="shared" si="102"/>
        <v>2028</v>
      </c>
      <c r="M263" s="623">
        <f t="shared" si="102"/>
        <v>2029</v>
      </c>
      <c r="N263" s="623">
        <f t="shared" si="102"/>
        <v>2030</v>
      </c>
      <c r="O263" s="623">
        <f t="shared" si="102"/>
        <v>2031</v>
      </c>
      <c r="P263" s="623">
        <f t="shared" si="102"/>
        <v>2032</v>
      </c>
      <c r="Q263" s="623">
        <f t="shared" si="102"/>
        <v>2033</v>
      </c>
      <c r="R263" s="623">
        <f t="shared" si="102"/>
        <v>2034</v>
      </c>
      <c r="S263" s="623">
        <f t="shared" si="102"/>
        <v>2035</v>
      </c>
      <c r="T263" s="623">
        <f t="shared" si="102"/>
        <v>2036</v>
      </c>
      <c r="U263" s="623">
        <f t="shared" si="102"/>
        <v>2037</v>
      </c>
      <c r="V263" s="623">
        <f t="shared" si="102"/>
        <v>2038</v>
      </c>
      <c r="W263" s="623">
        <f t="shared" si="102"/>
        <v>2039</v>
      </c>
      <c r="X263" s="623">
        <f t="shared" si="102"/>
        <v>2040</v>
      </c>
      <c r="Y263" s="623">
        <f t="shared" si="102"/>
        <v>2041</v>
      </c>
      <c r="Z263" s="623">
        <f t="shared" si="102"/>
        <v>2042</v>
      </c>
      <c r="AA263" s="623">
        <f t="shared" si="102"/>
        <v>2043</v>
      </c>
      <c r="AB263" s="623">
        <f t="shared" si="102"/>
        <v>2044</v>
      </c>
      <c r="AC263" s="623">
        <f t="shared" si="102"/>
        <v>2045</v>
      </c>
      <c r="AD263" s="623">
        <f t="shared" si="102"/>
        <v>2046</v>
      </c>
      <c r="AE263" s="623">
        <f t="shared" si="102"/>
        <v>2047</v>
      </c>
      <c r="AF263" s="623">
        <f t="shared" si="102"/>
        <v>2048</v>
      </c>
      <c r="AG263" s="623">
        <f t="shared" si="102"/>
        <v>2049</v>
      </c>
      <c r="AH263" s="623">
        <f t="shared" si="102"/>
        <v>2050</v>
      </c>
      <c r="AI263" s="42"/>
    </row>
    <row r="264" spans="1:37">
      <c r="A264" s="27" t="s">
        <v>105</v>
      </c>
      <c r="B264" s="5"/>
      <c r="C264" s="5"/>
      <c r="D264" s="70"/>
      <c r="E264" s="321">
        <f>DEFAULT!E436</f>
        <v>2019</v>
      </c>
      <c r="F264" s="171">
        <f>E264</f>
        <v>2019</v>
      </c>
      <c r="G264" s="171">
        <f t="shared" ref="G264:U264" si="103">F264</f>
        <v>2019</v>
      </c>
      <c r="H264" s="171">
        <f t="shared" si="103"/>
        <v>2019</v>
      </c>
      <c r="I264" s="171">
        <f t="shared" si="103"/>
        <v>2019</v>
      </c>
      <c r="J264" s="171">
        <f t="shared" si="103"/>
        <v>2019</v>
      </c>
      <c r="K264" s="171">
        <f t="shared" si="103"/>
        <v>2019</v>
      </c>
      <c r="L264" s="171">
        <f t="shared" si="103"/>
        <v>2019</v>
      </c>
      <c r="M264" s="171">
        <f t="shared" si="103"/>
        <v>2019</v>
      </c>
      <c r="N264" s="171">
        <f t="shared" si="103"/>
        <v>2019</v>
      </c>
      <c r="O264" s="171">
        <f t="shared" si="103"/>
        <v>2019</v>
      </c>
      <c r="P264" s="171">
        <f t="shared" si="103"/>
        <v>2019</v>
      </c>
      <c r="Q264" s="171">
        <f t="shared" si="103"/>
        <v>2019</v>
      </c>
      <c r="R264" s="171">
        <f t="shared" si="103"/>
        <v>2019</v>
      </c>
      <c r="S264" s="171">
        <f t="shared" si="103"/>
        <v>2019</v>
      </c>
      <c r="T264" s="171">
        <f t="shared" si="103"/>
        <v>2019</v>
      </c>
      <c r="U264" s="171">
        <f t="shared" si="103"/>
        <v>2019</v>
      </c>
      <c r="V264" s="171">
        <v>200</v>
      </c>
      <c r="W264" s="171">
        <v>200</v>
      </c>
      <c r="X264" s="171">
        <v>200</v>
      </c>
      <c r="Y264" s="171">
        <v>200</v>
      </c>
      <c r="Z264" s="171">
        <v>200</v>
      </c>
      <c r="AA264" s="171">
        <v>200</v>
      </c>
      <c r="AB264" s="171">
        <v>200</v>
      </c>
      <c r="AC264" s="171">
        <v>200</v>
      </c>
      <c r="AD264" s="171">
        <v>200</v>
      </c>
      <c r="AE264" s="171">
        <v>200</v>
      </c>
      <c r="AF264" s="171">
        <v>200</v>
      </c>
      <c r="AG264" s="171">
        <v>200</v>
      </c>
      <c r="AH264" s="171">
        <v>200</v>
      </c>
      <c r="AI264" s="42"/>
      <c r="AJ264" s="105" t="s">
        <v>115</v>
      </c>
    </row>
    <row r="265" spans="1:37">
      <c r="A265" s="63" t="s">
        <v>143</v>
      </c>
      <c r="B265" s="145"/>
      <c r="C265" s="145"/>
      <c r="D265" s="146"/>
      <c r="E265" s="322">
        <f t="shared" ref="E265:AH265" si="104">E14*1.17</f>
        <v>411.07237826086953</v>
      </c>
      <c r="F265" s="169">
        <f t="shared" si="104"/>
        <v>411.07237826086953</v>
      </c>
      <c r="G265" s="169">
        <f t="shared" si="104"/>
        <v>411.07237826086953</v>
      </c>
      <c r="H265" s="169">
        <f t="shared" si="104"/>
        <v>411.07237826086953</v>
      </c>
      <c r="I265" s="169">
        <f t="shared" si="104"/>
        <v>411.07237826086953</v>
      </c>
      <c r="J265" s="169">
        <f t="shared" si="104"/>
        <v>411.07237826086953</v>
      </c>
      <c r="K265" s="169">
        <f t="shared" si="104"/>
        <v>411.07237826086953</v>
      </c>
      <c r="L265" s="169">
        <f t="shared" si="104"/>
        <v>411.07237826086953</v>
      </c>
      <c r="M265" s="169">
        <f t="shared" si="104"/>
        <v>411.07237826086953</v>
      </c>
      <c r="N265" s="169">
        <f t="shared" si="104"/>
        <v>411.07237826086953</v>
      </c>
      <c r="O265" s="169">
        <f t="shared" si="104"/>
        <v>411.07237826086953</v>
      </c>
      <c r="P265" s="169">
        <f t="shared" si="104"/>
        <v>411.07237826086953</v>
      </c>
      <c r="Q265" s="169">
        <f t="shared" si="104"/>
        <v>411.07237826086953</v>
      </c>
      <c r="R265" s="169">
        <f t="shared" si="104"/>
        <v>411.07237826086953</v>
      </c>
      <c r="S265" s="169">
        <f t="shared" si="104"/>
        <v>411.07237826086953</v>
      </c>
      <c r="T265" s="169">
        <f t="shared" si="104"/>
        <v>411.07237826086953</v>
      </c>
      <c r="U265" s="169">
        <f t="shared" si="104"/>
        <v>411.07237826086953</v>
      </c>
      <c r="V265" s="169">
        <f t="shared" si="104"/>
        <v>411.07237826086953</v>
      </c>
      <c r="W265" s="169">
        <f t="shared" si="104"/>
        <v>411.07237826086953</v>
      </c>
      <c r="X265" s="169">
        <f t="shared" si="104"/>
        <v>395.45162788695654</v>
      </c>
      <c r="Y265" s="169">
        <f t="shared" si="104"/>
        <v>380.42446602725221</v>
      </c>
      <c r="Z265" s="169">
        <f t="shared" si="104"/>
        <v>365.9683363182167</v>
      </c>
      <c r="AA265" s="169">
        <f t="shared" si="104"/>
        <v>352.06153953812446</v>
      </c>
      <c r="AB265" s="169">
        <f t="shared" si="104"/>
        <v>338.68320103567572</v>
      </c>
      <c r="AC265" s="169">
        <f t="shared" si="104"/>
        <v>325.81323939632011</v>
      </c>
      <c r="AD265" s="169">
        <f t="shared" si="104"/>
        <v>313.43233629925999</v>
      </c>
      <c r="AE265" s="169">
        <f t="shared" si="104"/>
        <v>301.52190751988815</v>
      </c>
      <c r="AF265" s="169">
        <f t="shared" si="104"/>
        <v>290.06407503413237</v>
      </c>
      <c r="AG265" s="169">
        <f t="shared" si="104"/>
        <v>279.04164018283541</v>
      </c>
      <c r="AH265" s="169">
        <f t="shared" si="104"/>
        <v>268.43805785588768</v>
      </c>
      <c r="AI265" s="42"/>
    </row>
    <row r="266" spans="1:37" s="134" customFormat="1">
      <c r="A266" s="43" t="s">
        <v>106</v>
      </c>
      <c r="B266" s="138"/>
      <c r="C266" s="138"/>
      <c r="D266" s="291"/>
      <c r="E266" s="323">
        <f>E264*E265</f>
        <v>829955.13170869555</v>
      </c>
      <c r="F266" s="170">
        <f>F264*F265</f>
        <v>829955.13170869555</v>
      </c>
      <c r="G266" s="170">
        <f>G264*G265</f>
        <v>829955.13170869555</v>
      </c>
      <c r="H266" s="170">
        <f t="shared" ref="H266:AH266" si="105">H264*H265</f>
        <v>829955.13170869555</v>
      </c>
      <c r="I266" s="170">
        <f t="shared" si="105"/>
        <v>829955.13170869555</v>
      </c>
      <c r="J266" s="170">
        <f t="shared" si="105"/>
        <v>829955.13170869555</v>
      </c>
      <c r="K266" s="170">
        <f t="shared" si="105"/>
        <v>829955.13170869555</v>
      </c>
      <c r="L266" s="170">
        <f t="shared" si="105"/>
        <v>829955.13170869555</v>
      </c>
      <c r="M266" s="170">
        <f t="shared" si="105"/>
        <v>829955.13170869555</v>
      </c>
      <c r="N266" s="170">
        <f t="shared" si="105"/>
        <v>829955.13170869555</v>
      </c>
      <c r="O266" s="170">
        <f t="shared" si="105"/>
        <v>829955.13170869555</v>
      </c>
      <c r="P266" s="170">
        <f t="shared" si="105"/>
        <v>829955.13170869555</v>
      </c>
      <c r="Q266" s="170">
        <f t="shared" si="105"/>
        <v>829955.13170869555</v>
      </c>
      <c r="R266" s="170">
        <f t="shared" si="105"/>
        <v>829955.13170869555</v>
      </c>
      <c r="S266" s="170">
        <f t="shared" si="105"/>
        <v>829955.13170869555</v>
      </c>
      <c r="T266" s="170">
        <f t="shared" si="105"/>
        <v>829955.13170869555</v>
      </c>
      <c r="U266" s="170">
        <f t="shared" si="105"/>
        <v>829955.13170869555</v>
      </c>
      <c r="V266" s="170">
        <f t="shared" si="105"/>
        <v>82214.475652173904</v>
      </c>
      <c r="W266" s="170">
        <f t="shared" si="105"/>
        <v>82214.475652173904</v>
      </c>
      <c r="X266" s="170">
        <f t="shared" si="105"/>
        <v>79090.325577391312</v>
      </c>
      <c r="Y266" s="170">
        <f t="shared" si="105"/>
        <v>76084.89320545044</v>
      </c>
      <c r="Z266" s="170">
        <f t="shared" si="105"/>
        <v>73193.667263643336</v>
      </c>
      <c r="AA266" s="170">
        <f t="shared" si="105"/>
        <v>70412.307907624898</v>
      </c>
      <c r="AB266" s="170">
        <f t="shared" si="105"/>
        <v>67736.640207135148</v>
      </c>
      <c r="AC266" s="170">
        <f t="shared" si="105"/>
        <v>65162.647879264026</v>
      </c>
      <c r="AD266" s="170">
        <f t="shared" si="105"/>
        <v>62686.467259851997</v>
      </c>
      <c r="AE266" s="170">
        <f t="shared" si="105"/>
        <v>60304.381503977631</v>
      </c>
      <c r="AF266" s="170">
        <f t="shared" si="105"/>
        <v>58012.815006826473</v>
      </c>
      <c r="AG266" s="170">
        <f t="shared" si="105"/>
        <v>55808.32803656708</v>
      </c>
      <c r="AH266" s="170">
        <f t="shared" si="105"/>
        <v>53687.611571177535</v>
      </c>
      <c r="AI266" s="132"/>
      <c r="AJ266" s="133"/>
    </row>
    <row r="267" spans="1:37">
      <c r="A267" s="27"/>
      <c r="B267" s="37"/>
      <c r="C267" s="37"/>
      <c r="D267" s="325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42"/>
    </row>
    <row r="268" spans="1:37">
      <c r="A268" s="43" t="s">
        <v>472</v>
      </c>
      <c r="B268" s="5"/>
      <c r="C268" s="5"/>
      <c r="D268" s="624"/>
      <c r="E268" s="622" t="s">
        <v>0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12"/>
    </row>
    <row r="269" spans="1:37">
      <c r="A269" s="63" t="s">
        <v>111</v>
      </c>
      <c r="B269" s="4"/>
      <c r="C269" s="4"/>
      <c r="D269" s="77" t="s">
        <v>108</v>
      </c>
      <c r="E269" s="623">
        <v>2021</v>
      </c>
      <c r="F269" s="623">
        <f t="shared" ref="F269:AH269" si="106">E269+1</f>
        <v>2022</v>
      </c>
      <c r="G269" s="623">
        <f t="shared" si="106"/>
        <v>2023</v>
      </c>
      <c r="H269" s="623">
        <f t="shared" si="106"/>
        <v>2024</v>
      </c>
      <c r="I269" s="623">
        <f t="shared" si="106"/>
        <v>2025</v>
      </c>
      <c r="J269" s="623">
        <f t="shared" si="106"/>
        <v>2026</v>
      </c>
      <c r="K269" s="623">
        <f t="shared" si="106"/>
        <v>2027</v>
      </c>
      <c r="L269" s="623">
        <f t="shared" si="106"/>
        <v>2028</v>
      </c>
      <c r="M269" s="623">
        <f t="shared" si="106"/>
        <v>2029</v>
      </c>
      <c r="N269" s="623">
        <f t="shared" si="106"/>
        <v>2030</v>
      </c>
      <c r="O269" s="623">
        <f t="shared" si="106"/>
        <v>2031</v>
      </c>
      <c r="P269" s="623">
        <f t="shared" si="106"/>
        <v>2032</v>
      </c>
      <c r="Q269" s="623">
        <f t="shared" si="106"/>
        <v>2033</v>
      </c>
      <c r="R269" s="623">
        <f t="shared" si="106"/>
        <v>2034</v>
      </c>
      <c r="S269" s="623">
        <f t="shared" si="106"/>
        <v>2035</v>
      </c>
      <c r="T269" s="623">
        <f t="shared" si="106"/>
        <v>2036</v>
      </c>
      <c r="U269" s="623">
        <f t="shared" si="106"/>
        <v>2037</v>
      </c>
      <c r="V269" s="623">
        <f t="shared" si="106"/>
        <v>2038</v>
      </c>
      <c r="W269" s="623">
        <f t="shared" si="106"/>
        <v>2039</v>
      </c>
      <c r="X269" s="623">
        <f t="shared" si="106"/>
        <v>2040</v>
      </c>
      <c r="Y269" s="623">
        <f t="shared" si="106"/>
        <v>2041</v>
      </c>
      <c r="Z269" s="623">
        <f t="shared" si="106"/>
        <v>2042</v>
      </c>
      <c r="AA269" s="623">
        <f t="shared" si="106"/>
        <v>2043</v>
      </c>
      <c r="AB269" s="623">
        <f t="shared" si="106"/>
        <v>2044</v>
      </c>
      <c r="AC269" s="623">
        <f t="shared" si="106"/>
        <v>2045</v>
      </c>
      <c r="AD269" s="623">
        <f t="shared" si="106"/>
        <v>2046</v>
      </c>
      <c r="AE269" s="623">
        <f t="shared" si="106"/>
        <v>2047</v>
      </c>
      <c r="AF269" s="623">
        <f t="shared" si="106"/>
        <v>2048</v>
      </c>
      <c r="AG269" s="623">
        <f t="shared" si="106"/>
        <v>2049</v>
      </c>
      <c r="AH269" s="623">
        <f t="shared" si="106"/>
        <v>2050</v>
      </c>
      <c r="AI269" s="12"/>
    </row>
    <row r="270" spans="1:37">
      <c r="A270" s="27" t="s">
        <v>59</v>
      </c>
      <c r="B270" s="5"/>
      <c r="C270" s="5"/>
      <c r="D270" s="339">
        <f>DEFAULT!D462</f>
        <v>11201.328000000081</v>
      </c>
      <c r="E270" s="334">
        <v>50</v>
      </c>
      <c r="F270" s="169">
        <v>50</v>
      </c>
      <c r="G270" s="169">
        <v>50</v>
      </c>
      <c r="H270" s="169">
        <v>50</v>
      </c>
      <c r="I270" s="169">
        <v>50</v>
      </c>
      <c r="J270" s="169">
        <v>50</v>
      </c>
      <c r="K270" s="169">
        <v>50</v>
      </c>
      <c r="L270" s="169">
        <v>50</v>
      </c>
      <c r="M270" s="169">
        <v>50</v>
      </c>
      <c r="N270" s="169">
        <v>50</v>
      </c>
      <c r="O270" s="169">
        <v>50</v>
      </c>
      <c r="P270" s="169">
        <v>50</v>
      </c>
      <c r="Q270" s="169">
        <v>50</v>
      </c>
      <c r="R270" s="169">
        <v>50</v>
      </c>
      <c r="S270" s="169">
        <v>50</v>
      </c>
      <c r="T270" s="169">
        <v>50</v>
      </c>
      <c r="U270" s="169">
        <v>50</v>
      </c>
      <c r="V270" s="169">
        <v>50</v>
      </c>
      <c r="W270" s="169">
        <v>50</v>
      </c>
      <c r="X270" s="169">
        <v>50</v>
      </c>
      <c r="Y270" s="169">
        <v>50</v>
      </c>
      <c r="Z270" s="169">
        <v>50</v>
      </c>
      <c r="AA270" s="169">
        <v>50</v>
      </c>
      <c r="AB270" s="169">
        <v>50</v>
      </c>
      <c r="AC270" s="169">
        <v>50</v>
      </c>
      <c r="AD270" s="169">
        <v>50</v>
      </c>
      <c r="AE270" s="169">
        <v>50</v>
      </c>
      <c r="AF270" s="169">
        <v>50</v>
      </c>
      <c r="AG270" s="169">
        <v>50</v>
      </c>
      <c r="AH270" s="169">
        <v>50</v>
      </c>
      <c r="AI270" s="12"/>
    </row>
    <row r="271" spans="1:37">
      <c r="A271" s="63" t="s">
        <v>3</v>
      </c>
      <c r="B271" s="4"/>
      <c r="C271" s="4"/>
      <c r="D271" s="179">
        <v>200</v>
      </c>
      <c r="E271" s="335">
        <v>50</v>
      </c>
      <c r="F271" s="169">
        <v>50</v>
      </c>
      <c r="G271" s="169">
        <v>50</v>
      </c>
      <c r="H271" s="169">
        <v>50</v>
      </c>
      <c r="I271" s="169">
        <v>50</v>
      </c>
      <c r="J271" s="169">
        <v>50</v>
      </c>
      <c r="K271" s="169">
        <v>50</v>
      </c>
      <c r="L271" s="169">
        <v>50</v>
      </c>
      <c r="M271" s="169">
        <v>50</v>
      </c>
      <c r="N271" s="169">
        <v>50</v>
      </c>
      <c r="O271" s="169">
        <v>50</v>
      </c>
      <c r="P271" s="169">
        <v>50</v>
      </c>
      <c r="Q271" s="169">
        <v>50</v>
      </c>
      <c r="R271" s="169">
        <v>50</v>
      </c>
      <c r="S271" s="169">
        <v>50</v>
      </c>
      <c r="T271" s="169">
        <v>50</v>
      </c>
      <c r="U271" s="169">
        <v>50</v>
      </c>
      <c r="V271" s="169">
        <v>50</v>
      </c>
      <c r="W271" s="169">
        <v>50</v>
      </c>
      <c r="X271" s="169">
        <v>50</v>
      </c>
      <c r="Y271" s="169">
        <v>50</v>
      </c>
      <c r="Z271" s="169">
        <v>50</v>
      </c>
      <c r="AA271" s="169">
        <v>50</v>
      </c>
      <c r="AB271" s="169">
        <v>50</v>
      </c>
      <c r="AC271" s="169">
        <v>50</v>
      </c>
      <c r="AD271" s="169">
        <v>50</v>
      </c>
      <c r="AE271" s="169">
        <v>50</v>
      </c>
      <c r="AF271" s="169">
        <v>50</v>
      </c>
      <c r="AG271" s="169">
        <v>50</v>
      </c>
      <c r="AH271" s="169">
        <v>50</v>
      </c>
      <c r="AI271" s="12"/>
    </row>
    <row r="272" spans="1:37">
      <c r="A272" s="551" t="s">
        <v>618</v>
      </c>
      <c r="B272" s="131"/>
      <c r="C272" s="131"/>
      <c r="D272" s="340"/>
      <c r="E272" s="322">
        <f>(E270/100*$D$270)+(E271/100*$D$271)</f>
        <v>5700.6640000000407</v>
      </c>
      <c r="F272" s="169">
        <f t="shared" ref="F272:AH272" si="107">(F270/100*$D$270)+(F271/100*$D$271)</f>
        <v>5700.6640000000407</v>
      </c>
      <c r="G272" s="169">
        <f t="shared" si="107"/>
        <v>5700.6640000000407</v>
      </c>
      <c r="H272" s="169">
        <f t="shared" si="107"/>
        <v>5700.6640000000407</v>
      </c>
      <c r="I272" s="169">
        <f t="shared" si="107"/>
        <v>5700.6640000000407</v>
      </c>
      <c r="J272" s="169">
        <f t="shared" si="107"/>
        <v>5700.6640000000407</v>
      </c>
      <c r="K272" s="169">
        <f t="shared" si="107"/>
        <v>5700.6640000000407</v>
      </c>
      <c r="L272" s="169">
        <f t="shared" si="107"/>
        <v>5700.6640000000407</v>
      </c>
      <c r="M272" s="169">
        <f t="shared" si="107"/>
        <v>5700.6640000000407</v>
      </c>
      <c r="N272" s="169">
        <f t="shared" si="107"/>
        <v>5700.6640000000407</v>
      </c>
      <c r="O272" s="169">
        <f t="shared" si="107"/>
        <v>5700.6640000000407</v>
      </c>
      <c r="P272" s="169">
        <f t="shared" si="107"/>
        <v>5700.6640000000407</v>
      </c>
      <c r="Q272" s="169">
        <f t="shared" si="107"/>
        <v>5700.6640000000407</v>
      </c>
      <c r="R272" s="169">
        <f t="shared" si="107"/>
        <v>5700.6640000000407</v>
      </c>
      <c r="S272" s="169">
        <f t="shared" si="107"/>
        <v>5700.6640000000407</v>
      </c>
      <c r="T272" s="169">
        <f t="shared" si="107"/>
        <v>5700.6640000000407</v>
      </c>
      <c r="U272" s="169">
        <f t="shared" si="107"/>
        <v>5700.6640000000407</v>
      </c>
      <c r="V272" s="169">
        <f t="shared" si="107"/>
        <v>5700.6640000000407</v>
      </c>
      <c r="W272" s="169">
        <f t="shared" si="107"/>
        <v>5700.6640000000407</v>
      </c>
      <c r="X272" s="169">
        <f t="shared" si="107"/>
        <v>5700.6640000000407</v>
      </c>
      <c r="Y272" s="169">
        <f t="shared" si="107"/>
        <v>5700.6640000000407</v>
      </c>
      <c r="Z272" s="169">
        <f t="shared" si="107"/>
        <v>5700.6640000000407</v>
      </c>
      <c r="AA272" s="169">
        <f t="shared" si="107"/>
        <v>5700.6640000000407</v>
      </c>
      <c r="AB272" s="169">
        <f t="shared" si="107"/>
        <v>5700.6640000000407</v>
      </c>
      <c r="AC272" s="169">
        <f t="shared" si="107"/>
        <v>5700.6640000000407</v>
      </c>
      <c r="AD272" s="169">
        <f t="shared" si="107"/>
        <v>5700.6640000000407</v>
      </c>
      <c r="AE272" s="169">
        <f t="shared" si="107"/>
        <v>5700.6640000000407</v>
      </c>
      <c r="AF272" s="169">
        <f t="shared" si="107"/>
        <v>5700.6640000000407</v>
      </c>
      <c r="AG272" s="169">
        <f t="shared" si="107"/>
        <v>5700.6640000000407</v>
      </c>
      <c r="AH272" s="169">
        <f t="shared" si="107"/>
        <v>5700.6640000000407</v>
      </c>
      <c r="AI272" s="139"/>
    </row>
    <row r="273" spans="1:52">
      <c r="A273" s="43"/>
      <c r="B273" s="131"/>
      <c r="C273" s="131"/>
      <c r="D273" s="340"/>
      <c r="E273" s="464"/>
      <c r="F273" s="464"/>
      <c r="G273" s="464"/>
      <c r="H273" s="464"/>
      <c r="I273" s="464"/>
      <c r="J273" s="464"/>
      <c r="K273" s="464"/>
      <c r="L273" s="464"/>
      <c r="M273" s="464"/>
      <c r="N273" s="464"/>
      <c r="O273" s="464"/>
      <c r="P273" s="464"/>
      <c r="Q273" s="464"/>
      <c r="R273" s="464"/>
      <c r="S273" s="464"/>
      <c r="T273" s="464"/>
      <c r="U273" s="464"/>
      <c r="V273" s="464"/>
      <c r="W273" s="464"/>
      <c r="X273" s="464"/>
      <c r="Y273" s="464"/>
      <c r="Z273" s="464"/>
      <c r="AA273" s="464"/>
      <c r="AB273" s="464"/>
      <c r="AC273" s="464"/>
      <c r="AD273" s="464"/>
      <c r="AE273" s="464"/>
      <c r="AF273" s="464"/>
      <c r="AG273" s="464"/>
      <c r="AH273" s="464"/>
      <c r="AI273" s="139"/>
    </row>
    <row r="274" spans="1:52">
      <c r="A274" s="128" t="s">
        <v>617</v>
      </c>
      <c r="B274" s="246"/>
      <c r="C274" s="246"/>
      <c r="D274" s="554"/>
      <c r="E274" s="550">
        <v>2021</v>
      </c>
      <c r="F274" s="550">
        <f>E274+1</f>
        <v>2022</v>
      </c>
      <c r="G274" s="550">
        <f t="shared" ref="G274:AH274" si="108">F274+1</f>
        <v>2023</v>
      </c>
      <c r="H274" s="550">
        <f t="shared" si="108"/>
        <v>2024</v>
      </c>
      <c r="I274" s="550">
        <f t="shared" si="108"/>
        <v>2025</v>
      </c>
      <c r="J274" s="550">
        <f t="shared" si="108"/>
        <v>2026</v>
      </c>
      <c r="K274" s="550">
        <f t="shared" si="108"/>
        <v>2027</v>
      </c>
      <c r="L274" s="550">
        <f t="shared" si="108"/>
        <v>2028</v>
      </c>
      <c r="M274" s="550">
        <f t="shared" si="108"/>
        <v>2029</v>
      </c>
      <c r="N274" s="550">
        <f t="shared" si="108"/>
        <v>2030</v>
      </c>
      <c r="O274" s="550">
        <f t="shared" si="108"/>
        <v>2031</v>
      </c>
      <c r="P274" s="550">
        <f t="shared" si="108"/>
        <v>2032</v>
      </c>
      <c r="Q274" s="550">
        <f t="shared" si="108"/>
        <v>2033</v>
      </c>
      <c r="R274" s="550">
        <f t="shared" si="108"/>
        <v>2034</v>
      </c>
      <c r="S274" s="550">
        <f t="shared" si="108"/>
        <v>2035</v>
      </c>
      <c r="T274" s="550">
        <f t="shared" si="108"/>
        <v>2036</v>
      </c>
      <c r="U274" s="550">
        <f t="shared" si="108"/>
        <v>2037</v>
      </c>
      <c r="V274" s="550">
        <f t="shared" si="108"/>
        <v>2038</v>
      </c>
      <c r="W274" s="550">
        <f t="shared" si="108"/>
        <v>2039</v>
      </c>
      <c r="X274" s="550">
        <f t="shared" si="108"/>
        <v>2040</v>
      </c>
      <c r="Y274" s="550">
        <f t="shared" si="108"/>
        <v>2041</v>
      </c>
      <c r="Z274" s="550">
        <f t="shared" si="108"/>
        <v>2042</v>
      </c>
      <c r="AA274" s="550">
        <f t="shared" si="108"/>
        <v>2043</v>
      </c>
      <c r="AB274" s="550">
        <f t="shared" si="108"/>
        <v>2044</v>
      </c>
      <c r="AC274" s="550">
        <f t="shared" si="108"/>
        <v>2045</v>
      </c>
      <c r="AD274" s="550">
        <f t="shared" si="108"/>
        <v>2046</v>
      </c>
      <c r="AE274" s="550">
        <f t="shared" si="108"/>
        <v>2047</v>
      </c>
      <c r="AF274" s="550">
        <f t="shared" si="108"/>
        <v>2048</v>
      </c>
      <c r="AG274" s="550">
        <f t="shared" si="108"/>
        <v>2049</v>
      </c>
      <c r="AH274" s="550">
        <f t="shared" si="108"/>
        <v>2050</v>
      </c>
      <c r="AI274" s="139"/>
    </row>
    <row r="275" spans="1:52">
      <c r="A275" s="551" t="s">
        <v>453</v>
      </c>
      <c r="B275" s="552" t="s">
        <v>199</v>
      </c>
      <c r="C275" s="553"/>
      <c r="D275" s="340"/>
      <c r="E275" s="169">
        <f>E272</f>
        <v>5700.6640000000407</v>
      </c>
      <c r="F275" s="169">
        <f t="shared" ref="F275:AH275" si="109">F272</f>
        <v>5700.6640000000407</v>
      </c>
      <c r="G275" s="169">
        <f t="shared" si="109"/>
        <v>5700.6640000000407</v>
      </c>
      <c r="H275" s="169">
        <f t="shared" si="109"/>
        <v>5700.6640000000407</v>
      </c>
      <c r="I275" s="169">
        <f t="shared" si="109"/>
        <v>5700.6640000000407</v>
      </c>
      <c r="J275" s="169">
        <f t="shared" si="109"/>
        <v>5700.6640000000407</v>
      </c>
      <c r="K275" s="169">
        <f t="shared" si="109"/>
        <v>5700.6640000000407</v>
      </c>
      <c r="L275" s="169">
        <f t="shared" si="109"/>
        <v>5700.6640000000407</v>
      </c>
      <c r="M275" s="169">
        <f t="shared" si="109"/>
        <v>5700.6640000000407</v>
      </c>
      <c r="N275" s="169">
        <f t="shared" si="109"/>
        <v>5700.6640000000407</v>
      </c>
      <c r="O275" s="169">
        <f t="shared" si="109"/>
        <v>5700.6640000000407</v>
      </c>
      <c r="P275" s="169">
        <f t="shared" si="109"/>
        <v>5700.6640000000407</v>
      </c>
      <c r="Q275" s="169">
        <f t="shared" si="109"/>
        <v>5700.6640000000407</v>
      </c>
      <c r="R275" s="169">
        <f t="shared" si="109"/>
        <v>5700.6640000000407</v>
      </c>
      <c r="S275" s="169">
        <f t="shared" si="109"/>
        <v>5700.6640000000407</v>
      </c>
      <c r="T275" s="169">
        <f t="shared" si="109"/>
        <v>5700.6640000000407</v>
      </c>
      <c r="U275" s="169">
        <f t="shared" si="109"/>
        <v>5700.6640000000407</v>
      </c>
      <c r="V275" s="169">
        <f t="shared" si="109"/>
        <v>5700.6640000000407</v>
      </c>
      <c r="W275" s="169">
        <f t="shared" si="109"/>
        <v>5700.6640000000407</v>
      </c>
      <c r="X275" s="169">
        <f t="shared" si="109"/>
        <v>5700.6640000000407</v>
      </c>
      <c r="Y275" s="169">
        <f t="shared" si="109"/>
        <v>5700.6640000000407</v>
      </c>
      <c r="Z275" s="169">
        <f t="shared" si="109"/>
        <v>5700.6640000000407</v>
      </c>
      <c r="AA275" s="169">
        <f t="shared" si="109"/>
        <v>5700.6640000000407</v>
      </c>
      <c r="AB275" s="169">
        <f t="shared" si="109"/>
        <v>5700.6640000000407</v>
      </c>
      <c r="AC275" s="169">
        <f t="shared" si="109"/>
        <v>5700.6640000000407</v>
      </c>
      <c r="AD275" s="169">
        <f t="shared" si="109"/>
        <v>5700.6640000000407</v>
      </c>
      <c r="AE275" s="169">
        <f t="shared" si="109"/>
        <v>5700.6640000000407</v>
      </c>
      <c r="AF275" s="169">
        <f t="shared" si="109"/>
        <v>5700.6640000000407</v>
      </c>
      <c r="AG275" s="169">
        <f t="shared" si="109"/>
        <v>5700.6640000000407</v>
      </c>
      <c r="AH275" s="169">
        <f t="shared" si="109"/>
        <v>5700.6640000000407</v>
      </c>
      <c r="AI275" s="139"/>
    </row>
    <row r="276" spans="1:52">
      <c r="A276" s="551" t="s">
        <v>452</v>
      </c>
      <c r="B276" s="552" t="s">
        <v>77</v>
      </c>
      <c r="C276" s="553"/>
      <c r="D276" s="340"/>
      <c r="E276" s="170">
        <f>E261*1000</f>
        <v>3.6022238879212257E-2</v>
      </c>
      <c r="F276" s="170">
        <f t="shared" ref="F276:AH276" si="110">F261*1000</f>
        <v>3.6022238879212257E-2</v>
      </c>
      <c r="G276" s="170">
        <f t="shared" si="110"/>
        <v>3.6022238879212257E-2</v>
      </c>
      <c r="H276" s="170">
        <f t="shared" si="110"/>
        <v>3.6022238879212257E-2</v>
      </c>
      <c r="I276" s="170">
        <f t="shared" si="110"/>
        <v>3.6022238879212257E-2</v>
      </c>
      <c r="J276" s="170">
        <f t="shared" si="110"/>
        <v>3.6022238879212257E-2</v>
      </c>
      <c r="K276" s="170">
        <f t="shared" si="110"/>
        <v>3.6022238879212257E-2</v>
      </c>
      <c r="L276" s="170">
        <f t="shared" si="110"/>
        <v>3.6022238879212257E-2</v>
      </c>
      <c r="M276" s="170">
        <f t="shared" si="110"/>
        <v>3.6022238879212257E-2</v>
      </c>
      <c r="N276" s="170">
        <f t="shared" si="110"/>
        <v>3.6022238879212257E-2</v>
      </c>
      <c r="O276" s="170">
        <f t="shared" si="110"/>
        <v>3.6022238879212257E-2</v>
      </c>
      <c r="P276" s="170">
        <f t="shared" si="110"/>
        <v>3.6022238879212257E-2</v>
      </c>
      <c r="Q276" s="170">
        <f t="shared" si="110"/>
        <v>3.6022238879212257E-2</v>
      </c>
      <c r="R276" s="170">
        <f t="shared" si="110"/>
        <v>3.6022238879212257E-2</v>
      </c>
      <c r="S276" s="170">
        <f t="shared" si="110"/>
        <v>3.6022238879212257E-2</v>
      </c>
      <c r="T276" s="170">
        <f t="shared" si="110"/>
        <v>3.6022238879212257E-2</v>
      </c>
      <c r="U276" s="170">
        <f t="shared" si="110"/>
        <v>3.6022238879212257E-2</v>
      </c>
      <c r="V276" s="170">
        <f t="shared" si="110"/>
        <v>3.6022238879212257E-2</v>
      </c>
      <c r="W276" s="170">
        <f t="shared" si="110"/>
        <v>3.6022238879212257E-2</v>
      </c>
      <c r="X276" s="170">
        <f t="shared" si="110"/>
        <v>3.6022238879212257E-2</v>
      </c>
      <c r="Y276" s="170">
        <f t="shared" si="110"/>
        <v>3.6022238879212257E-2</v>
      </c>
      <c r="Z276" s="170">
        <f t="shared" si="110"/>
        <v>3.6022238879212257E-2</v>
      </c>
      <c r="AA276" s="170">
        <f t="shared" si="110"/>
        <v>3.6022238879212257E-2</v>
      </c>
      <c r="AB276" s="170">
        <f t="shared" si="110"/>
        <v>3.6022238879212257E-2</v>
      </c>
      <c r="AC276" s="170">
        <f t="shared" si="110"/>
        <v>3.6022238879212257E-2</v>
      </c>
      <c r="AD276" s="170">
        <f t="shared" si="110"/>
        <v>3.6022238879212257E-2</v>
      </c>
      <c r="AE276" s="170">
        <f t="shared" si="110"/>
        <v>3.6022238879212257E-2</v>
      </c>
      <c r="AF276" s="170">
        <f t="shared" si="110"/>
        <v>3.6022238879212257E-2</v>
      </c>
      <c r="AG276" s="170">
        <f t="shared" si="110"/>
        <v>3.6022238879212257E-2</v>
      </c>
      <c r="AH276" s="170">
        <f t="shared" si="110"/>
        <v>3.6022238879212257E-2</v>
      </c>
      <c r="AI276" s="139"/>
    </row>
    <row r="277" spans="1:52">
      <c r="A277" s="639" t="s">
        <v>666</v>
      </c>
      <c r="B277" s="635" t="s">
        <v>198</v>
      </c>
      <c r="C277" s="636"/>
      <c r="D277" s="637"/>
      <c r="E277" s="559">
        <f>E275*E276/1000</f>
        <v>0.20535068037812712</v>
      </c>
      <c r="F277" s="559">
        <f t="shared" ref="F277:AH277" si="111">F275*F276/1000</f>
        <v>0.20535068037812712</v>
      </c>
      <c r="G277" s="559">
        <f t="shared" si="111"/>
        <v>0.20535068037812712</v>
      </c>
      <c r="H277" s="559">
        <f t="shared" si="111"/>
        <v>0.20535068037812712</v>
      </c>
      <c r="I277" s="559">
        <f t="shared" si="111"/>
        <v>0.20535068037812712</v>
      </c>
      <c r="J277" s="559">
        <f t="shared" si="111"/>
        <v>0.20535068037812712</v>
      </c>
      <c r="K277" s="559">
        <f t="shared" si="111"/>
        <v>0.20535068037812712</v>
      </c>
      <c r="L277" s="559">
        <f t="shared" si="111"/>
        <v>0.20535068037812712</v>
      </c>
      <c r="M277" s="559">
        <f t="shared" si="111"/>
        <v>0.20535068037812712</v>
      </c>
      <c r="N277" s="559">
        <f t="shared" si="111"/>
        <v>0.20535068037812712</v>
      </c>
      <c r="O277" s="559">
        <f t="shared" si="111"/>
        <v>0.20535068037812712</v>
      </c>
      <c r="P277" s="559">
        <f t="shared" si="111"/>
        <v>0.20535068037812712</v>
      </c>
      <c r="Q277" s="559">
        <f t="shared" si="111"/>
        <v>0.20535068037812712</v>
      </c>
      <c r="R277" s="559">
        <f t="shared" si="111"/>
        <v>0.20535068037812712</v>
      </c>
      <c r="S277" s="559">
        <f t="shared" si="111"/>
        <v>0.20535068037812712</v>
      </c>
      <c r="T277" s="559">
        <f t="shared" si="111"/>
        <v>0.20535068037812712</v>
      </c>
      <c r="U277" s="559">
        <f t="shared" si="111"/>
        <v>0.20535068037812712</v>
      </c>
      <c r="V277" s="559">
        <f t="shared" si="111"/>
        <v>0.20535068037812712</v>
      </c>
      <c r="W277" s="559">
        <f t="shared" si="111"/>
        <v>0.20535068037812712</v>
      </c>
      <c r="X277" s="559">
        <f t="shared" si="111"/>
        <v>0.20535068037812712</v>
      </c>
      <c r="Y277" s="559">
        <f t="shared" si="111"/>
        <v>0.20535068037812712</v>
      </c>
      <c r="Z277" s="559">
        <f t="shared" si="111"/>
        <v>0.20535068037812712</v>
      </c>
      <c r="AA277" s="559">
        <f t="shared" si="111"/>
        <v>0.20535068037812712</v>
      </c>
      <c r="AB277" s="559">
        <f t="shared" si="111"/>
        <v>0.20535068037812712</v>
      </c>
      <c r="AC277" s="559">
        <f t="shared" si="111"/>
        <v>0.20535068037812712</v>
      </c>
      <c r="AD277" s="559">
        <f t="shared" si="111"/>
        <v>0.20535068037812712</v>
      </c>
      <c r="AE277" s="559">
        <f t="shared" si="111"/>
        <v>0.20535068037812712</v>
      </c>
      <c r="AF277" s="559">
        <f t="shared" si="111"/>
        <v>0.20535068037812712</v>
      </c>
      <c r="AG277" s="559">
        <f t="shared" si="111"/>
        <v>0.20535068037812712</v>
      </c>
      <c r="AH277" s="559">
        <f t="shared" si="111"/>
        <v>0.20535068037812712</v>
      </c>
      <c r="AI277" s="12"/>
    </row>
    <row r="278" spans="1:52" ht="15.75" thickBot="1">
      <c r="A278" s="15"/>
      <c r="B278" s="16"/>
      <c r="C278" s="16"/>
      <c r="D278" s="326"/>
      <c r="E278" s="158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7"/>
      <c r="AH278" s="16"/>
      <c r="AI278" s="20"/>
    </row>
    <row r="279" spans="1:52" s="6" customFormat="1" ht="15.75" thickBot="1">
      <c r="A279" s="7"/>
      <c r="E279" s="143"/>
      <c r="AG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</row>
    <row r="280" spans="1:52" s="6" customFormat="1" ht="19.5" thickBot="1">
      <c r="A280" s="766" t="s">
        <v>473</v>
      </c>
      <c r="B280" s="767"/>
      <c r="C280" s="767"/>
      <c r="D280" s="767"/>
      <c r="E280" s="767"/>
      <c r="F280" s="767"/>
      <c r="G280" s="767"/>
      <c r="H280" s="767"/>
      <c r="I280" s="767"/>
      <c r="J280" s="767"/>
      <c r="K280" s="767"/>
      <c r="L280" s="767"/>
      <c r="M280" s="767"/>
      <c r="N280" s="767"/>
      <c r="O280" s="767"/>
      <c r="P280" s="767"/>
      <c r="Q280" s="767"/>
      <c r="R280" s="767"/>
      <c r="S280" s="767"/>
      <c r="T280" s="767"/>
      <c r="U280" s="767"/>
      <c r="V280" s="767"/>
      <c r="W280" s="767"/>
      <c r="X280" s="767"/>
      <c r="Y280" s="767"/>
      <c r="Z280" s="767"/>
      <c r="AA280" s="767"/>
      <c r="AB280" s="767"/>
      <c r="AC280" s="767"/>
      <c r="AD280" s="767"/>
      <c r="AE280" s="767"/>
      <c r="AF280" s="767"/>
      <c r="AG280" s="767"/>
      <c r="AH280" s="767"/>
      <c r="AI280" s="768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</row>
    <row r="281" spans="1:52" s="6" customFormat="1" ht="14.45" customHeight="1">
      <c r="A281" s="24" t="s">
        <v>474</v>
      </c>
      <c r="B281" s="120"/>
      <c r="C281" s="120"/>
      <c r="D281" s="336"/>
      <c r="E281" s="120"/>
      <c r="F281" s="120"/>
      <c r="G281" s="120"/>
      <c r="H281" s="120"/>
      <c r="I281" s="120"/>
      <c r="J281" s="120"/>
      <c r="K281" s="120"/>
      <c r="L281" s="120"/>
      <c r="M281" s="120"/>
      <c r="N281" s="120"/>
      <c r="O281" s="120"/>
      <c r="P281" s="120"/>
      <c r="Q281" s="120"/>
      <c r="R281" s="120"/>
      <c r="S281" s="120"/>
      <c r="T281" s="120"/>
      <c r="U281" s="120"/>
      <c r="V281" s="120"/>
      <c r="W281" s="120"/>
      <c r="X281" s="120"/>
      <c r="Y281" s="120"/>
      <c r="Z281" s="120"/>
      <c r="AA281" s="120"/>
      <c r="AB281" s="120"/>
      <c r="AC281" s="120"/>
      <c r="AD281" s="120"/>
      <c r="AE281" s="120"/>
      <c r="AF281" s="120"/>
      <c r="AG281" s="120"/>
      <c r="AH281" s="120"/>
      <c r="AI281" s="123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</row>
    <row r="282" spans="1:52" s="6" customFormat="1" ht="14.45" customHeight="1">
      <c r="A282" s="63" t="s">
        <v>125</v>
      </c>
      <c r="B282" s="565"/>
      <c r="C282" s="565"/>
      <c r="D282" s="566"/>
      <c r="E282" s="64">
        <v>2021</v>
      </c>
      <c r="F282" s="64">
        <f t="shared" ref="F282:AH282" si="112">E282+1</f>
        <v>2022</v>
      </c>
      <c r="G282" s="64">
        <f t="shared" si="112"/>
        <v>2023</v>
      </c>
      <c r="H282" s="64">
        <f t="shared" si="112"/>
        <v>2024</v>
      </c>
      <c r="I282" s="64">
        <f t="shared" si="112"/>
        <v>2025</v>
      </c>
      <c r="J282" s="64">
        <f t="shared" si="112"/>
        <v>2026</v>
      </c>
      <c r="K282" s="64">
        <f t="shared" si="112"/>
        <v>2027</v>
      </c>
      <c r="L282" s="64">
        <f t="shared" si="112"/>
        <v>2028</v>
      </c>
      <c r="M282" s="64">
        <f t="shared" si="112"/>
        <v>2029</v>
      </c>
      <c r="N282" s="64">
        <f t="shared" si="112"/>
        <v>2030</v>
      </c>
      <c r="O282" s="64">
        <f t="shared" si="112"/>
        <v>2031</v>
      </c>
      <c r="P282" s="64">
        <f t="shared" si="112"/>
        <v>2032</v>
      </c>
      <c r="Q282" s="64">
        <f t="shared" si="112"/>
        <v>2033</v>
      </c>
      <c r="R282" s="64">
        <f t="shared" si="112"/>
        <v>2034</v>
      </c>
      <c r="S282" s="64">
        <f t="shared" si="112"/>
        <v>2035</v>
      </c>
      <c r="T282" s="64">
        <f t="shared" si="112"/>
        <v>2036</v>
      </c>
      <c r="U282" s="64">
        <f t="shared" si="112"/>
        <v>2037</v>
      </c>
      <c r="V282" s="64">
        <f t="shared" si="112"/>
        <v>2038</v>
      </c>
      <c r="W282" s="64">
        <f t="shared" si="112"/>
        <v>2039</v>
      </c>
      <c r="X282" s="64">
        <f t="shared" si="112"/>
        <v>2040</v>
      </c>
      <c r="Y282" s="64">
        <f t="shared" si="112"/>
        <v>2041</v>
      </c>
      <c r="Z282" s="64">
        <f t="shared" si="112"/>
        <v>2042</v>
      </c>
      <c r="AA282" s="64">
        <f t="shared" si="112"/>
        <v>2043</v>
      </c>
      <c r="AB282" s="64">
        <f t="shared" si="112"/>
        <v>2044</v>
      </c>
      <c r="AC282" s="64">
        <f t="shared" si="112"/>
        <v>2045</v>
      </c>
      <c r="AD282" s="64">
        <f t="shared" si="112"/>
        <v>2046</v>
      </c>
      <c r="AE282" s="64">
        <f t="shared" si="112"/>
        <v>2047</v>
      </c>
      <c r="AF282" s="64">
        <f t="shared" si="112"/>
        <v>2048</v>
      </c>
      <c r="AG282" s="64">
        <f t="shared" si="112"/>
        <v>2049</v>
      </c>
      <c r="AH282" s="64">
        <f t="shared" si="112"/>
        <v>2050</v>
      </c>
      <c r="AI282" s="123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</row>
    <row r="283" spans="1:52" s="6" customFormat="1" ht="14.45" customHeight="1">
      <c r="A283" s="43" t="s">
        <v>717</v>
      </c>
      <c r="B283" s="120"/>
      <c r="C283" s="120"/>
      <c r="D283" s="338"/>
      <c r="E283" s="753">
        <f>INDEX(DEFAULT!E481:AJ481,1,'USER INPUTS'!B4)*'LOCAL DATASET INPUTS'!E10/1000000</f>
        <v>6.2636813793425761</v>
      </c>
      <c r="F283" s="153">
        <f>((100+INDEX(DEFAULT!$E$493:$AJ$495,1,'USER INPUTS'!$B$4))/100)*E283</f>
        <v>6.4202734138261395</v>
      </c>
      <c r="G283" s="153">
        <f>((100+INDEX(DEFAULT!$E$493:$AJ$495,1,'USER INPUTS'!$B$4))/100)*F283</f>
        <v>6.5807802491717924</v>
      </c>
      <c r="H283" s="153">
        <f>((100+INDEX(DEFAULT!$E$493:$AJ$495,1,'USER INPUTS'!$B$4))/100)*G283</f>
        <v>6.7452997554010867</v>
      </c>
      <c r="I283" s="153">
        <f>((100+INDEX(DEFAULT!$E$493:$AJ$495,1,'USER INPUTS'!$B$4))/100)*H283</f>
        <v>6.9139322492861135</v>
      </c>
      <c r="J283" s="153">
        <f>((100+INDEX(DEFAULT!$E$493:$AJ$495,1,'USER INPUTS'!$B$4))/100)*I283</f>
        <v>7.0867805555182661</v>
      </c>
      <c r="K283" s="153">
        <f>((100+INDEX(DEFAULT!$E$493:$AJ$495,1,'USER INPUTS'!$B$4))/100)*J283</f>
        <v>7.2639500694062225</v>
      </c>
      <c r="L283" s="153">
        <f>((100+INDEX(DEFAULT!$E$493:$AJ$495,1,'USER INPUTS'!$B$4))/100)*K283</f>
        <v>7.4455488211413776</v>
      </c>
      <c r="M283" s="153">
        <f>((100+INDEX(DEFAULT!$E$493:$AJ$495,1,'USER INPUTS'!$B$4))/100)*L283</f>
        <v>7.631687541669911</v>
      </c>
      <c r="N283" s="153">
        <f>((100+INDEX(DEFAULT!$E$493:$AJ$495,1,'USER INPUTS'!$B$4))/100)*M283</f>
        <v>7.8224797302116578</v>
      </c>
      <c r="O283" s="153">
        <f>((100+INDEX(DEFAULT!$E$493:$AJ$495,2,'USER INPUTS'!$B$4))/100)*N283</f>
        <v>7.9241719667044084</v>
      </c>
      <c r="P283" s="153">
        <f>((100+INDEX(DEFAULT!$E$493:$AJ$495,2,'USER INPUTS'!$B$4))/100)*O283</f>
        <v>8.0271862022715652</v>
      </c>
      <c r="Q283" s="153">
        <f>((100+INDEX(DEFAULT!$E$493:$AJ$495,2,'USER INPUTS'!$B$4))/100)*P283</f>
        <v>8.1315396229010943</v>
      </c>
      <c r="R283" s="153">
        <f>((100+INDEX(DEFAULT!$E$493:$AJ$495,2,'USER INPUTS'!$B$4))/100)*Q283</f>
        <v>8.2372496379988078</v>
      </c>
      <c r="S283" s="153">
        <f>((100+INDEX(DEFAULT!$E$493:$AJ$495,2,'USER INPUTS'!$B$4))/100)*R283</f>
        <v>8.3443338832927907</v>
      </c>
      <c r="T283" s="153">
        <f>((100+INDEX(DEFAULT!$E$493:$AJ$495,2,'USER INPUTS'!$B$4))/100)*S283</f>
        <v>8.4528102237755967</v>
      </c>
      <c r="U283" s="153">
        <f>((100+INDEX(DEFAULT!$E$493:$AJ$495,2,'USER INPUTS'!$B$4))/100)*T283</f>
        <v>8.5626967566846783</v>
      </c>
      <c r="V283" s="153">
        <f>((100+INDEX(DEFAULT!$E$493:$AJ$495,2,'USER INPUTS'!$B$4))/100)*U283</f>
        <v>8.6740118145215774</v>
      </c>
      <c r="W283" s="153">
        <f>((100+INDEX(DEFAULT!$E$493:$AJ$495,2,'USER INPUTS'!$B$4))/100)*V283</f>
        <v>8.7867739681103565</v>
      </c>
      <c r="X283" s="153">
        <f>((100+INDEX(DEFAULT!$E$493:$AJ$495,2,'USER INPUTS'!$B$4))/100)*W283</f>
        <v>8.9010020296957908</v>
      </c>
      <c r="Y283" s="153">
        <f>((100+INDEX(DEFAULT!$E$493:$AJ$495,3,'USER INPUTS'!$B$4))/100)*X283</f>
        <v>9.0167150560818357</v>
      </c>
      <c r="Z283" s="153">
        <f>((100+INDEX(DEFAULT!$E$493:$AJ$495,3,'USER INPUTS'!$B$4))/100)*Y283</f>
        <v>9.1339323518108984</v>
      </c>
      <c r="AA283" s="153">
        <f>((100+INDEX(DEFAULT!$E$493:$AJ$495,3,'USER INPUTS'!$B$4))/100)*Z283</f>
        <v>9.2526734723844388</v>
      </c>
      <c r="AB283" s="153">
        <f>((100+INDEX(DEFAULT!$E$493:$AJ$495,3,'USER INPUTS'!$B$4))/100)*AA283</f>
        <v>9.3729582275254355</v>
      </c>
      <c r="AC283" s="153">
        <f>((100+INDEX(DEFAULT!$E$493:$AJ$495,3,'USER INPUTS'!$B$4))/100)*AB283</f>
        <v>9.4948066844832653</v>
      </c>
      <c r="AD283" s="153">
        <f>((100+INDEX(DEFAULT!$E$493:$AJ$495,3,'USER INPUTS'!$B$4))/100)*AC283</f>
        <v>9.6182391713815463</v>
      </c>
      <c r="AE283" s="153">
        <f>((100+INDEX(DEFAULT!$E$493:$AJ$495,3,'USER INPUTS'!$B$4))/100)*AD283</f>
        <v>9.7432762806095052</v>
      </c>
      <c r="AF283" s="153">
        <f>((100+INDEX(DEFAULT!$E$493:$AJ$495,3,'USER INPUTS'!$B$4))/100)*AE283</f>
        <v>9.8699388722574284</v>
      </c>
      <c r="AG283" s="153">
        <f>((100+INDEX(DEFAULT!$E$493:$AJ$495,3,'USER INPUTS'!$B$4))/100)*AF283</f>
        <v>9.9982480775967737</v>
      </c>
      <c r="AH283" s="153">
        <f>((100+INDEX(DEFAULT!$E$493:$AJ$495,3,'USER INPUTS'!$B$4))/100)*AG283</f>
        <v>10.12822530260553</v>
      </c>
      <c r="AI283" s="123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</row>
    <row r="284" spans="1:52" s="6" customFormat="1" ht="14.45" customHeight="1">
      <c r="A284" s="122"/>
      <c r="B284" s="120"/>
      <c r="C284" s="120"/>
      <c r="D284" s="338"/>
      <c r="E284" s="120"/>
      <c r="F284" s="120"/>
      <c r="G284" s="120"/>
      <c r="H284" s="120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120"/>
      <c r="AE284" s="120"/>
      <c r="AF284" s="120"/>
      <c r="AG284" s="120"/>
      <c r="AH284" s="120"/>
      <c r="AI284" s="123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</row>
    <row r="285" spans="1:52">
      <c r="A285" s="43" t="s">
        <v>623</v>
      </c>
      <c r="B285" s="41"/>
      <c r="C285" s="41"/>
      <c r="D285" s="298"/>
      <c r="E285" s="41" t="s">
        <v>0</v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42"/>
    </row>
    <row r="286" spans="1:52">
      <c r="A286" s="63" t="s">
        <v>579</v>
      </c>
      <c r="B286" s="522"/>
      <c r="C286" s="522"/>
      <c r="D286" s="77"/>
      <c r="E286" s="64">
        <v>2021</v>
      </c>
      <c r="F286" s="525">
        <f t="shared" ref="F286:AH286" si="113">E286+1</f>
        <v>2022</v>
      </c>
      <c r="G286" s="64">
        <f t="shared" si="113"/>
        <v>2023</v>
      </c>
      <c r="H286" s="64">
        <f t="shared" si="113"/>
        <v>2024</v>
      </c>
      <c r="I286" s="64">
        <f t="shared" si="113"/>
        <v>2025</v>
      </c>
      <c r="J286" s="64">
        <f t="shared" si="113"/>
        <v>2026</v>
      </c>
      <c r="K286" s="64">
        <f t="shared" si="113"/>
        <v>2027</v>
      </c>
      <c r="L286" s="64">
        <f t="shared" si="113"/>
        <v>2028</v>
      </c>
      <c r="M286" s="64">
        <f t="shared" si="113"/>
        <v>2029</v>
      </c>
      <c r="N286" s="64">
        <f t="shared" si="113"/>
        <v>2030</v>
      </c>
      <c r="O286" s="64">
        <f t="shared" si="113"/>
        <v>2031</v>
      </c>
      <c r="P286" s="64">
        <f t="shared" si="113"/>
        <v>2032</v>
      </c>
      <c r="Q286" s="64">
        <f t="shared" si="113"/>
        <v>2033</v>
      </c>
      <c r="R286" s="64">
        <f t="shared" si="113"/>
        <v>2034</v>
      </c>
      <c r="S286" s="64">
        <f t="shared" si="113"/>
        <v>2035</v>
      </c>
      <c r="T286" s="64">
        <f t="shared" si="113"/>
        <v>2036</v>
      </c>
      <c r="U286" s="64">
        <f t="shared" si="113"/>
        <v>2037</v>
      </c>
      <c r="V286" s="64">
        <f t="shared" si="113"/>
        <v>2038</v>
      </c>
      <c r="W286" s="64">
        <f t="shared" si="113"/>
        <v>2039</v>
      </c>
      <c r="X286" s="64">
        <f t="shared" si="113"/>
        <v>2040</v>
      </c>
      <c r="Y286" s="64">
        <f t="shared" si="113"/>
        <v>2041</v>
      </c>
      <c r="Z286" s="64">
        <f t="shared" si="113"/>
        <v>2042</v>
      </c>
      <c r="AA286" s="64">
        <f t="shared" si="113"/>
        <v>2043</v>
      </c>
      <c r="AB286" s="64">
        <f t="shared" si="113"/>
        <v>2044</v>
      </c>
      <c r="AC286" s="64">
        <f t="shared" si="113"/>
        <v>2045</v>
      </c>
      <c r="AD286" s="64">
        <f t="shared" si="113"/>
        <v>2046</v>
      </c>
      <c r="AE286" s="64">
        <f t="shared" si="113"/>
        <v>2047</v>
      </c>
      <c r="AF286" s="64">
        <f t="shared" si="113"/>
        <v>2048</v>
      </c>
      <c r="AG286" s="64">
        <f t="shared" si="113"/>
        <v>2049</v>
      </c>
      <c r="AH286" s="64">
        <f t="shared" si="113"/>
        <v>2050</v>
      </c>
      <c r="AI286" s="42"/>
    </row>
    <row r="287" spans="1:52" s="133" customFormat="1">
      <c r="A287" s="37" t="s">
        <v>197</v>
      </c>
      <c r="B287" s="553"/>
      <c r="C287" s="553"/>
      <c r="D287" s="553"/>
      <c r="E287" s="247">
        <v>0.32</v>
      </c>
      <c r="F287" s="247">
        <v>0.32</v>
      </c>
      <c r="G287" s="247">
        <v>0.32</v>
      </c>
      <c r="H287" s="247">
        <v>0.32</v>
      </c>
      <c r="I287" s="247">
        <v>0.32</v>
      </c>
      <c r="J287" s="247">
        <v>0.32</v>
      </c>
      <c r="K287" s="247">
        <v>0.32</v>
      </c>
      <c r="L287" s="247">
        <v>0.32</v>
      </c>
      <c r="M287" s="247">
        <v>0.32</v>
      </c>
      <c r="N287" s="247">
        <v>0.32</v>
      </c>
      <c r="O287" s="247">
        <v>0.32</v>
      </c>
      <c r="P287" s="247">
        <v>0.32</v>
      </c>
      <c r="Q287" s="247">
        <v>0.32</v>
      </c>
      <c r="R287" s="247">
        <v>0.32</v>
      </c>
      <c r="S287" s="247">
        <v>0.32</v>
      </c>
      <c r="T287" s="247">
        <v>0.32</v>
      </c>
      <c r="U287" s="247">
        <v>0.32</v>
      </c>
      <c r="V287" s="247">
        <v>0.32</v>
      </c>
      <c r="W287" s="247">
        <v>0.32</v>
      </c>
      <c r="X287" s="247">
        <v>0.32</v>
      </c>
      <c r="Y287" s="247">
        <v>0.32</v>
      </c>
      <c r="Z287" s="247">
        <v>0.32</v>
      </c>
      <c r="AA287" s="247">
        <v>0.32</v>
      </c>
      <c r="AB287" s="247">
        <v>0.32</v>
      </c>
      <c r="AC287" s="247">
        <v>0.32</v>
      </c>
      <c r="AD287" s="247">
        <v>0.32</v>
      </c>
      <c r="AE287" s="247">
        <v>0.32</v>
      </c>
      <c r="AF287" s="247">
        <v>0.32</v>
      </c>
      <c r="AG287" s="247">
        <v>0.32</v>
      </c>
      <c r="AH287" s="247">
        <v>0.32</v>
      </c>
      <c r="AI287" s="132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</row>
    <row r="288" spans="1:52" s="133" customFormat="1">
      <c r="A288" s="37" t="s">
        <v>580</v>
      </c>
      <c r="B288" s="83"/>
      <c r="C288" s="131"/>
      <c r="D288" s="553"/>
      <c r="E288" s="156">
        <v>0.3</v>
      </c>
      <c r="F288" s="156">
        <v>0.3</v>
      </c>
      <c r="G288" s="156">
        <v>0.3</v>
      </c>
      <c r="H288" s="156">
        <v>0.3</v>
      </c>
      <c r="I288" s="156">
        <v>0.3</v>
      </c>
      <c r="J288" s="156">
        <v>0.3</v>
      </c>
      <c r="K288" s="156">
        <v>0.3</v>
      </c>
      <c r="L288" s="156">
        <v>0.3</v>
      </c>
      <c r="M288" s="156">
        <v>0.3</v>
      </c>
      <c r="N288" s="156">
        <v>0.3</v>
      </c>
      <c r="O288" s="156">
        <v>0.3</v>
      </c>
      <c r="P288" s="156">
        <v>0.3</v>
      </c>
      <c r="Q288" s="156">
        <v>0.3</v>
      </c>
      <c r="R288" s="156">
        <v>0.3</v>
      </c>
      <c r="S288" s="156">
        <v>0.3</v>
      </c>
      <c r="T288" s="156">
        <v>0.3</v>
      </c>
      <c r="U288" s="156">
        <v>0.3</v>
      </c>
      <c r="V288" s="156">
        <v>0.3</v>
      </c>
      <c r="W288" s="156">
        <v>0.3</v>
      </c>
      <c r="X288" s="156">
        <v>0.3</v>
      </c>
      <c r="Y288" s="156">
        <v>0.3</v>
      </c>
      <c r="Z288" s="156">
        <v>0.3</v>
      </c>
      <c r="AA288" s="156">
        <v>0.3</v>
      </c>
      <c r="AB288" s="156">
        <v>0.3</v>
      </c>
      <c r="AC288" s="156">
        <v>0.3</v>
      </c>
      <c r="AD288" s="156">
        <v>0.3</v>
      </c>
      <c r="AE288" s="156">
        <v>0.3</v>
      </c>
      <c r="AF288" s="156">
        <v>0.3</v>
      </c>
      <c r="AG288" s="156">
        <v>0.3</v>
      </c>
      <c r="AH288" s="156">
        <v>0.3</v>
      </c>
      <c r="AI288" s="132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</row>
    <row r="289" spans="1:52" s="133" customFormat="1">
      <c r="A289" s="37" t="s">
        <v>581</v>
      </c>
      <c r="B289" s="131"/>
      <c r="C289" s="131"/>
      <c r="D289" s="553"/>
      <c r="E289" s="156">
        <v>0.4</v>
      </c>
      <c r="F289" s="156">
        <v>0.4</v>
      </c>
      <c r="G289" s="156">
        <v>0.4</v>
      </c>
      <c r="H289" s="156">
        <v>0.4</v>
      </c>
      <c r="I289" s="156">
        <v>0.4</v>
      </c>
      <c r="J289" s="156">
        <v>0.4</v>
      </c>
      <c r="K289" s="156">
        <v>0.4</v>
      </c>
      <c r="L289" s="156">
        <v>0.4</v>
      </c>
      <c r="M289" s="156">
        <v>0.4</v>
      </c>
      <c r="N289" s="156">
        <v>0.4</v>
      </c>
      <c r="O289" s="156">
        <v>0.4</v>
      </c>
      <c r="P289" s="156">
        <v>0.4</v>
      </c>
      <c r="Q289" s="156">
        <v>0.4</v>
      </c>
      <c r="R289" s="156">
        <v>0.4</v>
      </c>
      <c r="S289" s="156">
        <v>0.4</v>
      </c>
      <c r="T289" s="156">
        <v>0.4</v>
      </c>
      <c r="U289" s="156">
        <v>0.4</v>
      </c>
      <c r="V289" s="156">
        <v>0.4</v>
      </c>
      <c r="W289" s="156">
        <v>0.4</v>
      </c>
      <c r="X289" s="156">
        <v>0.4</v>
      </c>
      <c r="Y289" s="156">
        <v>0.4</v>
      </c>
      <c r="Z289" s="156">
        <v>0.4</v>
      </c>
      <c r="AA289" s="156">
        <v>0.4</v>
      </c>
      <c r="AB289" s="156">
        <v>0.4</v>
      </c>
      <c r="AC289" s="156">
        <v>0.4</v>
      </c>
      <c r="AD289" s="156">
        <v>0.4</v>
      </c>
      <c r="AE289" s="156">
        <v>0.4</v>
      </c>
      <c r="AF289" s="156">
        <v>0.4</v>
      </c>
      <c r="AG289" s="156">
        <v>0.4</v>
      </c>
      <c r="AH289" s="156">
        <v>0.4</v>
      </c>
      <c r="AI289" s="132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</row>
    <row r="290" spans="1:52" s="133" customFormat="1">
      <c r="A290" s="238"/>
      <c r="B290" s="252" t="s">
        <v>452</v>
      </c>
      <c r="C290" s="131"/>
      <c r="D290" s="258"/>
      <c r="E290" s="172"/>
      <c r="F290" s="172"/>
      <c r="G290" s="172"/>
      <c r="H290" s="172"/>
      <c r="I290" s="172"/>
      <c r="J290" s="172"/>
      <c r="K290" s="172"/>
      <c r="L290" s="172"/>
      <c r="M290" s="172"/>
      <c r="N290" s="172"/>
      <c r="O290" s="172"/>
      <c r="P290" s="172"/>
      <c r="Q290" s="172"/>
      <c r="R290" s="172"/>
      <c r="S290" s="172"/>
      <c r="T290" s="172"/>
      <c r="U290" s="172"/>
      <c r="V290" s="172"/>
      <c r="W290" s="172"/>
      <c r="X290" s="172"/>
      <c r="Y290" s="172"/>
      <c r="Z290" s="172"/>
      <c r="AA290" s="172"/>
      <c r="AB290" s="172"/>
      <c r="AC290" s="172"/>
      <c r="AD290" s="172"/>
      <c r="AE290" s="172"/>
      <c r="AF290" s="172"/>
      <c r="AG290" s="172"/>
      <c r="AH290" s="172"/>
      <c r="AI290" s="132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</row>
    <row r="291" spans="1:52" s="133" customFormat="1">
      <c r="A291" s="43" t="s">
        <v>620</v>
      </c>
      <c r="B291" s="253" t="s">
        <v>200</v>
      </c>
      <c r="C291" s="756" t="s">
        <v>195</v>
      </c>
      <c r="D291" s="778"/>
      <c r="E291" s="186" t="s">
        <v>196</v>
      </c>
      <c r="F291" s="172"/>
      <c r="G291" s="172"/>
      <c r="H291" s="172"/>
      <c r="I291" s="172"/>
      <c r="J291" s="172"/>
      <c r="K291" s="172"/>
      <c r="L291" s="172"/>
      <c r="M291" s="172"/>
      <c r="N291" s="172"/>
      <c r="O291" s="172"/>
      <c r="P291" s="172"/>
      <c r="Q291" s="172"/>
      <c r="R291" s="172"/>
      <c r="S291" s="172"/>
      <c r="T291" s="172"/>
      <c r="U291" s="172"/>
      <c r="V291" s="172"/>
      <c r="W291" s="172"/>
      <c r="X291" s="172"/>
      <c r="Y291" s="172"/>
      <c r="Z291" s="172"/>
      <c r="AA291" s="172"/>
      <c r="AB291" s="172"/>
      <c r="AC291" s="172"/>
      <c r="AD291" s="172"/>
      <c r="AE291" s="172"/>
      <c r="AF291" s="172"/>
      <c r="AG291" s="172"/>
      <c r="AH291" s="172"/>
      <c r="AI291" s="132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</row>
    <row r="292" spans="1:52" s="133" customFormat="1">
      <c r="A292" s="27" t="s">
        <v>202</v>
      </c>
      <c r="B292" s="252" t="s">
        <v>201</v>
      </c>
      <c r="C292" s="524" t="s">
        <v>584</v>
      </c>
      <c r="D292" s="526" t="s">
        <v>583</v>
      </c>
      <c r="E292" s="536">
        <v>2021</v>
      </c>
      <c r="F292" s="550">
        <f>E292+1</f>
        <v>2022</v>
      </c>
      <c r="G292" s="550">
        <f t="shared" ref="G292:AH292" si="114">F292+1</f>
        <v>2023</v>
      </c>
      <c r="H292" s="550">
        <f t="shared" si="114"/>
        <v>2024</v>
      </c>
      <c r="I292" s="550">
        <f t="shared" si="114"/>
        <v>2025</v>
      </c>
      <c r="J292" s="550">
        <f t="shared" si="114"/>
        <v>2026</v>
      </c>
      <c r="K292" s="550">
        <f t="shared" si="114"/>
        <v>2027</v>
      </c>
      <c r="L292" s="550">
        <f t="shared" si="114"/>
        <v>2028</v>
      </c>
      <c r="M292" s="550">
        <f t="shared" si="114"/>
        <v>2029</v>
      </c>
      <c r="N292" s="550">
        <f t="shared" si="114"/>
        <v>2030</v>
      </c>
      <c r="O292" s="550">
        <f t="shared" si="114"/>
        <v>2031</v>
      </c>
      <c r="P292" s="550">
        <f t="shared" si="114"/>
        <v>2032</v>
      </c>
      <c r="Q292" s="550">
        <f t="shared" si="114"/>
        <v>2033</v>
      </c>
      <c r="R292" s="550">
        <f t="shared" si="114"/>
        <v>2034</v>
      </c>
      <c r="S292" s="550">
        <f t="shared" si="114"/>
        <v>2035</v>
      </c>
      <c r="T292" s="550">
        <f t="shared" si="114"/>
        <v>2036</v>
      </c>
      <c r="U292" s="550">
        <f t="shared" si="114"/>
        <v>2037</v>
      </c>
      <c r="V292" s="550">
        <f t="shared" si="114"/>
        <v>2038</v>
      </c>
      <c r="W292" s="550">
        <f t="shared" si="114"/>
        <v>2039</v>
      </c>
      <c r="X292" s="550">
        <f t="shared" si="114"/>
        <v>2040</v>
      </c>
      <c r="Y292" s="550">
        <f t="shared" si="114"/>
        <v>2041</v>
      </c>
      <c r="Z292" s="550">
        <f t="shared" si="114"/>
        <v>2042</v>
      </c>
      <c r="AA292" s="550">
        <f t="shared" si="114"/>
        <v>2043</v>
      </c>
      <c r="AB292" s="550">
        <f t="shared" si="114"/>
        <v>2044</v>
      </c>
      <c r="AC292" s="550">
        <f t="shared" si="114"/>
        <v>2045</v>
      </c>
      <c r="AD292" s="550">
        <f t="shared" si="114"/>
        <v>2046</v>
      </c>
      <c r="AE292" s="550">
        <f t="shared" si="114"/>
        <v>2047</v>
      </c>
      <c r="AF292" s="550">
        <f t="shared" si="114"/>
        <v>2048</v>
      </c>
      <c r="AG292" s="550">
        <f t="shared" si="114"/>
        <v>2049</v>
      </c>
      <c r="AH292" s="550">
        <f t="shared" si="114"/>
        <v>2050</v>
      </c>
      <c r="AI292" s="132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</row>
    <row r="293" spans="1:52" s="133" customFormat="1">
      <c r="A293" s="31" t="str">
        <f>A108</f>
        <v>CITY</v>
      </c>
      <c r="B293" s="156">
        <f>'USER INPUTS'!B9/100*'LOCAL DATASET INPUTS'!$E$79*1000*0.35</f>
        <v>31395.146343834844</v>
      </c>
      <c r="C293" s="100">
        <f>100-D293</f>
        <v>0</v>
      </c>
      <c r="D293" s="192">
        <v>100</v>
      </c>
      <c r="E293" s="156">
        <f>(C293/100*$E$288)+(D293/100*$E$289)</f>
        <v>0.4</v>
      </c>
      <c r="F293" s="445">
        <f>E293</f>
        <v>0.4</v>
      </c>
      <c r="G293" s="445">
        <f t="shared" ref="G293:AH296" si="115">F293</f>
        <v>0.4</v>
      </c>
      <c r="H293" s="445">
        <f t="shared" si="115"/>
        <v>0.4</v>
      </c>
      <c r="I293" s="445">
        <f t="shared" si="115"/>
        <v>0.4</v>
      </c>
      <c r="J293" s="445">
        <f t="shared" si="115"/>
        <v>0.4</v>
      </c>
      <c r="K293" s="445">
        <f t="shared" si="115"/>
        <v>0.4</v>
      </c>
      <c r="L293" s="445">
        <f t="shared" si="115"/>
        <v>0.4</v>
      </c>
      <c r="M293" s="445">
        <f t="shared" si="115"/>
        <v>0.4</v>
      </c>
      <c r="N293" s="445">
        <f t="shared" si="115"/>
        <v>0.4</v>
      </c>
      <c r="O293" s="445">
        <f t="shared" si="115"/>
        <v>0.4</v>
      </c>
      <c r="P293" s="445">
        <f t="shared" si="115"/>
        <v>0.4</v>
      </c>
      <c r="Q293" s="445">
        <f t="shared" si="115"/>
        <v>0.4</v>
      </c>
      <c r="R293" s="445">
        <f t="shared" si="115"/>
        <v>0.4</v>
      </c>
      <c r="S293" s="445">
        <f t="shared" si="115"/>
        <v>0.4</v>
      </c>
      <c r="T293" s="445">
        <f t="shared" si="115"/>
        <v>0.4</v>
      </c>
      <c r="U293" s="445">
        <f t="shared" si="115"/>
        <v>0.4</v>
      </c>
      <c r="V293" s="445">
        <f t="shared" si="115"/>
        <v>0.4</v>
      </c>
      <c r="W293" s="445">
        <f t="shared" si="115"/>
        <v>0.4</v>
      </c>
      <c r="X293" s="445">
        <f t="shared" si="115"/>
        <v>0.4</v>
      </c>
      <c r="Y293" s="445">
        <f t="shared" si="115"/>
        <v>0.4</v>
      </c>
      <c r="Z293" s="445">
        <f t="shared" si="115"/>
        <v>0.4</v>
      </c>
      <c r="AA293" s="445">
        <f t="shared" si="115"/>
        <v>0.4</v>
      </c>
      <c r="AB293" s="445">
        <f t="shared" si="115"/>
        <v>0.4</v>
      </c>
      <c r="AC293" s="445">
        <f t="shared" si="115"/>
        <v>0.4</v>
      </c>
      <c r="AD293" s="445">
        <f t="shared" si="115"/>
        <v>0.4</v>
      </c>
      <c r="AE293" s="445">
        <f t="shared" si="115"/>
        <v>0.4</v>
      </c>
      <c r="AF293" s="445">
        <f t="shared" si="115"/>
        <v>0.4</v>
      </c>
      <c r="AG293" s="445">
        <f t="shared" si="115"/>
        <v>0.4</v>
      </c>
      <c r="AH293" s="445">
        <f t="shared" si="115"/>
        <v>0.4</v>
      </c>
      <c r="AI293" s="132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</row>
    <row r="294" spans="1:52" s="133" customFormat="1">
      <c r="A294" s="31" t="str">
        <f>A109</f>
        <v>TOWN</v>
      </c>
      <c r="B294" s="156">
        <f>'USER INPUTS'!B10/100*'LOCAL DATASET INPUTS'!$E$79*1000*0.35</f>
        <v>0</v>
      </c>
      <c r="C294" s="100">
        <f>100-D294</f>
        <v>20</v>
      </c>
      <c r="D294" s="192">
        <v>80</v>
      </c>
      <c r="E294" s="156">
        <f>(C294/100*$E$288)+(D294/100*$E$289)</f>
        <v>0.38000000000000006</v>
      </c>
      <c r="F294" s="445">
        <f>E294</f>
        <v>0.38000000000000006</v>
      </c>
      <c r="G294" s="445">
        <f t="shared" ref="G294:U294" si="116">F294</f>
        <v>0.38000000000000006</v>
      </c>
      <c r="H294" s="445">
        <f t="shared" si="116"/>
        <v>0.38000000000000006</v>
      </c>
      <c r="I294" s="445">
        <f t="shared" si="116"/>
        <v>0.38000000000000006</v>
      </c>
      <c r="J294" s="445">
        <f t="shared" si="116"/>
        <v>0.38000000000000006</v>
      </c>
      <c r="K294" s="445">
        <f t="shared" si="116"/>
        <v>0.38000000000000006</v>
      </c>
      <c r="L294" s="445">
        <f t="shared" si="116"/>
        <v>0.38000000000000006</v>
      </c>
      <c r="M294" s="445">
        <f t="shared" si="116"/>
        <v>0.38000000000000006</v>
      </c>
      <c r="N294" s="445">
        <f t="shared" si="116"/>
        <v>0.38000000000000006</v>
      </c>
      <c r="O294" s="445">
        <f t="shared" si="116"/>
        <v>0.38000000000000006</v>
      </c>
      <c r="P294" s="445">
        <f t="shared" si="116"/>
        <v>0.38000000000000006</v>
      </c>
      <c r="Q294" s="445">
        <f t="shared" si="116"/>
        <v>0.38000000000000006</v>
      </c>
      <c r="R294" s="445">
        <f t="shared" si="116"/>
        <v>0.38000000000000006</v>
      </c>
      <c r="S294" s="445">
        <f t="shared" si="116"/>
        <v>0.38000000000000006</v>
      </c>
      <c r="T294" s="445">
        <f t="shared" si="116"/>
        <v>0.38000000000000006</v>
      </c>
      <c r="U294" s="445">
        <f t="shared" si="116"/>
        <v>0.38000000000000006</v>
      </c>
      <c r="V294" s="445">
        <f t="shared" si="115"/>
        <v>0.38000000000000006</v>
      </c>
      <c r="W294" s="445">
        <f t="shared" si="115"/>
        <v>0.38000000000000006</v>
      </c>
      <c r="X294" s="445">
        <f t="shared" si="115"/>
        <v>0.38000000000000006</v>
      </c>
      <c r="Y294" s="445">
        <f t="shared" si="115"/>
        <v>0.38000000000000006</v>
      </c>
      <c r="Z294" s="445">
        <f t="shared" si="115"/>
        <v>0.38000000000000006</v>
      </c>
      <c r="AA294" s="445">
        <f t="shared" si="115"/>
        <v>0.38000000000000006</v>
      </c>
      <c r="AB294" s="445">
        <f t="shared" si="115"/>
        <v>0.38000000000000006</v>
      </c>
      <c r="AC294" s="445">
        <f t="shared" si="115"/>
        <v>0.38000000000000006</v>
      </c>
      <c r="AD294" s="445">
        <f t="shared" si="115"/>
        <v>0.38000000000000006</v>
      </c>
      <c r="AE294" s="445">
        <f t="shared" si="115"/>
        <v>0.38000000000000006</v>
      </c>
      <c r="AF294" s="445">
        <f t="shared" si="115"/>
        <v>0.38000000000000006</v>
      </c>
      <c r="AG294" s="445">
        <f t="shared" si="115"/>
        <v>0.38000000000000006</v>
      </c>
      <c r="AH294" s="445">
        <f t="shared" si="115"/>
        <v>0.38000000000000006</v>
      </c>
      <c r="AI294" s="132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</row>
    <row r="295" spans="1:52" s="133" customFormat="1">
      <c r="A295" s="31" t="str">
        <f>A110</f>
        <v>SUBURBAN</v>
      </c>
      <c r="B295" s="156">
        <f>'USER INPUTS'!B11/100*'LOCAL DATASET INPUTS'!$E$79*1000*0.35</f>
        <v>0</v>
      </c>
      <c r="C295" s="100">
        <f>100-D295</f>
        <v>70</v>
      </c>
      <c r="D295" s="192">
        <v>30</v>
      </c>
      <c r="E295" s="156">
        <f>(C295/100*$E$288)+(D295/100*$E$289)</f>
        <v>0.32999999999999996</v>
      </c>
      <c r="F295" s="445">
        <f>E295</f>
        <v>0.32999999999999996</v>
      </c>
      <c r="G295" s="445">
        <f t="shared" si="115"/>
        <v>0.32999999999999996</v>
      </c>
      <c r="H295" s="445">
        <f t="shared" si="115"/>
        <v>0.32999999999999996</v>
      </c>
      <c r="I295" s="445">
        <f t="shared" si="115"/>
        <v>0.32999999999999996</v>
      </c>
      <c r="J295" s="445">
        <f t="shared" si="115"/>
        <v>0.32999999999999996</v>
      </c>
      <c r="K295" s="445">
        <f t="shared" si="115"/>
        <v>0.32999999999999996</v>
      </c>
      <c r="L295" s="445">
        <f t="shared" si="115"/>
        <v>0.32999999999999996</v>
      </c>
      <c r="M295" s="445">
        <f t="shared" si="115"/>
        <v>0.32999999999999996</v>
      </c>
      <c r="N295" s="445">
        <f t="shared" si="115"/>
        <v>0.32999999999999996</v>
      </c>
      <c r="O295" s="445">
        <f t="shared" si="115"/>
        <v>0.32999999999999996</v>
      </c>
      <c r="P295" s="445">
        <f t="shared" si="115"/>
        <v>0.32999999999999996</v>
      </c>
      <c r="Q295" s="445">
        <f t="shared" si="115"/>
        <v>0.32999999999999996</v>
      </c>
      <c r="R295" s="445">
        <f t="shared" si="115"/>
        <v>0.32999999999999996</v>
      </c>
      <c r="S295" s="445">
        <f t="shared" si="115"/>
        <v>0.32999999999999996</v>
      </c>
      <c r="T295" s="445">
        <f t="shared" si="115"/>
        <v>0.32999999999999996</v>
      </c>
      <c r="U295" s="445">
        <f t="shared" si="115"/>
        <v>0.32999999999999996</v>
      </c>
      <c r="V295" s="445">
        <f t="shared" si="115"/>
        <v>0.32999999999999996</v>
      </c>
      <c r="W295" s="445">
        <f t="shared" si="115"/>
        <v>0.32999999999999996</v>
      </c>
      <c r="X295" s="445">
        <f t="shared" si="115"/>
        <v>0.32999999999999996</v>
      </c>
      <c r="Y295" s="445">
        <f t="shared" si="115"/>
        <v>0.32999999999999996</v>
      </c>
      <c r="Z295" s="445">
        <f t="shared" si="115"/>
        <v>0.32999999999999996</v>
      </c>
      <c r="AA295" s="445">
        <f t="shared" si="115"/>
        <v>0.32999999999999996</v>
      </c>
      <c r="AB295" s="445">
        <f t="shared" si="115"/>
        <v>0.32999999999999996</v>
      </c>
      <c r="AC295" s="445">
        <f t="shared" si="115"/>
        <v>0.32999999999999996</v>
      </c>
      <c r="AD295" s="445">
        <f t="shared" si="115"/>
        <v>0.32999999999999996</v>
      </c>
      <c r="AE295" s="445">
        <f t="shared" si="115"/>
        <v>0.32999999999999996</v>
      </c>
      <c r="AF295" s="445">
        <f t="shared" si="115"/>
        <v>0.32999999999999996</v>
      </c>
      <c r="AG295" s="445">
        <f t="shared" si="115"/>
        <v>0.32999999999999996</v>
      </c>
      <c r="AH295" s="445">
        <f t="shared" si="115"/>
        <v>0.32999999999999996</v>
      </c>
      <c r="AI295" s="132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</row>
    <row r="296" spans="1:52" s="133" customFormat="1">
      <c r="A296" s="31" t="str">
        <f>A111</f>
        <v xml:space="preserve">RURAL </v>
      </c>
      <c r="B296" s="156">
        <f>'USER INPUTS'!B12/100*'LOCAL DATASET INPUTS'!$E$79*1000*0.35</f>
        <v>0</v>
      </c>
      <c r="C296" s="100">
        <f>100-D296</f>
        <v>100</v>
      </c>
      <c r="D296" s="192">
        <v>0</v>
      </c>
      <c r="E296" s="156">
        <f>(C296/100*$E$288)+(D296/100*$E$289)</f>
        <v>0.3</v>
      </c>
      <c r="F296" s="445">
        <f>E296</f>
        <v>0.3</v>
      </c>
      <c r="G296" s="445">
        <f t="shared" si="115"/>
        <v>0.3</v>
      </c>
      <c r="H296" s="445">
        <f t="shared" si="115"/>
        <v>0.3</v>
      </c>
      <c r="I296" s="445">
        <f t="shared" si="115"/>
        <v>0.3</v>
      </c>
      <c r="J296" s="445">
        <f t="shared" si="115"/>
        <v>0.3</v>
      </c>
      <c r="K296" s="445">
        <f t="shared" si="115"/>
        <v>0.3</v>
      </c>
      <c r="L296" s="445">
        <f t="shared" si="115"/>
        <v>0.3</v>
      </c>
      <c r="M296" s="445">
        <f t="shared" si="115"/>
        <v>0.3</v>
      </c>
      <c r="N296" s="445">
        <f t="shared" si="115"/>
        <v>0.3</v>
      </c>
      <c r="O296" s="445">
        <f t="shared" si="115"/>
        <v>0.3</v>
      </c>
      <c r="P296" s="445">
        <f t="shared" si="115"/>
        <v>0.3</v>
      </c>
      <c r="Q296" s="445">
        <f t="shared" si="115"/>
        <v>0.3</v>
      </c>
      <c r="R296" s="445">
        <f t="shared" si="115"/>
        <v>0.3</v>
      </c>
      <c r="S296" s="445">
        <f t="shared" si="115"/>
        <v>0.3</v>
      </c>
      <c r="T296" s="445">
        <f t="shared" si="115"/>
        <v>0.3</v>
      </c>
      <c r="U296" s="445">
        <f t="shared" si="115"/>
        <v>0.3</v>
      </c>
      <c r="V296" s="445">
        <f t="shared" si="115"/>
        <v>0.3</v>
      </c>
      <c r="W296" s="445">
        <f t="shared" si="115"/>
        <v>0.3</v>
      </c>
      <c r="X296" s="445">
        <f t="shared" si="115"/>
        <v>0.3</v>
      </c>
      <c r="Y296" s="445">
        <f t="shared" si="115"/>
        <v>0.3</v>
      </c>
      <c r="Z296" s="445">
        <f t="shared" si="115"/>
        <v>0.3</v>
      </c>
      <c r="AA296" s="445">
        <f t="shared" si="115"/>
        <v>0.3</v>
      </c>
      <c r="AB296" s="445">
        <f t="shared" si="115"/>
        <v>0.3</v>
      </c>
      <c r="AC296" s="445">
        <f t="shared" si="115"/>
        <v>0.3</v>
      </c>
      <c r="AD296" s="445">
        <f t="shared" si="115"/>
        <v>0.3</v>
      </c>
      <c r="AE296" s="445">
        <f t="shared" si="115"/>
        <v>0.3</v>
      </c>
      <c r="AF296" s="445">
        <f t="shared" si="115"/>
        <v>0.3</v>
      </c>
      <c r="AG296" s="445">
        <f t="shared" si="115"/>
        <v>0.3</v>
      </c>
      <c r="AH296" s="445">
        <f t="shared" si="115"/>
        <v>0.3</v>
      </c>
      <c r="AI296" s="132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</row>
    <row r="297" spans="1:52" s="133" customFormat="1">
      <c r="A297" s="130"/>
      <c r="B297" s="241"/>
      <c r="C297" s="130"/>
      <c r="D297" s="241"/>
      <c r="E297" s="241"/>
      <c r="F297" s="170"/>
      <c r="G297" s="170"/>
      <c r="H297" s="170"/>
      <c r="I297" s="170"/>
      <c r="J297" s="170"/>
      <c r="K297" s="170"/>
      <c r="L297" s="170"/>
      <c r="M297" s="170"/>
      <c r="N297" s="170"/>
      <c r="O297" s="170"/>
      <c r="P297" s="170"/>
      <c r="Q297" s="170"/>
      <c r="R297" s="170"/>
      <c r="S297" s="170"/>
      <c r="T297" s="170"/>
      <c r="U297" s="170"/>
      <c r="V297" s="170"/>
      <c r="W297" s="170"/>
      <c r="X297" s="170"/>
      <c r="Y297" s="170"/>
      <c r="Z297" s="170"/>
      <c r="AA297" s="170"/>
      <c r="AB297" s="170"/>
      <c r="AC297" s="170"/>
      <c r="AD297" s="170"/>
      <c r="AE297" s="170"/>
      <c r="AF297" s="170"/>
      <c r="AG297" s="170"/>
      <c r="AH297" s="170"/>
      <c r="AI297" s="132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</row>
    <row r="298" spans="1:52" s="133" customFormat="1">
      <c r="A298" s="461"/>
      <c r="B298" s="230"/>
      <c r="C298" s="460"/>
      <c r="D298" s="230"/>
      <c r="E298" s="230"/>
      <c r="F298" s="170"/>
      <c r="G298" s="170"/>
      <c r="H298" s="170"/>
      <c r="I298" s="170"/>
      <c r="J298" s="170"/>
      <c r="K298" s="170"/>
      <c r="L298" s="170"/>
      <c r="M298" s="170"/>
      <c r="N298" s="170"/>
      <c r="O298" s="170"/>
      <c r="P298" s="170"/>
      <c r="Q298" s="170"/>
      <c r="R298" s="170"/>
      <c r="S298" s="170"/>
      <c r="T298" s="170"/>
      <c r="U298" s="170"/>
      <c r="V298" s="170"/>
      <c r="W298" s="170"/>
      <c r="X298" s="170"/>
      <c r="Y298" s="170"/>
      <c r="Z298" s="170"/>
      <c r="AA298" s="170"/>
      <c r="AB298" s="170"/>
      <c r="AC298" s="170"/>
      <c r="AD298" s="170"/>
      <c r="AE298" s="170"/>
      <c r="AF298" s="170"/>
      <c r="AG298" s="170"/>
      <c r="AH298" s="170"/>
      <c r="AI298" s="132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</row>
    <row r="299" spans="1:52" s="133" customFormat="1">
      <c r="A299" s="43"/>
      <c r="B299" s="242">
        <f>SUM(B293:B298)</f>
        <v>31395.146343834844</v>
      </c>
      <c r="C299" s="131"/>
      <c r="D299" s="416"/>
      <c r="E299" s="237">
        <f>($B$293/$B$299*E293)+($B$294/$B$299*E294)+($B$295/$B$299*E295)+($B$296/$B$299*E296)</f>
        <v>0.4</v>
      </c>
      <c r="F299" s="237">
        <f t="shared" ref="F299:AH299" si="117">($B$293/$B$299*F293)+($B$294/$B$299*F294)+($B$295/$B$299*F295)+($B$296/$B$299*F296)</f>
        <v>0.4</v>
      </c>
      <c r="G299" s="237">
        <f t="shared" si="117"/>
        <v>0.4</v>
      </c>
      <c r="H299" s="237">
        <f t="shared" si="117"/>
        <v>0.4</v>
      </c>
      <c r="I299" s="237">
        <f t="shared" si="117"/>
        <v>0.4</v>
      </c>
      <c r="J299" s="237">
        <f t="shared" si="117"/>
        <v>0.4</v>
      </c>
      <c r="K299" s="237">
        <f t="shared" si="117"/>
        <v>0.4</v>
      </c>
      <c r="L299" s="237">
        <f t="shared" si="117"/>
        <v>0.4</v>
      </c>
      <c r="M299" s="237">
        <f t="shared" si="117"/>
        <v>0.4</v>
      </c>
      <c r="N299" s="237">
        <f t="shared" si="117"/>
        <v>0.4</v>
      </c>
      <c r="O299" s="237">
        <f t="shared" si="117"/>
        <v>0.4</v>
      </c>
      <c r="P299" s="237">
        <f t="shared" si="117"/>
        <v>0.4</v>
      </c>
      <c r="Q299" s="237">
        <f t="shared" si="117"/>
        <v>0.4</v>
      </c>
      <c r="R299" s="237">
        <f t="shared" si="117"/>
        <v>0.4</v>
      </c>
      <c r="S299" s="237">
        <f t="shared" si="117"/>
        <v>0.4</v>
      </c>
      <c r="T299" s="237">
        <f t="shared" si="117"/>
        <v>0.4</v>
      </c>
      <c r="U299" s="237">
        <f t="shared" si="117"/>
        <v>0.4</v>
      </c>
      <c r="V299" s="237">
        <f t="shared" si="117"/>
        <v>0.4</v>
      </c>
      <c r="W299" s="237">
        <f t="shared" si="117"/>
        <v>0.4</v>
      </c>
      <c r="X299" s="237">
        <f t="shared" si="117"/>
        <v>0.4</v>
      </c>
      <c r="Y299" s="237">
        <f t="shared" si="117"/>
        <v>0.4</v>
      </c>
      <c r="Z299" s="237">
        <f t="shared" si="117"/>
        <v>0.4</v>
      </c>
      <c r="AA299" s="237">
        <f t="shared" si="117"/>
        <v>0.4</v>
      </c>
      <c r="AB299" s="237">
        <f t="shared" si="117"/>
        <v>0.4</v>
      </c>
      <c r="AC299" s="237">
        <f t="shared" si="117"/>
        <v>0.4</v>
      </c>
      <c r="AD299" s="237">
        <f t="shared" si="117"/>
        <v>0.4</v>
      </c>
      <c r="AE299" s="237">
        <f t="shared" si="117"/>
        <v>0.4</v>
      </c>
      <c r="AF299" s="237">
        <f t="shared" si="117"/>
        <v>0.4</v>
      </c>
      <c r="AG299" s="237">
        <f t="shared" si="117"/>
        <v>0.4</v>
      </c>
      <c r="AH299" s="237">
        <f t="shared" si="117"/>
        <v>0.4</v>
      </c>
      <c r="AI299" s="132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</row>
    <row r="300" spans="1:52" s="133" customFormat="1">
      <c r="A300" s="43"/>
      <c r="B300" s="242"/>
      <c r="C300" s="131"/>
      <c r="D300" s="258"/>
      <c r="E300" s="237"/>
      <c r="F300" s="237"/>
      <c r="G300" s="237"/>
      <c r="H300" s="237"/>
      <c r="I300" s="237"/>
      <c r="J300" s="237"/>
      <c r="K300" s="237"/>
      <c r="L300" s="237"/>
      <c r="M300" s="237"/>
      <c r="N300" s="237"/>
      <c r="O300" s="237"/>
      <c r="P300" s="237"/>
      <c r="Q300" s="237"/>
      <c r="R300" s="237"/>
      <c r="S300" s="237"/>
      <c r="T300" s="237"/>
      <c r="U300" s="237"/>
      <c r="V300" s="237"/>
      <c r="W300" s="237"/>
      <c r="X300" s="237"/>
      <c r="Y300" s="237"/>
      <c r="Z300" s="237"/>
      <c r="AA300" s="237"/>
      <c r="AB300" s="237"/>
      <c r="AC300" s="237"/>
      <c r="AD300" s="237"/>
      <c r="AE300" s="237"/>
      <c r="AF300" s="237"/>
      <c r="AG300" s="237"/>
      <c r="AH300" s="237"/>
      <c r="AI300" s="132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</row>
    <row r="301" spans="1:52" s="133" customFormat="1">
      <c r="A301" s="43" t="s">
        <v>624</v>
      </c>
      <c r="B301" s="242"/>
      <c r="C301" s="131"/>
      <c r="D301" s="258"/>
      <c r="E301" s="237"/>
      <c r="F301" s="237"/>
      <c r="G301" s="237"/>
      <c r="H301" s="237"/>
      <c r="I301" s="237"/>
      <c r="J301" s="237"/>
      <c r="K301" s="237"/>
      <c r="L301" s="237"/>
      <c r="M301" s="237"/>
      <c r="N301" s="237"/>
      <c r="O301" s="237"/>
      <c r="P301" s="237"/>
      <c r="Q301" s="237"/>
      <c r="R301" s="237"/>
      <c r="S301" s="237"/>
      <c r="T301" s="237"/>
      <c r="U301" s="237"/>
      <c r="V301" s="237"/>
      <c r="W301" s="237"/>
      <c r="X301" s="237"/>
      <c r="Y301" s="237"/>
      <c r="Z301" s="237"/>
      <c r="AA301" s="237"/>
      <c r="AB301" s="237"/>
      <c r="AC301" s="237"/>
      <c r="AD301" s="237"/>
      <c r="AE301" s="237"/>
      <c r="AF301" s="237"/>
      <c r="AG301" s="237"/>
      <c r="AH301" s="237"/>
      <c r="AI301" s="132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</row>
    <row r="302" spans="1:52" s="133" customFormat="1">
      <c r="A302" s="63" t="s">
        <v>579</v>
      </c>
      <c r="B302" s="569"/>
      <c r="C302" s="565"/>
      <c r="D302" s="566"/>
      <c r="E302" s="550">
        <v>2021</v>
      </c>
      <c r="F302" s="550">
        <f>E302+1</f>
        <v>2022</v>
      </c>
      <c r="G302" s="550">
        <f t="shared" ref="G302:AH302" si="118">F302+1</f>
        <v>2023</v>
      </c>
      <c r="H302" s="550">
        <f t="shared" si="118"/>
        <v>2024</v>
      </c>
      <c r="I302" s="550">
        <f t="shared" si="118"/>
        <v>2025</v>
      </c>
      <c r="J302" s="550">
        <f t="shared" si="118"/>
        <v>2026</v>
      </c>
      <c r="K302" s="550">
        <f t="shared" si="118"/>
        <v>2027</v>
      </c>
      <c r="L302" s="550">
        <f t="shared" si="118"/>
        <v>2028</v>
      </c>
      <c r="M302" s="550">
        <f t="shared" si="118"/>
        <v>2029</v>
      </c>
      <c r="N302" s="550">
        <f t="shared" si="118"/>
        <v>2030</v>
      </c>
      <c r="O302" s="550">
        <f t="shared" si="118"/>
        <v>2031</v>
      </c>
      <c r="P302" s="550">
        <f t="shared" si="118"/>
        <v>2032</v>
      </c>
      <c r="Q302" s="550">
        <f t="shared" si="118"/>
        <v>2033</v>
      </c>
      <c r="R302" s="550">
        <f t="shared" si="118"/>
        <v>2034</v>
      </c>
      <c r="S302" s="550">
        <f t="shared" si="118"/>
        <v>2035</v>
      </c>
      <c r="T302" s="550">
        <f t="shared" si="118"/>
        <v>2036</v>
      </c>
      <c r="U302" s="550">
        <f t="shared" si="118"/>
        <v>2037</v>
      </c>
      <c r="V302" s="550">
        <f t="shared" si="118"/>
        <v>2038</v>
      </c>
      <c r="W302" s="550">
        <f t="shared" si="118"/>
        <v>2039</v>
      </c>
      <c r="X302" s="550">
        <f t="shared" si="118"/>
        <v>2040</v>
      </c>
      <c r="Y302" s="550">
        <f t="shared" si="118"/>
        <v>2041</v>
      </c>
      <c r="Z302" s="550">
        <f t="shared" si="118"/>
        <v>2042</v>
      </c>
      <c r="AA302" s="550">
        <f t="shared" si="118"/>
        <v>2043</v>
      </c>
      <c r="AB302" s="550">
        <f t="shared" si="118"/>
        <v>2044</v>
      </c>
      <c r="AC302" s="550">
        <f t="shared" si="118"/>
        <v>2045</v>
      </c>
      <c r="AD302" s="550">
        <f t="shared" si="118"/>
        <v>2046</v>
      </c>
      <c r="AE302" s="550">
        <f t="shared" si="118"/>
        <v>2047</v>
      </c>
      <c r="AF302" s="550">
        <f t="shared" si="118"/>
        <v>2048</v>
      </c>
      <c r="AG302" s="550">
        <f t="shared" si="118"/>
        <v>2049</v>
      </c>
      <c r="AH302" s="550">
        <f t="shared" si="118"/>
        <v>2050</v>
      </c>
      <c r="AI302" s="132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</row>
    <row r="303" spans="1:52" s="133" customFormat="1">
      <c r="A303" s="551" t="s">
        <v>621</v>
      </c>
      <c r="B303" s="570"/>
      <c r="C303" s="553"/>
      <c r="D303" s="470"/>
      <c r="E303" s="573">
        <v>0.2</v>
      </c>
      <c r="F303" s="573">
        <v>0.2</v>
      </c>
      <c r="G303" s="573">
        <v>0.2</v>
      </c>
      <c r="H303" s="573">
        <v>0.2</v>
      </c>
      <c r="I303" s="573">
        <v>0.2</v>
      </c>
      <c r="J303" s="573">
        <v>0.2</v>
      </c>
      <c r="K303" s="573">
        <v>0.2</v>
      </c>
      <c r="L303" s="573">
        <v>0.2</v>
      </c>
      <c r="M303" s="573">
        <v>0.2</v>
      </c>
      <c r="N303" s="573">
        <v>0.2</v>
      </c>
      <c r="O303" s="573">
        <v>0.2</v>
      </c>
      <c r="P303" s="573">
        <v>0.2</v>
      </c>
      <c r="Q303" s="573">
        <v>0.2</v>
      </c>
      <c r="R303" s="573">
        <v>0.2</v>
      </c>
      <c r="S303" s="573">
        <v>0.2</v>
      </c>
      <c r="T303" s="573">
        <v>0.2</v>
      </c>
      <c r="U303" s="573">
        <v>0.2</v>
      </c>
      <c r="V303" s="573">
        <v>0.2</v>
      </c>
      <c r="W303" s="573">
        <v>0.2</v>
      </c>
      <c r="X303" s="573">
        <v>0.2</v>
      </c>
      <c r="Y303" s="573">
        <v>0.2</v>
      </c>
      <c r="Z303" s="573">
        <v>0.2</v>
      </c>
      <c r="AA303" s="573">
        <v>0.2</v>
      </c>
      <c r="AB303" s="573">
        <v>0.2</v>
      </c>
      <c r="AC303" s="573">
        <v>0.2</v>
      </c>
      <c r="AD303" s="573">
        <v>0.2</v>
      </c>
      <c r="AE303" s="573">
        <v>0.2</v>
      </c>
      <c r="AF303" s="573">
        <v>0.2</v>
      </c>
      <c r="AG303" s="573">
        <v>0.2</v>
      </c>
      <c r="AH303" s="573">
        <v>0.2</v>
      </c>
      <c r="AI303" s="132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</row>
    <row r="304" spans="1:52" s="133" customFormat="1">
      <c r="A304" s="551" t="s">
        <v>580</v>
      </c>
      <c r="B304" s="570"/>
      <c r="C304" s="553"/>
      <c r="D304" s="470"/>
      <c r="E304" s="573">
        <v>0.18</v>
      </c>
      <c r="F304" s="573">
        <v>0.18</v>
      </c>
      <c r="G304" s="573">
        <v>0.18</v>
      </c>
      <c r="H304" s="573">
        <v>0.18</v>
      </c>
      <c r="I304" s="573">
        <v>0.18</v>
      </c>
      <c r="J304" s="573">
        <v>0.18</v>
      </c>
      <c r="K304" s="573">
        <v>0.18</v>
      </c>
      <c r="L304" s="573">
        <v>0.18</v>
      </c>
      <c r="M304" s="573">
        <v>0.18</v>
      </c>
      <c r="N304" s="573">
        <v>0.18</v>
      </c>
      <c r="O304" s="573">
        <v>0.18</v>
      </c>
      <c r="P304" s="573">
        <v>0.18</v>
      </c>
      <c r="Q304" s="573">
        <v>0.18</v>
      </c>
      <c r="R304" s="573">
        <v>0.18</v>
      </c>
      <c r="S304" s="573">
        <v>0.18</v>
      </c>
      <c r="T304" s="573">
        <v>0.18</v>
      </c>
      <c r="U304" s="573">
        <v>0.18</v>
      </c>
      <c r="V304" s="573">
        <v>0.18</v>
      </c>
      <c r="W304" s="573">
        <v>0.18</v>
      </c>
      <c r="X304" s="573">
        <v>0.18</v>
      </c>
      <c r="Y304" s="573">
        <v>0.18</v>
      </c>
      <c r="Z304" s="573">
        <v>0.18</v>
      </c>
      <c r="AA304" s="573">
        <v>0.18</v>
      </c>
      <c r="AB304" s="573">
        <v>0.18</v>
      </c>
      <c r="AC304" s="573">
        <v>0.18</v>
      </c>
      <c r="AD304" s="573">
        <v>0.18</v>
      </c>
      <c r="AE304" s="573">
        <v>0.18</v>
      </c>
      <c r="AF304" s="573">
        <v>0.18</v>
      </c>
      <c r="AG304" s="573">
        <v>0.18</v>
      </c>
      <c r="AH304" s="573">
        <v>0.18</v>
      </c>
      <c r="AI304" s="132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</row>
    <row r="305" spans="1:52" s="133" customFormat="1">
      <c r="A305" s="551" t="s">
        <v>622</v>
      </c>
      <c r="B305" s="570"/>
      <c r="C305" s="553"/>
      <c r="D305" s="470"/>
      <c r="E305" s="573">
        <v>0.24</v>
      </c>
      <c r="F305" s="573">
        <v>0.24</v>
      </c>
      <c r="G305" s="573">
        <v>0.24</v>
      </c>
      <c r="H305" s="573">
        <v>0.24</v>
      </c>
      <c r="I305" s="573">
        <v>0.24</v>
      </c>
      <c r="J305" s="573">
        <v>0.24</v>
      </c>
      <c r="K305" s="573">
        <v>0.24</v>
      </c>
      <c r="L305" s="573">
        <v>0.24</v>
      </c>
      <c r="M305" s="573">
        <v>0.24</v>
      </c>
      <c r="N305" s="573">
        <v>0.24</v>
      </c>
      <c r="O305" s="573">
        <v>0.24</v>
      </c>
      <c r="P305" s="573">
        <v>0.24</v>
      </c>
      <c r="Q305" s="573">
        <v>0.24</v>
      </c>
      <c r="R305" s="573">
        <v>0.24</v>
      </c>
      <c r="S305" s="573">
        <v>0.24</v>
      </c>
      <c r="T305" s="573">
        <v>0.24</v>
      </c>
      <c r="U305" s="573">
        <v>0.24</v>
      </c>
      <c r="V305" s="573">
        <v>0.24</v>
      </c>
      <c r="W305" s="573">
        <v>0.24</v>
      </c>
      <c r="X305" s="573">
        <v>0.24</v>
      </c>
      <c r="Y305" s="573">
        <v>0.24</v>
      </c>
      <c r="Z305" s="573">
        <v>0.24</v>
      </c>
      <c r="AA305" s="573">
        <v>0.24</v>
      </c>
      <c r="AB305" s="573">
        <v>0.24</v>
      </c>
      <c r="AC305" s="573">
        <v>0.24</v>
      </c>
      <c r="AD305" s="573">
        <v>0.24</v>
      </c>
      <c r="AE305" s="573">
        <v>0.24</v>
      </c>
      <c r="AF305" s="573">
        <v>0.24</v>
      </c>
      <c r="AG305" s="573">
        <v>0.24</v>
      </c>
      <c r="AH305" s="573">
        <v>0.24</v>
      </c>
      <c r="AI305" s="132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</row>
    <row r="306" spans="1:52" s="133" customFormat="1">
      <c r="A306" s="551"/>
      <c r="B306" s="570" t="s">
        <v>452</v>
      </c>
      <c r="C306" s="553"/>
      <c r="D306" s="470"/>
      <c r="E306" s="237"/>
      <c r="F306" s="237"/>
      <c r="G306" s="237"/>
      <c r="H306" s="237"/>
      <c r="I306" s="237"/>
      <c r="J306" s="237"/>
      <c r="K306" s="237"/>
      <c r="L306" s="237"/>
      <c r="M306" s="237"/>
      <c r="N306" s="237"/>
      <c r="O306" s="237"/>
      <c r="P306" s="237"/>
      <c r="Q306" s="237"/>
      <c r="R306" s="237"/>
      <c r="S306" s="237"/>
      <c r="T306" s="237"/>
      <c r="U306" s="237"/>
      <c r="V306" s="237"/>
      <c r="W306" s="237"/>
      <c r="X306" s="237"/>
      <c r="Y306" s="237"/>
      <c r="Z306" s="237"/>
      <c r="AA306" s="237"/>
      <c r="AB306" s="237"/>
      <c r="AC306" s="237"/>
      <c r="AD306" s="237"/>
      <c r="AE306" s="237"/>
      <c r="AF306" s="237"/>
      <c r="AG306" s="237"/>
      <c r="AH306" s="237"/>
      <c r="AI306" s="132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</row>
    <row r="307" spans="1:52" s="133" customFormat="1">
      <c r="A307" s="629" t="s">
        <v>704</v>
      </c>
      <c r="B307" s="570" t="s">
        <v>200</v>
      </c>
      <c r="C307" s="553" t="s">
        <v>195</v>
      </c>
      <c r="D307" s="470"/>
      <c r="E307" s="237"/>
      <c r="F307" s="237"/>
      <c r="G307" s="237"/>
      <c r="H307" s="237"/>
      <c r="I307" s="237"/>
      <c r="J307" s="237"/>
      <c r="K307" s="237"/>
      <c r="L307" s="237"/>
      <c r="M307" s="237"/>
      <c r="N307" s="237"/>
      <c r="O307" s="237"/>
      <c r="P307" s="237"/>
      <c r="Q307" s="237"/>
      <c r="R307" s="237"/>
      <c r="S307" s="237"/>
      <c r="T307" s="237"/>
      <c r="U307" s="237"/>
      <c r="V307" s="237"/>
      <c r="W307" s="237"/>
      <c r="X307" s="237"/>
      <c r="Y307" s="237"/>
      <c r="Z307" s="237"/>
      <c r="AA307" s="237"/>
      <c r="AB307" s="237"/>
      <c r="AC307" s="237"/>
      <c r="AD307" s="237"/>
      <c r="AE307" s="237"/>
      <c r="AF307" s="237"/>
      <c r="AG307" s="237"/>
      <c r="AH307" s="237"/>
      <c r="AI307" s="132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</row>
    <row r="308" spans="1:52" s="133" customFormat="1">
      <c r="A308" s="551" t="s">
        <v>202</v>
      </c>
      <c r="B308" s="570" t="s">
        <v>201</v>
      </c>
      <c r="C308" s="553" t="s">
        <v>584</v>
      </c>
      <c r="D308" s="470" t="s">
        <v>583</v>
      </c>
      <c r="E308" s="550">
        <v>2021</v>
      </c>
      <c r="F308" s="237">
        <v>2021</v>
      </c>
      <c r="G308" s="237">
        <v>2022</v>
      </c>
      <c r="H308" s="237">
        <v>2023</v>
      </c>
      <c r="I308" s="237">
        <v>2024</v>
      </c>
      <c r="J308" s="237">
        <v>2025</v>
      </c>
      <c r="K308" s="237">
        <v>2026</v>
      </c>
      <c r="L308" s="237">
        <v>2027</v>
      </c>
      <c r="M308" s="237">
        <v>2028</v>
      </c>
      <c r="N308" s="237">
        <v>2029</v>
      </c>
      <c r="O308" s="237">
        <v>2030</v>
      </c>
      <c r="P308" s="237">
        <v>2031</v>
      </c>
      <c r="Q308" s="237">
        <v>2032</v>
      </c>
      <c r="R308" s="237">
        <v>2033</v>
      </c>
      <c r="S308" s="237">
        <v>2034</v>
      </c>
      <c r="T308" s="237">
        <v>2035</v>
      </c>
      <c r="U308" s="237">
        <v>2036</v>
      </c>
      <c r="V308" s="237">
        <v>2037</v>
      </c>
      <c r="W308" s="237">
        <v>2038</v>
      </c>
      <c r="X308" s="237">
        <v>2039</v>
      </c>
      <c r="Y308" s="237">
        <v>2040</v>
      </c>
      <c r="Z308" s="237">
        <v>2041</v>
      </c>
      <c r="AA308" s="237">
        <v>2042</v>
      </c>
      <c r="AB308" s="237">
        <v>2043</v>
      </c>
      <c r="AC308" s="237">
        <v>2044</v>
      </c>
      <c r="AD308" s="237">
        <v>2045</v>
      </c>
      <c r="AE308" s="237">
        <v>2046</v>
      </c>
      <c r="AF308" s="237">
        <v>2047</v>
      </c>
      <c r="AG308" s="237">
        <v>2048</v>
      </c>
      <c r="AH308" s="237">
        <v>2049</v>
      </c>
      <c r="AI308" s="132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</row>
    <row r="309" spans="1:52" s="133" customFormat="1">
      <c r="A309" s="571" t="str">
        <f>A108</f>
        <v>CITY</v>
      </c>
      <c r="B309" s="514">
        <f>'USER INPUTS'!B9/100*'LOCAL DATASET INPUTS'!$E$79*1000*0.65</f>
        <v>58305.271781407573</v>
      </c>
      <c r="C309" s="553">
        <f>100-D309</f>
        <v>0</v>
      </c>
      <c r="D309" s="480">
        <v>100</v>
      </c>
      <c r="E309" s="573">
        <f>($C$309/100*E$304)+($D$309/100*E$305)</f>
        <v>0.24</v>
      </c>
      <c r="F309" s="573">
        <f t="shared" ref="F309:AH309" si="119">($C$309/100*F$304)+($D$309/100*F$305)</f>
        <v>0.24</v>
      </c>
      <c r="G309" s="573">
        <f t="shared" si="119"/>
        <v>0.24</v>
      </c>
      <c r="H309" s="573">
        <f t="shared" si="119"/>
        <v>0.24</v>
      </c>
      <c r="I309" s="573">
        <f t="shared" si="119"/>
        <v>0.24</v>
      </c>
      <c r="J309" s="573">
        <f t="shared" si="119"/>
        <v>0.24</v>
      </c>
      <c r="K309" s="573">
        <f t="shared" si="119"/>
        <v>0.24</v>
      </c>
      <c r="L309" s="573">
        <f t="shared" si="119"/>
        <v>0.24</v>
      </c>
      <c r="M309" s="573">
        <f t="shared" si="119"/>
        <v>0.24</v>
      </c>
      <c r="N309" s="573">
        <f t="shared" si="119"/>
        <v>0.24</v>
      </c>
      <c r="O309" s="573">
        <f t="shared" si="119"/>
        <v>0.24</v>
      </c>
      <c r="P309" s="573">
        <f t="shared" si="119"/>
        <v>0.24</v>
      </c>
      <c r="Q309" s="573">
        <f t="shared" si="119"/>
        <v>0.24</v>
      </c>
      <c r="R309" s="573">
        <f t="shared" si="119"/>
        <v>0.24</v>
      </c>
      <c r="S309" s="573">
        <f t="shared" si="119"/>
        <v>0.24</v>
      </c>
      <c r="T309" s="573">
        <f t="shared" si="119"/>
        <v>0.24</v>
      </c>
      <c r="U309" s="573">
        <f t="shared" si="119"/>
        <v>0.24</v>
      </c>
      <c r="V309" s="573">
        <f t="shared" si="119"/>
        <v>0.24</v>
      </c>
      <c r="W309" s="573">
        <f t="shared" si="119"/>
        <v>0.24</v>
      </c>
      <c r="X309" s="573">
        <f t="shared" si="119"/>
        <v>0.24</v>
      </c>
      <c r="Y309" s="573">
        <f t="shared" si="119"/>
        <v>0.24</v>
      </c>
      <c r="Z309" s="573">
        <f t="shared" si="119"/>
        <v>0.24</v>
      </c>
      <c r="AA309" s="573">
        <f t="shared" si="119"/>
        <v>0.24</v>
      </c>
      <c r="AB309" s="573">
        <f t="shared" si="119"/>
        <v>0.24</v>
      </c>
      <c r="AC309" s="573">
        <f t="shared" si="119"/>
        <v>0.24</v>
      </c>
      <c r="AD309" s="573">
        <f t="shared" si="119"/>
        <v>0.24</v>
      </c>
      <c r="AE309" s="573">
        <f t="shared" si="119"/>
        <v>0.24</v>
      </c>
      <c r="AF309" s="573">
        <f t="shared" si="119"/>
        <v>0.24</v>
      </c>
      <c r="AG309" s="573">
        <f t="shared" si="119"/>
        <v>0.24</v>
      </c>
      <c r="AH309" s="573">
        <f t="shared" si="119"/>
        <v>0.24</v>
      </c>
      <c r="AI309" s="132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</row>
    <row r="310" spans="1:52" s="133" customFormat="1">
      <c r="A310" s="571" t="str">
        <f>A109</f>
        <v>TOWN</v>
      </c>
      <c r="B310" s="514">
        <f>'USER INPUTS'!B10/100*'LOCAL DATASET INPUTS'!$E$79*1000*0.65</f>
        <v>0</v>
      </c>
      <c r="C310" s="553">
        <f>100-D310</f>
        <v>20</v>
      </c>
      <c r="D310" s="480">
        <v>80</v>
      </c>
      <c r="E310" s="573">
        <f>($C$310/100*E$304)+($D$310/100*E$305)</f>
        <v>0.22800000000000001</v>
      </c>
      <c r="F310" s="573">
        <f t="shared" ref="F310:AH310" si="120">($C$310/100*F$304)+($D$310/100*F$305)</f>
        <v>0.22800000000000001</v>
      </c>
      <c r="G310" s="573">
        <f t="shared" si="120"/>
        <v>0.22800000000000001</v>
      </c>
      <c r="H310" s="573">
        <f t="shared" si="120"/>
        <v>0.22800000000000001</v>
      </c>
      <c r="I310" s="573">
        <f t="shared" si="120"/>
        <v>0.22800000000000001</v>
      </c>
      <c r="J310" s="573">
        <f t="shared" si="120"/>
        <v>0.22800000000000001</v>
      </c>
      <c r="K310" s="573">
        <f t="shared" si="120"/>
        <v>0.22800000000000001</v>
      </c>
      <c r="L310" s="573">
        <f t="shared" si="120"/>
        <v>0.22800000000000001</v>
      </c>
      <c r="M310" s="573">
        <f t="shared" si="120"/>
        <v>0.22800000000000001</v>
      </c>
      <c r="N310" s="573">
        <f t="shared" si="120"/>
        <v>0.22800000000000001</v>
      </c>
      <c r="O310" s="573">
        <f t="shared" si="120"/>
        <v>0.22800000000000001</v>
      </c>
      <c r="P310" s="573">
        <f t="shared" si="120"/>
        <v>0.22800000000000001</v>
      </c>
      <c r="Q310" s="573">
        <f t="shared" si="120"/>
        <v>0.22800000000000001</v>
      </c>
      <c r="R310" s="573">
        <f t="shared" si="120"/>
        <v>0.22800000000000001</v>
      </c>
      <c r="S310" s="573">
        <f t="shared" si="120"/>
        <v>0.22800000000000001</v>
      </c>
      <c r="T310" s="573">
        <f t="shared" si="120"/>
        <v>0.22800000000000001</v>
      </c>
      <c r="U310" s="573">
        <f t="shared" si="120"/>
        <v>0.22800000000000001</v>
      </c>
      <c r="V310" s="573">
        <f t="shared" si="120"/>
        <v>0.22800000000000001</v>
      </c>
      <c r="W310" s="573">
        <f t="shared" si="120"/>
        <v>0.22800000000000001</v>
      </c>
      <c r="X310" s="573">
        <f t="shared" si="120"/>
        <v>0.22800000000000001</v>
      </c>
      <c r="Y310" s="573">
        <f t="shared" si="120"/>
        <v>0.22800000000000001</v>
      </c>
      <c r="Z310" s="573">
        <f t="shared" si="120"/>
        <v>0.22800000000000001</v>
      </c>
      <c r="AA310" s="573">
        <f t="shared" si="120"/>
        <v>0.22800000000000001</v>
      </c>
      <c r="AB310" s="573">
        <f t="shared" si="120"/>
        <v>0.22800000000000001</v>
      </c>
      <c r="AC310" s="573">
        <f t="shared" si="120"/>
        <v>0.22800000000000001</v>
      </c>
      <c r="AD310" s="573">
        <f t="shared" si="120"/>
        <v>0.22800000000000001</v>
      </c>
      <c r="AE310" s="573">
        <f t="shared" si="120"/>
        <v>0.22800000000000001</v>
      </c>
      <c r="AF310" s="573">
        <f t="shared" si="120"/>
        <v>0.22800000000000001</v>
      </c>
      <c r="AG310" s="573">
        <f t="shared" si="120"/>
        <v>0.22800000000000001</v>
      </c>
      <c r="AH310" s="573">
        <f t="shared" si="120"/>
        <v>0.22800000000000001</v>
      </c>
      <c r="AI310" s="132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</row>
    <row r="311" spans="1:52" s="133" customFormat="1">
      <c r="A311" s="571" t="str">
        <f>A110</f>
        <v>SUBURBAN</v>
      </c>
      <c r="B311" s="514">
        <f>'USER INPUTS'!B11/100*'LOCAL DATASET INPUTS'!$E$79*1000*0.65</f>
        <v>0</v>
      </c>
      <c r="C311" s="553">
        <f>100-D311</f>
        <v>70</v>
      </c>
      <c r="D311" s="480">
        <v>30</v>
      </c>
      <c r="E311" s="573">
        <f>($C$311/100*E$304)+($D$311/100*E$305)</f>
        <v>0.19800000000000001</v>
      </c>
      <c r="F311" s="573">
        <f t="shared" ref="F311:AH311" si="121">($C$311/100*F$304)+($D$311/100*F$305)</f>
        <v>0.19800000000000001</v>
      </c>
      <c r="G311" s="573">
        <f t="shared" si="121"/>
        <v>0.19800000000000001</v>
      </c>
      <c r="H311" s="573">
        <f t="shared" si="121"/>
        <v>0.19800000000000001</v>
      </c>
      <c r="I311" s="573">
        <f t="shared" si="121"/>
        <v>0.19800000000000001</v>
      </c>
      <c r="J311" s="573">
        <f t="shared" si="121"/>
        <v>0.19800000000000001</v>
      </c>
      <c r="K311" s="573">
        <f t="shared" si="121"/>
        <v>0.19800000000000001</v>
      </c>
      <c r="L311" s="573">
        <f t="shared" si="121"/>
        <v>0.19800000000000001</v>
      </c>
      <c r="M311" s="573">
        <f t="shared" si="121"/>
        <v>0.19800000000000001</v>
      </c>
      <c r="N311" s="573">
        <f t="shared" si="121"/>
        <v>0.19800000000000001</v>
      </c>
      <c r="O311" s="573">
        <f t="shared" si="121"/>
        <v>0.19800000000000001</v>
      </c>
      <c r="P311" s="573">
        <f t="shared" si="121"/>
        <v>0.19800000000000001</v>
      </c>
      <c r="Q311" s="573">
        <f t="shared" si="121"/>
        <v>0.19800000000000001</v>
      </c>
      <c r="R311" s="573">
        <f t="shared" si="121"/>
        <v>0.19800000000000001</v>
      </c>
      <c r="S311" s="573">
        <f t="shared" si="121"/>
        <v>0.19800000000000001</v>
      </c>
      <c r="T311" s="573">
        <f t="shared" si="121"/>
        <v>0.19800000000000001</v>
      </c>
      <c r="U311" s="573">
        <f t="shared" si="121"/>
        <v>0.19800000000000001</v>
      </c>
      <c r="V311" s="573">
        <f t="shared" si="121"/>
        <v>0.19800000000000001</v>
      </c>
      <c r="W311" s="573">
        <f t="shared" si="121"/>
        <v>0.19800000000000001</v>
      </c>
      <c r="X311" s="573">
        <f t="shared" si="121"/>
        <v>0.19800000000000001</v>
      </c>
      <c r="Y311" s="573">
        <f t="shared" si="121"/>
        <v>0.19800000000000001</v>
      </c>
      <c r="Z311" s="573">
        <f t="shared" si="121"/>
        <v>0.19800000000000001</v>
      </c>
      <c r="AA311" s="573">
        <f t="shared" si="121"/>
        <v>0.19800000000000001</v>
      </c>
      <c r="AB311" s="573">
        <f t="shared" si="121"/>
        <v>0.19800000000000001</v>
      </c>
      <c r="AC311" s="573">
        <f t="shared" si="121"/>
        <v>0.19800000000000001</v>
      </c>
      <c r="AD311" s="573">
        <f t="shared" si="121"/>
        <v>0.19800000000000001</v>
      </c>
      <c r="AE311" s="573">
        <f t="shared" si="121"/>
        <v>0.19800000000000001</v>
      </c>
      <c r="AF311" s="573">
        <f t="shared" si="121"/>
        <v>0.19800000000000001</v>
      </c>
      <c r="AG311" s="573">
        <f t="shared" si="121"/>
        <v>0.19800000000000001</v>
      </c>
      <c r="AH311" s="573">
        <f t="shared" si="121"/>
        <v>0.19800000000000001</v>
      </c>
      <c r="AI311" s="132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</row>
    <row r="312" spans="1:52" s="133" customFormat="1">
      <c r="A312" s="571" t="str">
        <f>A111</f>
        <v xml:space="preserve">RURAL </v>
      </c>
      <c r="B312" s="514">
        <f>'USER INPUTS'!B12/100*'LOCAL DATASET INPUTS'!$E$79*1000*0.65</f>
        <v>0</v>
      </c>
      <c r="C312" s="553">
        <f>100-D312</f>
        <v>100</v>
      </c>
      <c r="D312" s="480">
        <v>0</v>
      </c>
      <c r="E312" s="573">
        <f>($C$312/100*E$304)+($D$312/100*E$305)</f>
        <v>0.18</v>
      </c>
      <c r="F312" s="573">
        <f t="shared" ref="F312:AH312" si="122">($C$312/100*F$304)+($D$312/100*F$305)</f>
        <v>0.18</v>
      </c>
      <c r="G312" s="573">
        <f t="shared" si="122"/>
        <v>0.18</v>
      </c>
      <c r="H312" s="573">
        <f t="shared" si="122"/>
        <v>0.18</v>
      </c>
      <c r="I312" s="573">
        <f t="shared" si="122"/>
        <v>0.18</v>
      </c>
      <c r="J312" s="573">
        <f t="shared" si="122"/>
        <v>0.18</v>
      </c>
      <c r="K312" s="573">
        <f t="shared" si="122"/>
        <v>0.18</v>
      </c>
      <c r="L312" s="573">
        <f t="shared" si="122"/>
        <v>0.18</v>
      </c>
      <c r="M312" s="573">
        <f t="shared" si="122"/>
        <v>0.18</v>
      </c>
      <c r="N312" s="573">
        <f t="shared" si="122"/>
        <v>0.18</v>
      </c>
      <c r="O312" s="573">
        <f t="shared" si="122"/>
        <v>0.18</v>
      </c>
      <c r="P312" s="573">
        <f t="shared" si="122"/>
        <v>0.18</v>
      </c>
      <c r="Q312" s="573">
        <f t="shared" si="122"/>
        <v>0.18</v>
      </c>
      <c r="R312" s="573">
        <f t="shared" si="122"/>
        <v>0.18</v>
      </c>
      <c r="S312" s="573">
        <f t="shared" si="122"/>
        <v>0.18</v>
      </c>
      <c r="T312" s="573">
        <f t="shared" si="122"/>
        <v>0.18</v>
      </c>
      <c r="U312" s="573">
        <f t="shared" si="122"/>
        <v>0.18</v>
      </c>
      <c r="V312" s="573">
        <f t="shared" si="122"/>
        <v>0.18</v>
      </c>
      <c r="W312" s="573">
        <f t="shared" si="122"/>
        <v>0.18</v>
      </c>
      <c r="X312" s="573">
        <f t="shared" si="122"/>
        <v>0.18</v>
      </c>
      <c r="Y312" s="573">
        <f t="shared" si="122"/>
        <v>0.18</v>
      </c>
      <c r="Z312" s="573">
        <f t="shared" si="122"/>
        <v>0.18</v>
      </c>
      <c r="AA312" s="573">
        <f t="shared" si="122"/>
        <v>0.18</v>
      </c>
      <c r="AB312" s="573">
        <f t="shared" si="122"/>
        <v>0.18</v>
      </c>
      <c r="AC312" s="573">
        <f t="shared" si="122"/>
        <v>0.18</v>
      </c>
      <c r="AD312" s="573">
        <f t="shared" si="122"/>
        <v>0.18</v>
      </c>
      <c r="AE312" s="573">
        <f t="shared" si="122"/>
        <v>0.18</v>
      </c>
      <c r="AF312" s="573">
        <f t="shared" si="122"/>
        <v>0.18</v>
      </c>
      <c r="AG312" s="573">
        <f t="shared" si="122"/>
        <v>0.18</v>
      </c>
      <c r="AH312" s="573">
        <f t="shared" si="122"/>
        <v>0.18</v>
      </c>
      <c r="AI312" s="132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</row>
    <row r="313" spans="1:52" s="133" customFormat="1">
      <c r="A313" s="43"/>
      <c r="B313" s="572"/>
      <c r="C313" s="131"/>
      <c r="D313" s="230"/>
      <c r="E313" s="573"/>
      <c r="F313" s="573"/>
      <c r="G313" s="573"/>
      <c r="H313" s="573"/>
      <c r="I313" s="573"/>
      <c r="J313" s="573"/>
      <c r="K313" s="573"/>
      <c r="L313" s="573"/>
      <c r="M313" s="573"/>
      <c r="N313" s="573"/>
      <c r="O313" s="573"/>
      <c r="P313" s="573"/>
      <c r="Q313" s="573"/>
      <c r="R313" s="573"/>
      <c r="S313" s="573"/>
      <c r="T313" s="573"/>
      <c r="U313" s="573"/>
      <c r="V313" s="573"/>
      <c r="W313" s="573"/>
      <c r="X313" s="573"/>
      <c r="Y313" s="573"/>
      <c r="Z313" s="573"/>
      <c r="AA313" s="573"/>
      <c r="AB313" s="573"/>
      <c r="AC313" s="573"/>
      <c r="AD313" s="573"/>
      <c r="AE313" s="573"/>
      <c r="AF313" s="573"/>
      <c r="AG313" s="573"/>
      <c r="AH313" s="573"/>
      <c r="AI313" s="132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</row>
    <row r="314" spans="1:52" s="133" customFormat="1">
      <c r="A314" s="128"/>
      <c r="B314" s="572"/>
      <c r="C314" s="246"/>
      <c r="D314" s="230"/>
      <c r="E314" s="573"/>
      <c r="F314" s="573"/>
      <c r="G314" s="573"/>
      <c r="H314" s="573"/>
      <c r="I314" s="573"/>
      <c r="J314" s="573"/>
      <c r="K314" s="573"/>
      <c r="L314" s="573"/>
      <c r="M314" s="573"/>
      <c r="N314" s="573"/>
      <c r="O314" s="573"/>
      <c r="P314" s="573"/>
      <c r="Q314" s="573"/>
      <c r="R314" s="573"/>
      <c r="S314" s="573"/>
      <c r="T314" s="573"/>
      <c r="U314" s="573"/>
      <c r="V314" s="573"/>
      <c r="W314" s="573"/>
      <c r="X314" s="573"/>
      <c r="Y314" s="573"/>
      <c r="Z314" s="573"/>
      <c r="AA314" s="573"/>
      <c r="AB314" s="573"/>
      <c r="AC314" s="573"/>
      <c r="AD314" s="573"/>
      <c r="AE314" s="573"/>
      <c r="AF314" s="573"/>
      <c r="AG314" s="573"/>
      <c r="AH314" s="573"/>
      <c r="AI314" s="132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</row>
    <row r="315" spans="1:52" s="133" customFormat="1">
      <c r="A315" s="43"/>
      <c r="B315" s="242">
        <f>SUM(B309:B314)</f>
        <v>58305.271781407573</v>
      </c>
      <c r="C315" s="131"/>
      <c r="D315" s="258"/>
      <c r="E315" s="237">
        <f>($B$309/$B$315*E309)+($B$310/$B$315*E310)+($B$311/$B$315*E311)+($B$312/$B$315*E312)</f>
        <v>0.24</v>
      </c>
      <c r="F315" s="237">
        <f>($B$309/$B$315*F309)+($B$310/$B$315*F310)+($B$311/$B$315*F311)+($B$312/$B$315*F312)</f>
        <v>0.24</v>
      </c>
      <c r="G315" s="237">
        <f t="shared" ref="G315:AH315" si="123">($B$309/$B$315*G309)+($B$310/$B$315*G310)+($B$311/$B$315*G311)+($B$312/$B$315*G312)</f>
        <v>0.24</v>
      </c>
      <c r="H315" s="237">
        <f t="shared" si="123"/>
        <v>0.24</v>
      </c>
      <c r="I315" s="237">
        <f t="shared" si="123"/>
        <v>0.24</v>
      </c>
      <c r="J315" s="237">
        <f t="shared" si="123"/>
        <v>0.24</v>
      </c>
      <c r="K315" s="237">
        <f t="shared" si="123"/>
        <v>0.24</v>
      </c>
      <c r="L315" s="237">
        <f t="shared" si="123"/>
        <v>0.24</v>
      </c>
      <c r="M315" s="237">
        <f t="shared" si="123"/>
        <v>0.24</v>
      </c>
      <c r="N315" s="237">
        <f t="shared" si="123"/>
        <v>0.24</v>
      </c>
      <c r="O315" s="237">
        <f t="shared" si="123"/>
        <v>0.24</v>
      </c>
      <c r="P315" s="237">
        <f t="shared" si="123"/>
        <v>0.24</v>
      </c>
      <c r="Q315" s="237">
        <f t="shared" si="123"/>
        <v>0.24</v>
      </c>
      <c r="R315" s="237">
        <f t="shared" si="123"/>
        <v>0.24</v>
      </c>
      <c r="S315" s="237">
        <f t="shared" si="123"/>
        <v>0.24</v>
      </c>
      <c r="T315" s="237">
        <f t="shared" si="123"/>
        <v>0.24</v>
      </c>
      <c r="U315" s="237">
        <f t="shared" si="123"/>
        <v>0.24</v>
      </c>
      <c r="V315" s="237">
        <f t="shared" si="123"/>
        <v>0.24</v>
      </c>
      <c r="W315" s="237">
        <f t="shared" si="123"/>
        <v>0.24</v>
      </c>
      <c r="X315" s="237">
        <f t="shared" si="123"/>
        <v>0.24</v>
      </c>
      <c r="Y315" s="237">
        <f t="shared" si="123"/>
        <v>0.24</v>
      </c>
      <c r="Z315" s="237">
        <f t="shared" si="123"/>
        <v>0.24</v>
      </c>
      <c r="AA315" s="237">
        <f t="shared" si="123"/>
        <v>0.24</v>
      </c>
      <c r="AB315" s="237">
        <f t="shared" si="123"/>
        <v>0.24</v>
      </c>
      <c r="AC315" s="237">
        <f t="shared" si="123"/>
        <v>0.24</v>
      </c>
      <c r="AD315" s="237">
        <f t="shared" si="123"/>
        <v>0.24</v>
      </c>
      <c r="AE315" s="237">
        <f t="shared" si="123"/>
        <v>0.24</v>
      </c>
      <c r="AF315" s="237">
        <f t="shared" si="123"/>
        <v>0.24</v>
      </c>
      <c r="AG315" s="237">
        <f t="shared" si="123"/>
        <v>0.24</v>
      </c>
      <c r="AH315" s="237">
        <f t="shared" si="123"/>
        <v>0.24</v>
      </c>
      <c r="AI315" s="132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</row>
    <row r="316" spans="1:52" s="133" customFormat="1">
      <c r="A316" s="43"/>
      <c r="B316" s="242"/>
      <c r="C316" s="131"/>
      <c r="D316" s="258"/>
      <c r="E316" s="237"/>
      <c r="F316" s="237"/>
      <c r="G316" s="237"/>
      <c r="H316" s="237"/>
      <c r="I316" s="237"/>
      <c r="J316" s="237"/>
      <c r="K316" s="237"/>
      <c r="L316" s="237"/>
      <c r="M316" s="237"/>
      <c r="N316" s="237"/>
      <c r="O316" s="237"/>
      <c r="P316" s="237"/>
      <c r="Q316" s="237"/>
      <c r="R316" s="237"/>
      <c r="S316" s="237"/>
      <c r="T316" s="237"/>
      <c r="U316" s="237"/>
      <c r="V316" s="237"/>
      <c r="W316" s="237"/>
      <c r="X316" s="237"/>
      <c r="Y316" s="237"/>
      <c r="Z316" s="237"/>
      <c r="AA316" s="237"/>
      <c r="AB316" s="237"/>
      <c r="AC316" s="237"/>
      <c r="AD316" s="237"/>
      <c r="AE316" s="237"/>
      <c r="AF316" s="237"/>
      <c r="AG316" s="237"/>
      <c r="AH316" s="237"/>
      <c r="AI316" s="132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</row>
    <row r="317" spans="1:52" s="133" customFormat="1">
      <c r="A317" s="43"/>
      <c r="B317" s="131"/>
      <c r="C317" s="131"/>
      <c r="D317" s="258"/>
      <c r="E317" s="172"/>
      <c r="F317" s="172"/>
      <c r="G317" s="172"/>
      <c r="H317" s="172"/>
      <c r="I317" s="172"/>
      <c r="J317" s="172"/>
      <c r="K317" s="172"/>
      <c r="L317" s="172"/>
      <c r="M317" s="172"/>
      <c r="N317" s="172"/>
      <c r="O317" s="172"/>
      <c r="P317" s="172"/>
      <c r="Q317" s="172"/>
      <c r="R317" s="172"/>
      <c r="S317" s="172"/>
      <c r="T317" s="172"/>
      <c r="U317" s="172"/>
      <c r="V317" s="172"/>
      <c r="W317" s="172"/>
      <c r="X317" s="172"/>
      <c r="Y317" s="172"/>
      <c r="Z317" s="172"/>
      <c r="AA317" s="172"/>
      <c r="AB317" s="172"/>
      <c r="AC317" s="172"/>
      <c r="AD317" s="172"/>
      <c r="AE317" s="172"/>
      <c r="AF317" s="172"/>
      <c r="AG317" s="172"/>
      <c r="AH317" s="172"/>
      <c r="AI317" s="132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</row>
    <row r="318" spans="1:52" s="133" customFormat="1">
      <c r="A318" s="128" t="s">
        <v>705</v>
      </c>
      <c r="B318" s="246"/>
      <c r="C318" s="246"/>
      <c r="D318" s="554"/>
      <c r="E318" s="562">
        <v>2021</v>
      </c>
      <c r="F318" s="562">
        <f>E318+1</f>
        <v>2022</v>
      </c>
      <c r="G318" s="562">
        <f t="shared" ref="G318:AH318" si="124">F318+1</f>
        <v>2023</v>
      </c>
      <c r="H318" s="562">
        <f t="shared" si="124"/>
        <v>2024</v>
      </c>
      <c r="I318" s="562">
        <f t="shared" si="124"/>
        <v>2025</v>
      </c>
      <c r="J318" s="562">
        <f t="shared" si="124"/>
        <v>2026</v>
      </c>
      <c r="K318" s="562">
        <f t="shared" si="124"/>
        <v>2027</v>
      </c>
      <c r="L318" s="562">
        <f t="shared" si="124"/>
        <v>2028</v>
      </c>
      <c r="M318" s="562">
        <f t="shared" si="124"/>
        <v>2029</v>
      </c>
      <c r="N318" s="562">
        <f t="shared" si="124"/>
        <v>2030</v>
      </c>
      <c r="O318" s="562">
        <f t="shared" si="124"/>
        <v>2031</v>
      </c>
      <c r="P318" s="562">
        <f t="shared" si="124"/>
        <v>2032</v>
      </c>
      <c r="Q318" s="562">
        <f t="shared" si="124"/>
        <v>2033</v>
      </c>
      <c r="R318" s="562">
        <f t="shared" si="124"/>
        <v>2034</v>
      </c>
      <c r="S318" s="562">
        <f t="shared" si="124"/>
        <v>2035</v>
      </c>
      <c r="T318" s="562">
        <f t="shared" si="124"/>
        <v>2036</v>
      </c>
      <c r="U318" s="562">
        <f t="shared" si="124"/>
        <v>2037</v>
      </c>
      <c r="V318" s="562">
        <f t="shared" si="124"/>
        <v>2038</v>
      </c>
      <c r="W318" s="562">
        <f t="shared" si="124"/>
        <v>2039</v>
      </c>
      <c r="X318" s="562">
        <f t="shared" si="124"/>
        <v>2040</v>
      </c>
      <c r="Y318" s="562">
        <f t="shared" si="124"/>
        <v>2041</v>
      </c>
      <c r="Z318" s="562">
        <f t="shared" si="124"/>
        <v>2042</v>
      </c>
      <c r="AA318" s="562">
        <f t="shared" si="124"/>
        <v>2043</v>
      </c>
      <c r="AB318" s="562">
        <f t="shared" si="124"/>
        <v>2044</v>
      </c>
      <c r="AC318" s="562">
        <f t="shared" si="124"/>
        <v>2045</v>
      </c>
      <c r="AD318" s="562">
        <f t="shared" si="124"/>
        <v>2046</v>
      </c>
      <c r="AE318" s="562">
        <f t="shared" si="124"/>
        <v>2047</v>
      </c>
      <c r="AF318" s="562">
        <f t="shared" si="124"/>
        <v>2048</v>
      </c>
      <c r="AG318" s="562">
        <f t="shared" si="124"/>
        <v>2049</v>
      </c>
      <c r="AH318" s="562">
        <f t="shared" si="124"/>
        <v>2050</v>
      </c>
      <c r="AI318" s="132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</row>
    <row r="319" spans="1:52" s="133" customFormat="1">
      <c r="A319" s="551" t="s">
        <v>655</v>
      </c>
      <c r="B319" s="552" t="s">
        <v>199</v>
      </c>
      <c r="C319" s="553"/>
      <c r="D319" s="82"/>
      <c r="E319" s="156">
        <f>E299</f>
        <v>0.4</v>
      </c>
      <c r="F319" s="156">
        <f t="shared" ref="F319:AH319" si="125">F299</f>
        <v>0.4</v>
      </c>
      <c r="G319" s="156">
        <f t="shared" si="125"/>
        <v>0.4</v>
      </c>
      <c r="H319" s="156">
        <f t="shared" si="125"/>
        <v>0.4</v>
      </c>
      <c r="I319" s="156">
        <f t="shared" si="125"/>
        <v>0.4</v>
      </c>
      <c r="J319" s="156">
        <f t="shared" si="125"/>
        <v>0.4</v>
      </c>
      <c r="K319" s="156">
        <f t="shared" si="125"/>
        <v>0.4</v>
      </c>
      <c r="L319" s="156">
        <f t="shared" si="125"/>
        <v>0.4</v>
      </c>
      <c r="M319" s="156">
        <f t="shared" si="125"/>
        <v>0.4</v>
      </c>
      <c r="N319" s="156">
        <f t="shared" si="125"/>
        <v>0.4</v>
      </c>
      <c r="O319" s="156">
        <f t="shared" si="125"/>
        <v>0.4</v>
      </c>
      <c r="P319" s="156">
        <f t="shared" si="125"/>
        <v>0.4</v>
      </c>
      <c r="Q319" s="156">
        <f t="shared" si="125"/>
        <v>0.4</v>
      </c>
      <c r="R319" s="156">
        <f t="shared" si="125"/>
        <v>0.4</v>
      </c>
      <c r="S319" s="156">
        <f t="shared" si="125"/>
        <v>0.4</v>
      </c>
      <c r="T319" s="156">
        <f t="shared" si="125"/>
        <v>0.4</v>
      </c>
      <c r="U319" s="156">
        <f t="shared" si="125"/>
        <v>0.4</v>
      </c>
      <c r="V319" s="156">
        <f t="shared" si="125"/>
        <v>0.4</v>
      </c>
      <c r="W319" s="156">
        <f t="shared" si="125"/>
        <v>0.4</v>
      </c>
      <c r="X319" s="156">
        <f t="shared" si="125"/>
        <v>0.4</v>
      </c>
      <c r="Y319" s="156">
        <f t="shared" si="125"/>
        <v>0.4</v>
      </c>
      <c r="Z319" s="156">
        <f t="shared" si="125"/>
        <v>0.4</v>
      </c>
      <c r="AA319" s="156">
        <f t="shared" si="125"/>
        <v>0.4</v>
      </c>
      <c r="AB319" s="156">
        <f t="shared" si="125"/>
        <v>0.4</v>
      </c>
      <c r="AC319" s="156">
        <f t="shared" si="125"/>
        <v>0.4</v>
      </c>
      <c r="AD319" s="156">
        <f t="shared" si="125"/>
        <v>0.4</v>
      </c>
      <c r="AE319" s="156">
        <f t="shared" si="125"/>
        <v>0.4</v>
      </c>
      <c r="AF319" s="156">
        <f t="shared" si="125"/>
        <v>0.4</v>
      </c>
      <c r="AG319" s="156">
        <f t="shared" si="125"/>
        <v>0.4</v>
      </c>
      <c r="AH319" s="156">
        <f t="shared" si="125"/>
        <v>0.4</v>
      </c>
      <c r="AI319" s="132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</row>
    <row r="320" spans="1:52" s="133" customFormat="1">
      <c r="A320" s="551" t="s">
        <v>656</v>
      </c>
      <c r="B320" s="552" t="s">
        <v>199</v>
      </c>
      <c r="C320" s="553"/>
      <c r="D320" s="82"/>
      <c r="E320" s="156">
        <f>E315</f>
        <v>0.24</v>
      </c>
      <c r="F320" s="156">
        <f t="shared" ref="F320:AH320" si="126">F315</f>
        <v>0.24</v>
      </c>
      <c r="G320" s="156">
        <f t="shared" si="126"/>
        <v>0.24</v>
      </c>
      <c r="H320" s="156">
        <f t="shared" si="126"/>
        <v>0.24</v>
      </c>
      <c r="I320" s="156">
        <f t="shared" si="126"/>
        <v>0.24</v>
      </c>
      <c r="J320" s="156">
        <f t="shared" si="126"/>
        <v>0.24</v>
      </c>
      <c r="K320" s="156">
        <f t="shared" si="126"/>
        <v>0.24</v>
      </c>
      <c r="L320" s="156">
        <f t="shared" si="126"/>
        <v>0.24</v>
      </c>
      <c r="M320" s="156">
        <f t="shared" si="126"/>
        <v>0.24</v>
      </c>
      <c r="N320" s="156">
        <f t="shared" si="126"/>
        <v>0.24</v>
      </c>
      <c r="O320" s="156">
        <f t="shared" si="126"/>
        <v>0.24</v>
      </c>
      <c r="P320" s="156">
        <f t="shared" si="126"/>
        <v>0.24</v>
      </c>
      <c r="Q320" s="156">
        <f t="shared" si="126"/>
        <v>0.24</v>
      </c>
      <c r="R320" s="156">
        <f t="shared" si="126"/>
        <v>0.24</v>
      </c>
      <c r="S320" s="156">
        <f t="shared" si="126"/>
        <v>0.24</v>
      </c>
      <c r="T320" s="156">
        <f t="shared" si="126"/>
        <v>0.24</v>
      </c>
      <c r="U320" s="156">
        <f t="shared" si="126"/>
        <v>0.24</v>
      </c>
      <c r="V320" s="156">
        <f t="shared" si="126"/>
        <v>0.24</v>
      </c>
      <c r="W320" s="156">
        <f t="shared" si="126"/>
        <v>0.24</v>
      </c>
      <c r="X320" s="156">
        <f t="shared" si="126"/>
        <v>0.24</v>
      </c>
      <c r="Y320" s="156">
        <f t="shared" si="126"/>
        <v>0.24</v>
      </c>
      <c r="Z320" s="156">
        <f t="shared" si="126"/>
        <v>0.24</v>
      </c>
      <c r="AA320" s="156">
        <f t="shared" si="126"/>
        <v>0.24</v>
      </c>
      <c r="AB320" s="156">
        <f t="shared" si="126"/>
        <v>0.24</v>
      </c>
      <c r="AC320" s="156">
        <f t="shared" si="126"/>
        <v>0.24</v>
      </c>
      <c r="AD320" s="156">
        <f t="shared" si="126"/>
        <v>0.24</v>
      </c>
      <c r="AE320" s="156">
        <f t="shared" si="126"/>
        <v>0.24</v>
      </c>
      <c r="AF320" s="156">
        <f t="shared" si="126"/>
        <v>0.24</v>
      </c>
      <c r="AG320" s="156">
        <f t="shared" si="126"/>
        <v>0.24</v>
      </c>
      <c r="AH320" s="156">
        <f t="shared" si="126"/>
        <v>0.24</v>
      </c>
      <c r="AI320" s="132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</row>
    <row r="321" spans="1:52" s="133" customFormat="1">
      <c r="A321" s="551" t="s">
        <v>657</v>
      </c>
      <c r="B321" s="552" t="s">
        <v>77</v>
      </c>
      <c r="C321" s="553"/>
      <c r="D321" s="82"/>
      <c r="E321" s="150">
        <f>(INDEX(DEFAULT!E501:AJ501,1,'USER INPUTS'!B4)/INDEX(DEFAULT!E503:AJ504,1,'USER INPUTS'!B4))*'LOCAL DATASET INPUTS'!E283</f>
        <v>5.5816630532197893</v>
      </c>
      <c r="F321" s="150">
        <f>(100+INDEX(DEFAULT!$E$493:$AJ$495,1,'USER INPUTS'!$B$4))/100*'LOCAL DATASET INPUTS'!E321</f>
        <v>5.7212046295502832</v>
      </c>
      <c r="G321" s="150">
        <f>(100+INDEX(DEFAULT!$E$493:$AJ$495,1,'USER INPUTS'!$B$4))/100*'LOCAL DATASET INPUTS'!F321</f>
        <v>5.86423474528904</v>
      </c>
      <c r="H321" s="150">
        <f>(100+INDEX(DEFAULT!$E$493:$AJ$495,1,'USER INPUTS'!$B$4))/100*'LOCAL DATASET INPUTS'!G321</f>
        <v>6.0108406139212658</v>
      </c>
      <c r="I321" s="150">
        <f>(100+INDEX(DEFAULT!$E$493:$AJ$495,1,'USER INPUTS'!$B$4))/100*'LOCAL DATASET INPUTS'!H321</f>
        <v>6.1611116292692971</v>
      </c>
      <c r="J321" s="150">
        <f>(100+INDEX(DEFAULT!$E$493:$AJ$495,1,'USER INPUTS'!$B$4))/100*'LOCAL DATASET INPUTS'!I321</f>
        <v>6.3151394200010289</v>
      </c>
      <c r="K321" s="150">
        <f>(100+INDEX(DEFAULT!$E$493:$AJ$495,1,'USER INPUTS'!$B$4))/100*'LOCAL DATASET INPUTS'!J321</f>
        <v>6.4730179055010542</v>
      </c>
      <c r="L321" s="150">
        <f>(100+INDEX(DEFAULT!$E$493:$AJ$495,1,'USER INPUTS'!$B$4))/100*'LOCAL DATASET INPUTS'!K321</f>
        <v>6.6348433531385798</v>
      </c>
      <c r="M321" s="150">
        <f>(100+INDEX(DEFAULT!$E$493:$AJ$495,1,'USER INPUTS'!$B$4))/100*'LOCAL DATASET INPUTS'!L321</f>
        <v>6.800714436967044</v>
      </c>
      <c r="N321" s="150">
        <f>(100+INDEX(DEFAULT!$E$493:$AJ$495,1,'USER INPUTS'!$B$4))/100*'LOCAL DATASET INPUTS'!M321</f>
        <v>6.9707322978912192</v>
      </c>
      <c r="O321" s="150">
        <f>(100+INDEX(DEFAULT!$E$493:$AJ$495,2,'USER INPUTS'!$B$4))/100*'LOCAL DATASET INPUTS'!N321</f>
        <v>7.0613518177638044</v>
      </c>
      <c r="P321" s="150">
        <f>(100+INDEX(DEFAULT!$E$493:$AJ$495,2,'USER INPUTS'!$B$4))/100*'LOCAL DATASET INPUTS'!O321</f>
        <v>7.1531493913947335</v>
      </c>
      <c r="Q321" s="150">
        <f>(100+INDEX(DEFAULT!$E$493:$AJ$495,2,'USER INPUTS'!$B$4))/100*'LOCAL DATASET INPUTS'!P321</f>
        <v>7.246140333482864</v>
      </c>
      <c r="R321" s="150">
        <f>(100+INDEX(DEFAULT!$E$493:$AJ$495,2,'USER INPUTS'!$B$4))/100*'LOCAL DATASET INPUTS'!Q321</f>
        <v>7.3403401578181402</v>
      </c>
      <c r="S321" s="150">
        <f>(100+INDEX(DEFAULT!$E$493:$AJ$495,2,'USER INPUTS'!$B$4))/100*'LOCAL DATASET INPUTS'!R321</f>
        <v>7.4357645798697751</v>
      </c>
      <c r="T321" s="150">
        <f>(100+INDEX(DEFAULT!$E$493:$AJ$495,2,'USER INPUTS'!$B$4))/100*'LOCAL DATASET INPUTS'!S321</f>
        <v>7.5324295194080815</v>
      </c>
      <c r="U321" s="150">
        <f>(100+INDEX(DEFAULT!$E$493:$AJ$495,2,'USER INPUTS'!$B$4))/100*'LOCAL DATASET INPUTS'!T321</f>
        <v>7.6303511031603861</v>
      </c>
      <c r="V321" s="150">
        <f>(100+INDEX(DEFAULT!$E$493:$AJ$495,2,'USER INPUTS'!$B$4))/100*'LOCAL DATASET INPUTS'!U321</f>
        <v>7.72954566750147</v>
      </c>
      <c r="W321" s="150">
        <f>(100+INDEX(DEFAULT!$E$493:$AJ$495,2,'USER INPUTS'!$B$4))/100*'LOCAL DATASET INPUTS'!V321</f>
        <v>7.830029761178988</v>
      </c>
      <c r="X321" s="150">
        <f>(100+INDEX(DEFAULT!$E$493:$AJ$495,2,'USER INPUTS'!$B$4))/100*'LOCAL DATASET INPUTS'!W321</f>
        <v>7.9318201480743138</v>
      </c>
      <c r="Y321" s="150">
        <f>(100+INDEX(DEFAULT!$E$493:$AJ$495,3,'USER INPUTS'!$B$4))/100*'LOCAL DATASET INPUTS'!X321</f>
        <v>8.0349338099992789</v>
      </c>
      <c r="Z321" s="150">
        <f>(100+INDEX(DEFAULT!$E$493:$AJ$495,3,'USER INPUTS'!$B$4))/100*'LOCAL DATASET INPUTS'!Y321</f>
        <v>8.1393879495292687</v>
      </c>
      <c r="AA321" s="150">
        <f>(100+INDEX(DEFAULT!$E$493:$AJ$495,3,'USER INPUTS'!$B$4))/100*'LOCAL DATASET INPUTS'!Z321</f>
        <v>8.2451999928731485</v>
      </c>
      <c r="AB321" s="150">
        <f>(100+INDEX(DEFAULT!$E$493:$AJ$495,3,'USER INPUTS'!$B$4))/100*'LOCAL DATASET INPUTS'!AA321</f>
        <v>8.3523875927804987</v>
      </c>
      <c r="AC321" s="150">
        <f>(100+INDEX(DEFAULT!$E$493:$AJ$495,3,'USER INPUTS'!$B$4))/100*'LOCAL DATASET INPUTS'!AB321</f>
        <v>8.4609686314866437</v>
      </c>
      <c r="AD321" s="150">
        <f>(100+INDEX(DEFAULT!$E$493:$AJ$495,3,'USER INPUTS'!$B$4))/100*'LOCAL DATASET INPUTS'!AC321</f>
        <v>8.5709612236959689</v>
      </c>
      <c r="AE321" s="150">
        <f>(100+INDEX(DEFAULT!$E$493:$AJ$495,3,'USER INPUTS'!$B$4))/100*'LOCAL DATASET INPUTS'!AD321</f>
        <v>8.6823837196040152</v>
      </c>
      <c r="AF321" s="150">
        <f>(100+INDEX(DEFAULT!$E$493:$AJ$495,3,'USER INPUTS'!$B$4))/100*'LOCAL DATASET INPUTS'!AE321</f>
        <v>8.7952547079588665</v>
      </c>
      <c r="AG321" s="150">
        <f>(100+INDEX(DEFAULT!$E$493:$AJ$495,3,'USER INPUTS'!$B$4))/100*'LOCAL DATASET INPUTS'!AF321</f>
        <v>8.9095930191623314</v>
      </c>
      <c r="AH321" s="150">
        <f>(100+INDEX(DEFAULT!$E$493:$AJ$495,3,'USER INPUTS'!$B$4))/100*'LOCAL DATASET INPUTS'!AG321</f>
        <v>9.0254177284114405</v>
      </c>
      <c r="AI321" s="132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</row>
    <row r="322" spans="1:52" s="133" customFormat="1">
      <c r="A322" s="551" t="s">
        <v>658</v>
      </c>
      <c r="B322" s="552" t="s">
        <v>77</v>
      </c>
      <c r="C322" s="553"/>
      <c r="D322" s="82"/>
      <c r="E322" s="563">
        <f>(INDEX(DEFAULT!E502:AJ502,1,'USER INPUTS'!B4)/INDEX(DEFAULT!E503:AJ504,1,'USER INPUTS'!B4))*'LOCAL DATASET INPUTS'!E283</f>
        <v>0.68201832612278657</v>
      </c>
      <c r="F322" s="563">
        <f>(100+INDEX(DEFAULT!$E$493:$AJ$495,1,'USER INPUTS'!$B$4))/100*'LOCAL DATASET INPUTS'!E322</f>
        <v>0.69906878427585617</v>
      </c>
      <c r="G322" s="563">
        <f>(100+INDEX(DEFAULT!$E$493:$AJ$495,1,'USER INPUTS'!$B$4))/100*'LOCAL DATASET INPUTS'!F322</f>
        <v>0.71654550388275251</v>
      </c>
      <c r="H322" s="563">
        <f>(100+INDEX(DEFAULT!$E$493:$AJ$495,1,'USER INPUTS'!$B$4))/100*'LOCAL DATASET INPUTS'!G322</f>
        <v>0.73445914147982128</v>
      </c>
      <c r="I322" s="563">
        <f>(100+INDEX(DEFAULT!$E$493:$AJ$495,1,'USER INPUTS'!$B$4))/100*'LOCAL DATASET INPUTS'!H322</f>
        <v>0.75282062001681671</v>
      </c>
      <c r="J322" s="563">
        <f>(100+INDEX(DEFAULT!$E$493:$AJ$495,1,'USER INPUTS'!$B$4))/100*'LOCAL DATASET INPUTS'!I322</f>
        <v>0.77164113551723701</v>
      </c>
      <c r="K322" s="563">
        <f>(100+INDEX(DEFAULT!$E$493:$AJ$495,1,'USER INPUTS'!$B$4))/100*'LOCAL DATASET INPUTS'!J322</f>
        <v>0.79093216390516785</v>
      </c>
      <c r="L322" s="563">
        <f>(100+INDEX(DEFAULT!$E$493:$AJ$495,1,'USER INPUTS'!$B$4))/100*'LOCAL DATASET INPUTS'!K322</f>
        <v>0.81070546800279697</v>
      </c>
      <c r="M322" s="563">
        <f>(100+INDEX(DEFAULT!$E$493:$AJ$495,1,'USER INPUTS'!$B$4))/100*'LOCAL DATASET INPUTS'!L322</f>
        <v>0.83097310470286678</v>
      </c>
      <c r="N322" s="563">
        <f>(100+INDEX(DEFAULT!$E$493:$AJ$495,1,'USER INPUTS'!$B$4))/100*'LOCAL DATASET INPUTS'!M322</f>
        <v>0.85174743232043837</v>
      </c>
      <c r="O322" s="563">
        <f>(100+INDEX(DEFAULT!$E$493:$AJ$495,2,'USER INPUTS'!$B$4))/100*'LOCAL DATASET INPUTS'!N322</f>
        <v>0.86282014894060399</v>
      </c>
      <c r="P322" s="563">
        <f>(100+INDEX(DEFAULT!$E$493:$AJ$495,2,'USER INPUTS'!$B$4))/100*'LOCAL DATASET INPUTS'!O322</f>
        <v>0.87403681087683172</v>
      </c>
      <c r="Q322" s="563">
        <f>(100+INDEX(DEFAULT!$E$493:$AJ$495,2,'USER INPUTS'!$B$4))/100*'LOCAL DATASET INPUTS'!P322</f>
        <v>0.88539928941823043</v>
      </c>
      <c r="R322" s="563">
        <f>(100+INDEX(DEFAULT!$E$493:$AJ$495,2,'USER INPUTS'!$B$4))/100*'LOCAL DATASET INPUTS'!Q322</f>
        <v>0.8969094801806673</v>
      </c>
      <c r="S322" s="563">
        <f>(100+INDEX(DEFAULT!$E$493:$AJ$495,2,'USER INPUTS'!$B$4))/100*'LOCAL DATASET INPUTS'!R322</f>
        <v>0.90856930342301589</v>
      </c>
      <c r="T322" s="563">
        <f>(100+INDEX(DEFAULT!$E$493:$AJ$495,2,'USER INPUTS'!$B$4))/100*'LOCAL DATASET INPUTS'!S322</f>
        <v>0.92038070436751496</v>
      </c>
      <c r="U322" s="563">
        <f>(100+INDEX(DEFAULT!$E$493:$AJ$495,2,'USER INPUTS'!$B$4))/100*'LOCAL DATASET INPUTS'!T322</f>
        <v>0.93234565352429255</v>
      </c>
      <c r="V322" s="563">
        <f>(100+INDEX(DEFAULT!$E$493:$AJ$495,2,'USER INPUTS'!$B$4))/100*'LOCAL DATASET INPUTS'!U322</f>
        <v>0.94446614702010823</v>
      </c>
      <c r="W322" s="563">
        <f>(100+INDEX(DEFAULT!$E$493:$AJ$495,2,'USER INPUTS'!$B$4))/100*'LOCAL DATASET INPUTS'!V322</f>
        <v>0.95674420693136952</v>
      </c>
      <c r="X322" s="563">
        <f>(100+INDEX(DEFAULT!$E$493:$AJ$495,2,'USER INPUTS'!$B$4))/100*'LOCAL DATASET INPUTS'!W322</f>
        <v>0.96918188162147723</v>
      </c>
      <c r="Y322" s="563">
        <f>(100+INDEX(DEFAULT!$E$493:$AJ$495,3,'USER INPUTS'!$B$4))/100*'LOCAL DATASET INPUTS'!X322</f>
        <v>0.98178124608255635</v>
      </c>
      <c r="Z322" s="563">
        <f>(100+INDEX(DEFAULT!$E$493:$AJ$495,3,'USER INPUTS'!$B$4))/100*'LOCAL DATASET INPUTS'!Y322</f>
        <v>0.99454440228162944</v>
      </c>
      <c r="AA322" s="563">
        <f>(100+INDEX(DEFAULT!$E$493:$AJ$495,3,'USER INPUTS'!$B$4))/100*'LOCAL DATASET INPUTS'!Z322</f>
        <v>1.0074734795112905</v>
      </c>
      <c r="AB322" s="563">
        <f>(100+INDEX(DEFAULT!$E$493:$AJ$495,3,'USER INPUTS'!$B$4))/100*'LOCAL DATASET INPUTS'!AA322</f>
        <v>1.0205706347449373</v>
      </c>
      <c r="AC322" s="563">
        <f>(100+INDEX(DEFAULT!$E$493:$AJ$495,3,'USER INPUTS'!$B$4))/100*'LOCAL DATASET INPUTS'!AB322</f>
        <v>1.0338380529966213</v>
      </c>
      <c r="AD322" s="563">
        <f>(100+INDEX(DEFAULT!$E$493:$AJ$495,3,'USER INPUTS'!$B$4))/100*'LOCAL DATASET INPUTS'!AC322</f>
        <v>1.0472779476855774</v>
      </c>
      <c r="AE322" s="563">
        <f>(100+INDEX(DEFAULT!$E$493:$AJ$495,3,'USER INPUTS'!$B$4))/100*'LOCAL DATASET INPUTS'!AD322</f>
        <v>1.0608925610054898</v>
      </c>
      <c r="AF322" s="563">
        <f>(100+INDEX(DEFAULT!$E$493:$AJ$495,3,'USER INPUTS'!$B$4))/100*'LOCAL DATASET INPUTS'!AE322</f>
        <v>1.074684164298561</v>
      </c>
      <c r="AG322" s="563">
        <f>(100+INDEX(DEFAULT!$E$493:$AJ$495,3,'USER INPUTS'!$B$4))/100*'LOCAL DATASET INPUTS'!AF322</f>
        <v>1.0886550584344421</v>
      </c>
      <c r="AH322" s="563">
        <f>(100+INDEX(DEFAULT!$E$493:$AJ$495,3,'USER INPUTS'!$B$4))/100*'LOCAL DATASET INPUTS'!AG322</f>
        <v>1.1028075741940897</v>
      </c>
      <c r="AI322" s="132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</row>
    <row r="323" spans="1:52" s="133" customFormat="1">
      <c r="A323" s="555" t="s">
        <v>619</v>
      </c>
      <c r="B323" s="556" t="s">
        <v>198</v>
      </c>
      <c r="C323" s="557"/>
      <c r="D323" s="558"/>
      <c r="E323" s="564">
        <f>(E319*E321)+(E320*E322)</f>
        <v>2.3963496195573848</v>
      </c>
      <c r="F323" s="564">
        <f t="shared" ref="F323:AH323" si="127">(F319*F321)+(F320*F322)</f>
        <v>2.456258360046319</v>
      </c>
      <c r="G323" s="564">
        <f t="shared" si="127"/>
        <v>2.5176648190474764</v>
      </c>
      <c r="H323" s="564">
        <f t="shared" si="127"/>
        <v>2.5806064395236636</v>
      </c>
      <c r="I323" s="564">
        <f t="shared" si="127"/>
        <v>2.645121600511755</v>
      </c>
      <c r="J323" s="564">
        <f t="shared" si="127"/>
        <v>2.7112496405245485</v>
      </c>
      <c r="K323" s="564">
        <f t="shared" si="127"/>
        <v>2.7790308815376621</v>
      </c>
      <c r="L323" s="564">
        <f t="shared" si="127"/>
        <v>2.848506653576103</v>
      </c>
      <c r="M323" s="564">
        <f t="shared" si="127"/>
        <v>2.9197193199155058</v>
      </c>
      <c r="N323" s="564">
        <f t="shared" si="127"/>
        <v>2.9927123029133931</v>
      </c>
      <c r="O323" s="564">
        <f t="shared" si="127"/>
        <v>3.0316175628512667</v>
      </c>
      <c r="P323" s="564">
        <f t="shared" si="127"/>
        <v>3.071028591168333</v>
      </c>
      <c r="Q323" s="564">
        <f t="shared" si="127"/>
        <v>3.1109519628535209</v>
      </c>
      <c r="R323" s="564">
        <f t="shared" si="127"/>
        <v>3.1513943383706162</v>
      </c>
      <c r="S323" s="564">
        <f t="shared" si="127"/>
        <v>3.1923624647694342</v>
      </c>
      <c r="T323" s="564">
        <f t="shared" si="127"/>
        <v>3.2338631768114361</v>
      </c>
      <c r="U323" s="564">
        <f t="shared" si="127"/>
        <v>3.275903398109985</v>
      </c>
      <c r="V323" s="564">
        <f t="shared" si="127"/>
        <v>3.3184901422854143</v>
      </c>
      <c r="W323" s="564">
        <f t="shared" si="127"/>
        <v>3.3616305141351241</v>
      </c>
      <c r="X323" s="564">
        <f t="shared" si="127"/>
        <v>3.4053317108188805</v>
      </c>
      <c r="Y323" s="564">
        <f t="shared" si="127"/>
        <v>3.4496010230595253</v>
      </c>
      <c r="Z323" s="564">
        <f t="shared" si="127"/>
        <v>3.4944458363592985</v>
      </c>
      <c r="AA323" s="564">
        <f t="shared" si="127"/>
        <v>3.5398736322319695</v>
      </c>
      <c r="AB323" s="564">
        <f t="shared" si="127"/>
        <v>3.5858919894509844</v>
      </c>
      <c r="AC323" s="564">
        <f t="shared" si="127"/>
        <v>3.6325085853138468</v>
      </c>
      <c r="AD323" s="564">
        <f t="shared" si="127"/>
        <v>3.6797311969229263</v>
      </c>
      <c r="AE323" s="564">
        <f t="shared" si="127"/>
        <v>3.7275677024829239</v>
      </c>
      <c r="AF323" s="564">
        <f t="shared" si="127"/>
        <v>3.7760260826152017</v>
      </c>
      <c r="AG323" s="564">
        <f t="shared" si="127"/>
        <v>3.8251144216891988</v>
      </c>
      <c r="AH323" s="564">
        <f t="shared" si="127"/>
        <v>3.8748409091711578</v>
      </c>
      <c r="AI323" s="132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</row>
    <row r="324" spans="1:52" s="6" customFormat="1" ht="15.75" thickBot="1">
      <c r="A324" s="55"/>
      <c r="B324" s="52"/>
      <c r="C324" s="52"/>
      <c r="D324" s="259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1"/>
      <c r="AH324" s="52"/>
      <c r="AI324" s="53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</row>
    <row r="325" spans="1:52" s="6" customFormat="1" ht="15.75" thickBot="1">
      <c r="A325" s="7"/>
      <c r="E325" s="143"/>
      <c r="AG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</row>
    <row r="326" spans="1:52" s="6" customFormat="1" ht="19.5" thickBot="1">
      <c r="A326" s="766" t="s">
        <v>475</v>
      </c>
      <c r="B326" s="767"/>
      <c r="C326" s="767"/>
      <c r="D326" s="767"/>
      <c r="E326" s="767"/>
      <c r="F326" s="767"/>
      <c r="G326" s="767"/>
      <c r="H326" s="767"/>
      <c r="I326" s="767"/>
      <c r="J326" s="767"/>
      <c r="K326" s="767"/>
      <c r="L326" s="767"/>
      <c r="M326" s="767"/>
      <c r="N326" s="767"/>
      <c r="O326" s="767"/>
      <c r="P326" s="767"/>
      <c r="Q326" s="767"/>
      <c r="R326" s="767"/>
      <c r="S326" s="767"/>
      <c r="T326" s="767"/>
      <c r="U326" s="767"/>
      <c r="V326" s="767"/>
      <c r="W326" s="767"/>
      <c r="X326" s="767"/>
      <c r="Y326" s="767"/>
      <c r="Z326" s="767"/>
      <c r="AA326" s="767"/>
      <c r="AB326" s="767"/>
      <c r="AC326" s="767"/>
      <c r="AD326" s="767"/>
      <c r="AE326" s="767"/>
      <c r="AF326" s="767"/>
      <c r="AG326" s="767"/>
      <c r="AH326" s="767"/>
      <c r="AI326" s="768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</row>
    <row r="327" spans="1:52" s="6" customFormat="1">
      <c r="A327" s="43" t="s">
        <v>476</v>
      </c>
      <c r="B327" s="41"/>
      <c r="C327" s="41"/>
      <c r="D327" s="298"/>
      <c r="E327" s="41" t="s">
        <v>0</v>
      </c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42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</row>
    <row r="328" spans="1:52" s="6" customFormat="1">
      <c r="A328" s="63" t="s">
        <v>109</v>
      </c>
      <c r="B328" s="64"/>
      <c r="C328" s="64"/>
      <c r="D328" s="77" t="s">
        <v>108</v>
      </c>
      <c r="E328" s="64">
        <v>2021</v>
      </c>
      <c r="F328" s="64">
        <f t="shared" ref="F328:AH328" si="128">E328+1</f>
        <v>2022</v>
      </c>
      <c r="G328" s="64">
        <f t="shared" si="128"/>
        <v>2023</v>
      </c>
      <c r="H328" s="64">
        <f t="shared" si="128"/>
        <v>2024</v>
      </c>
      <c r="I328" s="64">
        <f t="shared" si="128"/>
        <v>2025</v>
      </c>
      <c r="J328" s="64">
        <f t="shared" si="128"/>
        <v>2026</v>
      </c>
      <c r="K328" s="64">
        <f t="shared" si="128"/>
        <v>2027</v>
      </c>
      <c r="L328" s="64">
        <f t="shared" si="128"/>
        <v>2028</v>
      </c>
      <c r="M328" s="64">
        <f t="shared" si="128"/>
        <v>2029</v>
      </c>
      <c r="N328" s="64">
        <f t="shared" si="128"/>
        <v>2030</v>
      </c>
      <c r="O328" s="64">
        <f t="shared" si="128"/>
        <v>2031</v>
      </c>
      <c r="P328" s="64">
        <f t="shared" si="128"/>
        <v>2032</v>
      </c>
      <c r="Q328" s="64">
        <f t="shared" si="128"/>
        <v>2033</v>
      </c>
      <c r="R328" s="64">
        <f t="shared" si="128"/>
        <v>2034</v>
      </c>
      <c r="S328" s="64">
        <f t="shared" si="128"/>
        <v>2035</v>
      </c>
      <c r="T328" s="64">
        <f t="shared" si="128"/>
        <v>2036</v>
      </c>
      <c r="U328" s="64">
        <f t="shared" si="128"/>
        <v>2037</v>
      </c>
      <c r="V328" s="64">
        <f t="shared" si="128"/>
        <v>2038</v>
      </c>
      <c r="W328" s="64">
        <f t="shared" si="128"/>
        <v>2039</v>
      </c>
      <c r="X328" s="64">
        <f t="shared" si="128"/>
        <v>2040</v>
      </c>
      <c r="Y328" s="64">
        <f t="shared" si="128"/>
        <v>2041</v>
      </c>
      <c r="Z328" s="64">
        <f t="shared" si="128"/>
        <v>2042</v>
      </c>
      <c r="AA328" s="64">
        <f t="shared" si="128"/>
        <v>2043</v>
      </c>
      <c r="AB328" s="64">
        <f t="shared" si="128"/>
        <v>2044</v>
      </c>
      <c r="AC328" s="64">
        <f t="shared" si="128"/>
        <v>2045</v>
      </c>
      <c r="AD328" s="64">
        <f t="shared" si="128"/>
        <v>2046</v>
      </c>
      <c r="AE328" s="64">
        <f t="shared" si="128"/>
        <v>2047</v>
      </c>
      <c r="AF328" s="64">
        <f t="shared" si="128"/>
        <v>2048</v>
      </c>
      <c r="AG328" s="64">
        <f t="shared" si="128"/>
        <v>2049</v>
      </c>
      <c r="AH328" s="64">
        <f t="shared" si="128"/>
        <v>2050</v>
      </c>
      <c r="AI328" s="42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</row>
    <row r="329" spans="1:52" s="6" customFormat="1">
      <c r="A329" s="27" t="s">
        <v>40</v>
      </c>
      <c r="B329" s="41"/>
      <c r="C329" s="41"/>
      <c r="D329" s="5"/>
      <c r="E329" s="628"/>
      <c r="F329" s="136"/>
      <c r="G329" s="136"/>
      <c r="H329" s="136"/>
      <c r="I329" s="136"/>
      <c r="J329" s="136"/>
      <c r="K329" s="136"/>
      <c r="L329" s="136"/>
      <c r="M329" s="136"/>
      <c r="N329" s="136"/>
      <c r="O329" s="136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  <c r="AA329" s="136"/>
      <c r="AB329" s="136"/>
      <c r="AC329" s="136"/>
      <c r="AD329" s="136"/>
      <c r="AE329" s="136"/>
      <c r="AF329" s="136"/>
      <c r="AG329" s="136"/>
      <c r="AH329" s="136"/>
      <c r="AI329" s="42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</row>
    <row r="330" spans="1:52" s="6" customFormat="1">
      <c r="A330" s="27" t="s">
        <v>70</v>
      </c>
      <c r="B330" s="41"/>
      <c r="C330" s="41"/>
      <c r="D330" s="615"/>
      <c r="E330" s="628"/>
      <c r="F330" s="141"/>
      <c r="G330" s="141"/>
      <c r="H330" s="141"/>
      <c r="I330" s="141"/>
      <c r="J330" s="141"/>
      <c r="K330" s="141"/>
      <c r="L330" s="141"/>
      <c r="M330" s="141"/>
      <c r="N330" s="141"/>
      <c r="O330" s="141"/>
      <c r="P330" s="141"/>
      <c r="Q330" s="141"/>
      <c r="R330" s="141"/>
      <c r="S330" s="141"/>
      <c r="T330" s="141"/>
      <c r="U330" s="141"/>
      <c r="V330" s="141"/>
      <c r="W330" s="141"/>
      <c r="X330" s="141"/>
      <c r="Y330" s="141"/>
      <c r="Z330" s="141"/>
      <c r="AA330" s="141"/>
      <c r="AB330" s="141"/>
      <c r="AC330" s="141"/>
      <c r="AD330" s="141"/>
      <c r="AE330" s="141"/>
      <c r="AF330" s="141"/>
      <c r="AG330" s="141"/>
      <c r="AH330" s="141"/>
      <c r="AI330" s="42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</row>
    <row r="331" spans="1:52">
      <c r="A331" s="27" t="s">
        <v>59</v>
      </c>
      <c r="B331" s="41"/>
      <c r="C331" s="41"/>
      <c r="D331" s="82"/>
      <c r="E331" s="628"/>
      <c r="F331" s="141"/>
      <c r="G331" s="141"/>
      <c r="H331" s="141"/>
      <c r="I331" s="141"/>
      <c r="J331" s="141"/>
      <c r="K331" s="141"/>
      <c r="L331" s="141"/>
      <c r="M331" s="141"/>
      <c r="N331" s="141"/>
      <c r="O331" s="141"/>
      <c r="P331" s="141"/>
      <c r="Q331" s="141"/>
      <c r="R331" s="141"/>
      <c r="S331" s="141"/>
      <c r="T331" s="141"/>
      <c r="U331" s="141"/>
      <c r="V331" s="141"/>
      <c r="W331" s="141"/>
      <c r="X331" s="141"/>
      <c r="Y331" s="141"/>
      <c r="Z331" s="141"/>
      <c r="AA331" s="141"/>
      <c r="AB331" s="141"/>
      <c r="AC331" s="141"/>
      <c r="AD331" s="141"/>
      <c r="AE331" s="141"/>
      <c r="AF331" s="141"/>
      <c r="AG331" s="141"/>
      <c r="AH331" s="141"/>
      <c r="AI331" s="42"/>
    </row>
    <row r="332" spans="1:52">
      <c r="A332" s="27" t="s">
        <v>68</v>
      </c>
      <c r="B332" s="41"/>
      <c r="C332" s="41"/>
      <c r="D332" s="615"/>
      <c r="E332" s="628"/>
      <c r="F332" s="141"/>
      <c r="G332" s="141"/>
      <c r="H332" s="141"/>
      <c r="I332" s="141"/>
      <c r="J332" s="141"/>
      <c r="K332" s="141"/>
      <c r="L332" s="141"/>
      <c r="M332" s="141"/>
      <c r="N332" s="141"/>
      <c r="O332" s="141"/>
      <c r="P332" s="141"/>
      <c r="Q332" s="141"/>
      <c r="R332" s="141"/>
      <c r="S332" s="141"/>
      <c r="T332" s="141"/>
      <c r="U332" s="141"/>
      <c r="V332" s="141"/>
      <c r="W332" s="141"/>
      <c r="X332" s="141"/>
      <c r="Y332" s="141"/>
      <c r="Z332" s="141"/>
      <c r="AA332" s="141"/>
      <c r="AB332" s="141"/>
      <c r="AC332" s="141"/>
      <c r="AD332" s="141"/>
      <c r="AE332" s="141"/>
      <c r="AF332" s="141"/>
      <c r="AG332" s="141"/>
      <c r="AH332" s="141"/>
      <c r="AI332" s="42"/>
    </row>
    <row r="333" spans="1:52">
      <c r="A333" s="27" t="s">
        <v>60</v>
      </c>
      <c r="B333" s="41"/>
      <c r="C333" s="41"/>
      <c r="D333" s="615"/>
      <c r="E333" s="628"/>
      <c r="F333" s="141"/>
      <c r="G333" s="141"/>
      <c r="H333" s="141"/>
      <c r="I333" s="141"/>
      <c r="J333" s="141"/>
      <c r="K333" s="141"/>
      <c r="L333" s="141"/>
      <c r="M333" s="141"/>
      <c r="N333" s="141"/>
      <c r="O333" s="141"/>
      <c r="P333" s="141"/>
      <c r="Q333" s="141"/>
      <c r="R333" s="141"/>
      <c r="S333" s="141"/>
      <c r="T333" s="141"/>
      <c r="U333" s="141"/>
      <c r="V333" s="141"/>
      <c r="W333" s="141"/>
      <c r="X333" s="141"/>
      <c r="Y333" s="141"/>
      <c r="Z333" s="141"/>
      <c r="AA333" s="141"/>
      <c r="AB333" s="141"/>
      <c r="AC333" s="141"/>
      <c r="AD333" s="141"/>
      <c r="AE333" s="141"/>
      <c r="AF333" s="141"/>
      <c r="AG333" s="141"/>
      <c r="AH333" s="141"/>
      <c r="AI333" s="42"/>
    </row>
    <row r="334" spans="1:52">
      <c r="A334" s="27" t="s">
        <v>61</v>
      </c>
      <c r="B334" s="41"/>
      <c r="C334" s="41"/>
      <c r="D334" s="615"/>
      <c r="E334" s="628"/>
      <c r="F334" s="141"/>
      <c r="G334" s="141"/>
      <c r="H334" s="141"/>
      <c r="I334" s="141"/>
      <c r="J334" s="141"/>
      <c r="K334" s="141"/>
      <c r="L334" s="141"/>
      <c r="M334" s="141"/>
      <c r="N334" s="141"/>
      <c r="O334" s="141"/>
      <c r="P334" s="141"/>
      <c r="Q334" s="141"/>
      <c r="R334" s="141"/>
      <c r="S334" s="141"/>
      <c r="T334" s="141"/>
      <c r="U334" s="141"/>
      <c r="V334" s="141"/>
      <c r="W334" s="141"/>
      <c r="X334" s="141"/>
      <c r="Y334" s="141"/>
      <c r="Z334" s="141"/>
      <c r="AA334" s="141"/>
      <c r="AB334" s="141"/>
      <c r="AC334" s="141"/>
      <c r="AD334" s="141"/>
      <c r="AE334" s="141"/>
      <c r="AF334" s="141"/>
      <c r="AG334" s="141"/>
      <c r="AH334" s="141"/>
      <c r="AI334" s="42"/>
    </row>
    <row r="335" spans="1:52">
      <c r="A335" s="27" t="s">
        <v>62</v>
      </c>
      <c r="B335" s="41"/>
      <c r="C335" s="41"/>
      <c r="D335" s="615"/>
      <c r="E335" s="628"/>
      <c r="F335" s="141"/>
      <c r="G335" s="141"/>
      <c r="H335" s="141"/>
      <c r="I335" s="141"/>
      <c r="J335" s="141"/>
      <c r="K335" s="141"/>
      <c r="L335" s="141"/>
      <c r="M335" s="141"/>
      <c r="N335" s="141"/>
      <c r="O335" s="141"/>
      <c r="P335" s="141"/>
      <c r="Q335" s="141"/>
      <c r="R335" s="141"/>
      <c r="S335" s="141"/>
      <c r="T335" s="141"/>
      <c r="U335" s="141"/>
      <c r="V335" s="141"/>
      <c r="W335" s="141"/>
      <c r="X335" s="141"/>
      <c r="Y335" s="141"/>
      <c r="Z335" s="141"/>
      <c r="AA335" s="141"/>
      <c r="AB335" s="141"/>
      <c r="AC335" s="141"/>
      <c r="AD335" s="141"/>
      <c r="AE335" s="141"/>
      <c r="AF335" s="141"/>
      <c r="AG335" s="141"/>
      <c r="AH335" s="141"/>
      <c r="AI335" s="42"/>
    </row>
    <row r="336" spans="1:52">
      <c r="A336" s="27" t="s">
        <v>63</v>
      </c>
      <c r="B336" s="41"/>
      <c r="C336" s="41"/>
      <c r="D336" s="615"/>
      <c r="E336" s="628"/>
      <c r="F336" s="141"/>
      <c r="G336" s="141"/>
      <c r="H336" s="141"/>
      <c r="I336" s="141"/>
      <c r="J336" s="141"/>
      <c r="K336" s="141"/>
      <c r="L336" s="141"/>
      <c r="M336" s="141"/>
      <c r="N336" s="141"/>
      <c r="O336" s="141"/>
      <c r="P336" s="141"/>
      <c r="Q336" s="141"/>
      <c r="R336" s="141"/>
      <c r="S336" s="141"/>
      <c r="T336" s="141"/>
      <c r="U336" s="141"/>
      <c r="V336" s="141"/>
      <c r="W336" s="141"/>
      <c r="X336" s="141"/>
      <c r="Y336" s="141"/>
      <c r="Z336" s="141"/>
      <c r="AA336" s="141"/>
      <c r="AB336" s="141"/>
      <c r="AC336" s="141"/>
      <c r="AD336" s="141"/>
      <c r="AE336" s="141"/>
      <c r="AF336" s="141"/>
      <c r="AG336" s="141"/>
      <c r="AH336" s="141"/>
      <c r="AI336" s="42"/>
    </row>
    <row r="337" spans="1:37">
      <c r="A337" s="27" t="s">
        <v>64</v>
      </c>
      <c r="B337" s="41"/>
      <c r="C337" s="41"/>
      <c r="D337" s="615"/>
      <c r="E337" s="628"/>
      <c r="F337" s="141"/>
      <c r="G337" s="141"/>
      <c r="H337" s="141"/>
      <c r="I337" s="141"/>
      <c r="J337" s="141"/>
      <c r="K337" s="141"/>
      <c r="L337" s="141"/>
      <c r="M337" s="141"/>
      <c r="N337" s="141"/>
      <c r="O337" s="141"/>
      <c r="P337" s="141"/>
      <c r="Q337" s="141"/>
      <c r="R337" s="141"/>
      <c r="S337" s="141"/>
      <c r="T337" s="141"/>
      <c r="U337" s="141"/>
      <c r="V337" s="141"/>
      <c r="W337" s="141"/>
      <c r="X337" s="141"/>
      <c r="Y337" s="141"/>
      <c r="Z337" s="141"/>
      <c r="AA337" s="141"/>
      <c r="AB337" s="141"/>
      <c r="AC337" s="141"/>
      <c r="AD337" s="141"/>
      <c r="AE337" s="141"/>
      <c r="AF337" s="141"/>
      <c r="AG337" s="141"/>
      <c r="AH337" s="141"/>
      <c r="AI337" s="42"/>
    </row>
    <row r="338" spans="1:37">
      <c r="A338" s="27" t="s">
        <v>65</v>
      </c>
      <c r="B338" s="41"/>
      <c r="C338" s="41"/>
      <c r="D338" s="615"/>
      <c r="E338" s="628"/>
      <c r="F338" s="141"/>
      <c r="G338" s="141"/>
      <c r="H338" s="141"/>
      <c r="I338" s="141"/>
      <c r="J338" s="141"/>
      <c r="K338" s="141"/>
      <c r="L338" s="141"/>
      <c r="M338" s="141"/>
      <c r="N338" s="141"/>
      <c r="O338" s="141"/>
      <c r="P338" s="141"/>
      <c r="Q338" s="141"/>
      <c r="R338" s="141"/>
      <c r="S338" s="141"/>
      <c r="T338" s="141"/>
      <c r="U338" s="141"/>
      <c r="V338" s="141"/>
      <c r="W338" s="141"/>
      <c r="X338" s="141"/>
      <c r="Y338" s="141"/>
      <c r="Z338" s="141"/>
      <c r="AA338" s="141"/>
      <c r="AB338" s="141"/>
      <c r="AC338" s="141"/>
      <c r="AD338" s="141"/>
      <c r="AE338" s="141"/>
      <c r="AF338" s="141"/>
      <c r="AG338" s="141"/>
      <c r="AH338" s="141"/>
      <c r="AI338" s="42"/>
    </row>
    <row r="339" spans="1:37">
      <c r="A339" s="27" t="s">
        <v>66</v>
      </c>
      <c r="B339" s="41"/>
      <c r="C339" s="41"/>
      <c r="D339" s="615"/>
      <c r="E339" s="628"/>
      <c r="F339" s="141"/>
      <c r="G339" s="141"/>
      <c r="H339" s="141"/>
      <c r="I339" s="141"/>
      <c r="J339" s="141"/>
      <c r="K339" s="141"/>
      <c r="L339" s="141"/>
      <c r="M339" s="141"/>
      <c r="N339" s="141"/>
      <c r="O339" s="141"/>
      <c r="P339" s="141"/>
      <c r="Q339" s="141"/>
      <c r="R339" s="141"/>
      <c r="S339" s="141"/>
      <c r="T339" s="141"/>
      <c r="U339" s="141"/>
      <c r="V339" s="141"/>
      <c r="W339" s="141"/>
      <c r="X339" s="141"/>
      <c r="Y339" s="141"/>
      <c r="Z339" s="141"/>
      <c r="AA339" s="141"/>
      <c r="AB339" s="141"/>
      <c r="AC339" s="141"/>
      <c r="AD339" s="141"/>
      <c r="AE339" s="141"/>
      <c r="AF339" s="141"/>
      <c r="AG339" s="141"/>
      <c r="AH339" s="141"/>
      <c r="AI339" s="42"/>
    </row>
    <row r="340" spans="1:37">
      <c r="A340" s="27" t="s">
        <v>67</v>
      </c>
      <c r="B340" s="41"/>
      <c r="C340" s="41"/>
      <c r="D340" s="615"/>
      <c r="E340" s="628"/>
      <c r="F340" s="141"/>
      <c r="G340" s="141"/>
      <c r="H340" s="141"/>
      <c r="I340" s="141"/>
      <c r="J340" s="141"/>
      <c r="K340" s="141"/>
      <c r="L340" s="141"/>
      <c r="M340" s="141"/>
      <c r="N340" s="141"/>
      <c r="O340" s="141"/>
      <c r="P340" s="141"/>
      <c r="Q340" s="141"/>
      <c r="R340" s="141"/>
      <c r="S340" s="141"/>
      <c r="T340" s="141"/>
      <c r="U340" s="141"/>
      <c r="V340" s="141"/>
      <c r="W340" s="141"/>
      <c r="X340" s="141"/>
      <c r="Y340" s="141"/>
      <c r="Z340" s="141"/>
      <c r="AA340" s="141"/>
      <c r="AB340" s="141"/>
      <c r="AC340" s="141"/>
      <c r="AD340" s="141"/>
      <c r="AE340" s="141"/>
      <c r="AF340" s="141"/>
      <c r="AG340" s="141"/>
      <c r="AH340" s="141"/>
      <c r="AI340" s="42"/>
    </row>
    <row r="341" spans="1:37">
      <c r="A341" s="27" t="s">
        <v>39</v>
      </c>
      <c r="B341" s="41"/>
      <c r="C341" s="41"/>
      <c r="D341" s="615"/>
      <c r="E341" s="628"/>
      <c r="F341" s="141"/>
      <c r="G341" s="141"/>
      <c r="H341" s="141"/>
      <c r="I341" s="141"/>
      <c r="J341" s="141"/>
      <c r="K341" s="141"/>
      <c r="L341" s="141"/>
      <c r="M341" s="141"/>
      <c r="N341" s="141"/>
      <c r="O341" s="141"/>
      <c r="P341" s="141"/>
      <c r="Q341" s="141"/>
      <c r="R341" s="141"/>
      <c r="S341" s="141"/>
      <c r="T341" s="141"/>
      <c r="U341" s="141"/>
      <c r="V341" s="141"/>
      <c r="W341" s="141"/>
      <c r="X341" s="141"/>
      <c r="Y341" s="141"/>
      <c r="Z341" s="141"/>
      <c r="AA341" s="141"/>
      <c r="AB341" s="141"/>
      <c r="AC341" s="141"/>
      <c r="AD341" s="141"/>
      <c r="AE341" s="141"/>
      <c r="AF341" s="141"/>
      <c r="AG341" s="141"/>
      <c r="AH341" s="141"/>
      <c r="AI341" s="42"/>
    </row>
    <row r="342" spans="1:37">
      <c r="A342" s="27" t="s">
        <v>69</v>
      </c>
      <c r="B342" s="41"/>
      <c r="C342" s="41"/>
      <c r="D342" s="615"/>
      <c r="E342" s="628"/>
      <c r="F342" s="141"/>
      <c r="G342" s="141"/>
      <c r="H342" s="141"/>
      <c r="I342" s="141"/>
      <c r="J342" s="141"/>
      <c r="K342" s="141"/>
      <c r="L342" s="141"/>
      <c r="M342" s="141"/>
      <c r="N342" s="141"/>
      <c r="O342" s="141"/>
      <c r="P342" s="141"/>
      <c r="Q342" s="141"/>
      <c r="R342" s="141"/>
      <c r="S342" s="141"/>
      <c r="T342" s="141"/>
      <c r="U342" s="141"/>
      <c r="V342" s="141"/>
      <c r="W342" s="141"/>
      <c r="X342" s="141"/>
      <c r="Y342" s="141"/>
      <c r="Z342" s="141"/>
      <c r="AA342" s="141"/>
      <c r="AB342" s="141"/>
      <c r="AC342" s="141"/>
      <c r="AD342" s="141"/>
      <c r="AE342" s="141"/>
      <c r="AF342" s="141"/>
      <c r="AG342" s="141"/>
      <c r="AH342" s="141"/>
      <c r="AI342" s="42"/>
    </row>
    <row r="343" spans="1:37">
      <c r="A343" s="63" t="s">
        <v>33</v>
      </c>
      <c r="B343" s="64"/>
      <c r="C343" s="64"/>
      <c r="D343" s="616"/>
      <c r="E343" s="628"/>
      <c r="F343" s="141"/>
      <c r="G343" s="141"/>
      <c r="H343" s="141"/>
      <c r="I343" s="141"/>
      <c r="J343" s="141"/>
      <c r="K343" s="141"/>
      <c r="L343" s="141"/>
      <c r="M343" s="141"/>
      <c r="N343" s="141"/>
      <c r="O343" s="141"/>
      <c r="P343" s="141"/>
      <c r="Q343" s="141"/>
      <c r="R343" s="141"/>
      <c r="S343" s="141"/>
      <c r="T343" s="141"/>
      <c r="U343" s="141"/>
      <c r="V343" s="141"/>
      <c r="W343" s="141"/>
      <c r="X343" s="141"/>
      <c r="Y343" s="141"/>
      <c r="Z343" s="141"/>
      <c r="AA343" s="141"/>
      <c r="AB343" s="141"/>
      <c r="AC343" s="141"/>
      <c r="AD343" s="141"/>
      <c r="AE343" s="141"/>
      <c r="AF343" s="141"/>
      <c r="AG343" s="141"/>
      <c r="AH343" s="141"/>
      <c r="AI343" s="42"/>
    </row>
    <row r="344" spans="1:37">
      <c r="A344" s="43" t="s">
        <v>110</v>
      </c>
      <c r="B344" s="131"/>
      <c r="C344" s="131"/>
      <c r="D344" s="131"/>
      <c r="E344" s="150">
        <v>100</v>
      </c>
      <c r="F344" s="170">
        <v>100</v>
      </c>
      <c r="G344" s="170">
        <v>100</v>
      </c>
      <c r="H344" s="170">
        <v>100</v>
      </c>
      <c r="I344" s="170">
        <v>100</v>
      </c>
      <c r="J344" s="170">
        <v>100</v>
      </c>
      <c r="K344" s="170">
        <v>100</v>
      </c>
      <c r="L344" s="170">
        <v>100</v>
      </c>
      <c r="M344" s="170">
        <v>100</v>
      </c>
      <c r="N344" s="170">
        <v>100</v>
      </c>
      <c r="O344" s="170">
        <v>100</v>
      </c>
      <c r="P344" s="170">
        <v>100</v>
      </c>
      <c r="Q344" s="170">
        <v>100</v>
      </c>
      <c r="R344" s="170">
        <v>100</v>
      </c>
      <c r="S344" s="170">
        <v>100</v>
      </c>
      <c r="T344" s="170">
        <v>100</v>
      </c>
      <c r="U344" s="170">
        <v>100</v>
      </c>
      <c r="V344" s="170">
        <v>100</v>
      </c>
      <c r="W344" s="170">
        <v>100</v>
      </c>
      <c r="X344" s="170">
        <v>100</v>
      </c>
      <c r="Y344" s="170">
        <v>100</v>
      </c>
      <c r="Z344" s="170">
        <v>100</v>
      </c>
      <c r="AA344" s="170">
        <v>100</v>
      </c>
      <c r="AB344" s="170">
        <v>100</v>
      </c>
      <c r="AC344" s="170">
        <v>100</v>
      </c>
      <c r="AD344" s="170">
        <v>100</v>
      </c>
      <c r="AE344" s="170">
        <v>100</v>
      </c>
      <c r="AF344" s="170">
        <v>100</v>
      </c>
      <c r="AG344" s="170">
        <v>100</v>
      </c>
      <c r="AH344" s="170">
        <v>100</v>
      </c>
      <c r="AI344" s="42"/>
    </row>
    <row r="345" spans="1:37">
      <c r="A345" s="43"/>
      <c r="B345" s="131"/>
      <c r="C345" s="131"/>
      <c r="D345" s="258"/>
      <c r="E345" s="131"/>
      <c r="F345" s="131"/>
      <c r="G345" s="131"/>
      <c r="H345" s="131"/>
      <c r="I345" s="131"/>
      <c r="J345" s="131"/>
      <c r="K345" s="131"/>
      <c r="L345" s="131"/>
      <c r="M345" s="131"/>
      <c r="N345" s="131"/>
      <c r="O345" s="131"/>
      <c r="P345" s="131"/>
      <c r="Q345" s="131"/>
      <c r="R345" s="131"/>
      <c r="S345" s="131"/>
      <c r="T345" s="131"/>
      <c r="U345" s="131"/>
      <c r="V345" s="131"/>
      <c r="W345" s="131"/>
      <c r="X345" s="131"/>
      <c r="Y345" s="131"/>
      <c r="Z345" s="131"/>
      <c r="AA345" s="131"/>
      <c r="AB345" s="131"/>
      <c r="AC345" s="131"/>
      <c r="AD345" s="131"/>
      <c r="AE345" s="131"/>
      <c r="AF345" s="131"/>
      <c r="AG345" s="131"/>
      <c r="AH345" s="131"/>
      <c r="AI345" s="42"/>
    </row>
    <row r="346" spans="1:37">
      <c r="A346" s="128" t="s">
        <v>665</v>
      </c>
      <c r="B346" s="246"/>
      <c r="C346" s="246"/>
      <c r="D346" s="251"/>
      <c r="E346" s="562">
        <v>2021</v>
      </c>
      <c r="F346" s="567">
        <f>E346+1</f>
        <v>2022</v>
      </c>
      <c r="G346" s="567">
        <f t="shared" ref="G346:AH346" si="129">F346+1</f>
        <v>2023</v>
      </c>
      <c r="H346" s="567">
        <f t="shared" si="129"/>
        <v>2024</v>
      </c>
      <c r="I346" s="567">
        <f t="shared" si="129"/>
        <v>2025</v>
      </c>
      <c r="J346" s="567">
        <f t="shared" si="129"/>
        <v>2026</v>
      </c>
      <c r="K346" s="567">
        <f t="shared" si="129"/>
        <v>2027</v>
      </c>
      <c r="L346" s="567">
        <f t="shared" si="129"/>
        <v>2028</v>
      </c>
      <c r="M346" s="567">
        <f t="shared" si="129"/>
        <v>2029</v>
      </c>
      <c r="N346" s="567">
        <f t="shared" si="129"/>
        <v>2030</v>
      </c>
      <c r="O346" s="567">
        <f t="shared" si="129"/>
        <v>2031</v>
      </c>
      <c r="P346" s="567">
        <f t="shared" si="129"/>
        <v>2032</v>
      </c>
      <c r="Q346" s="567">
        <f t="shared" si="129"/>
        <v>2033</v>
      </c>
      <c r="R346" s="567">
        <f t="shared" si="129"/>
        <v>2034</v>
      </c>
      <c r="S346" s="567">
        <f t="shared" si="129"/>
        <v>2035</v>
      </c>
      <c r="T346" s="567">
        <f t="shared" si="129"/>
        <v>2036</v>
      </c>
      <c r="U346" s="567">
        <f t="shared" si="129"/>
        <v>2037</v>
      </c>
      <c r="V346" s="567">
        <f t="shared" si="129"/>
        <v>2038</v>
      </c>
      <c r="W346" s="567">
        <f t="shared" si="129"/>
        <v>2039</v>
      </c>
      <c r="X346" s="567">
        <f t="shared" si="129"/>
        <v>2040</v>
      </c>
      <c r="Y346" s="567">
        <f t="shared" si="129"/>
        <v>2041</v>
      </c>
      <c r="Z346" s="567">
        <f t="shared" si="129"/>
        <v>2042</v>
      </c>
      <c r="AA346" s="567">
        <f t="shared" si="129"/>
        <v>2043</v>
      </c>
      <c r="AB346" s="567">
        <f t="shared" si="129"/>
        <v>2044</v>
      </c>
      <c r="AC346" s="567">
        <f t="shared" si="129"/>
        <v>2045</v>
      </c>
      <c r="AD346" s="567">
        <f t="shared" si="129"/>
        <v>2046</v>
      </c>
      <c r="AE346" s="567">
        <f t="shared" si="129"/>
        <v>2047</v>
      </c>
      <c r="AF346" s="567">
        <f t="shared" si="129"/>
        <v>2048</v>
      </c>
      <c r="AG346" s="567">
        <f t="shared" si="129"/>
        <v>2049</v>
      </c>
      <c r="AH346" s="567">
        <f t="shared" si="129"/>
        <v>2050</v>
      </c>
      <c r="AI346" s="42"/>
    </row>
    <row r="347" spans="1:37">
      <c r="A347" s="551" t="s">
        <v>453</v>
      </c>
      <c r="B347" s="749" t="s">
        <v>676</v>
      </c>
      <c r="C347" s="750"/>
      <c r="D347" s="751"/>
      <c r="E347" s="752">
        <v>50.006999999999998</v>
      </c>
      <c r="F347" s="752">
        <v>50.006999999999998</v>
      </c>
      <c r="G347" s="752">
        <v>50.006999999999998</v>
      </c>
      <c r="H347" s="752">
        <v>50.006999999999998</v>
      </c>
      <c r="I347" s="752">
        <v>50.006999999999998</v>
      </c>
      <c r="J347" s="752">
        <v>50.006999999999998</v>
      </c>
      <c r="K347" s="752">
        <v>50.006999999999998</v>
      </c>
      <c r="L347" s="752">
        <v>50.006999999999998</v>
      </c>
      <c r="M347" s="752">
        <v>50.006999999999998</v>
      </c>
      <c r="N347" s="752">
        <v>50.006999999999998</v>
      </c>
      <c r="O347" s="752">
        <v>50.006999999999998</v>
      </c>
      <c r="P347" s="752">
        <v>50.006999999999998</v>
      </c>
      <c r="Q347" s="752">
        <v>50.006999999999998</v>
      </c>
      <c r="R347" s="752">
        <v>50.006999999999998</v>
      </c>
      <c r="S347" s="752">
        <v>50.006999999999998</v>
      </c>
      <c r="T347" s="752">
        <v>50.006999999999998</v>
      </c>
      <c r="U347" s="752">
        <v>50.006999999999998</v>
      </c>
      <c r="V347" s="752">
        <v>50.006999999999998</v>
      </c>
      <c r="W347" s="752">
        <v>50.006999999999998</v>
      </c>
      <c r="X347" s="752">
        <v>50.006999999999998</v>
      </c>
      <c r="Y347" s="752">
        <v>50.006999999999998</v>
      </c>
      <c r="Z347" s="752">
        <v>50.006999999999998</v>
      </c>
      <c r="AA347" s="752">
        <v>50.006999999999998</v>
      </c>
      <c r="AB347" s="752">
        <v>50.006999999999998</v>
      </c>
      <c r="AC347" s="752">
        <v>50.006999999999998</v>
      </c>
      <c r="AD347" s="752">
        <v>50.006999999999998</v>
      </c>
      <c r="AE347" s="752">
        <v>50.006999999999998</v>
      </c>
      <c r="AF347" s="752">
        <v>50.006999999999998</v>
      </c>
      <c r="AG347" s="752">
        <v>50.006999999999998</v>
      </c>
      <c r="AH347" s="752">
        <v>50.006999999999998</v>
      </c>
      <c r="AI347" s="42"/>
    </row>
    <row r="348" spans="1:37">
      <c r="A348" s="560" t="s">
        <v>452</v>
      </c>
      <c r="B348" s="568" t="s">
        <v>77</v>
      </c>
      <c r="C348" s="565"/>
      <c r="D348" s="566"/>
      <c r="E348" s="479">
        <f>INDEX(DEFAULT!$E$556:$AJ$556,1,'USER INPUTS'!$B$4)*'LOCAL DATASET INPUTS'!E10/1000000</f>
        <v>0</v>
      </c>
      <c r="F348" s="479">
        <f>((100+INDEX(DEFAULT!$E$568:$AJ$570,1,'USER INPUTS'!$B$4))/100)*'LOCAL DATASET INPUTS'!E348</f>
        <v>0</v>
      </c>
      <c r="G348" s="479">
        <f>((100+INDEX(DEFAULT!$E$568:$AJ$570,1,'USER INPUTS'!$B$4))/100)*'LOCAL DATASET INPUTS'!F348</f>
        <v>0</v>
      </c>
      <c r="H348" s="479">
        <f>((100+INDEX(DEFAULT!$E$568:$AJ$570,1,'USER INPUTS'!$B$4))/100)*'LOCAL DATASET INPUTS'!G348</f>
        <v>0</v>
      </c>
      <c r="I348" s="479">
        <f>((100+INDEX(DEFAULT!$E$568:$AJ$570,1,'USER INPUTS'!$B$4))/100)*'LOCAL DATASET INPUTS'!H348</f>
        <v>0</v>
      </c>
      <c r="J348" s="479">
        <f>((100+INDEX(DEFAULT!$E$568:$AJ$570,1,'USER INPUTS'!$B$4))/100)*'LOCAL DATASET INPUTS'!I348</f>
        <v>0</v>
      </c>
      <c r="K348" s="479">
        <f>((100+INDEX(DEFAULT!$E$568:$AJ$570,1,'USER INPUTS'!$B$4))/100)*'LOCAL DATASET INPUTS'!J348</f>
        <v>0</v>
      </c>
      <c r="L348" s="479">
        <f>((100+INDEX(DEFAULT!$E$568:$AJ$570,1,'USER INPUTS'!$B$4))/100)*'LOCAL DATASET INPUTS'!K348</f>
        <v>0</v>
      </c>
      <c r="M348" s="479">
        <f>((100+INDEX(DEFAULT!$E$568:$AJ$570,1,'USER INPUTS'!$B$4))/100)*'LOCAL DATASET INPUTS'!L348</f>
        <v>0</v>
      </c>
      <c r="N348" s="479">
        <f>((100+INDEX(DEFAULT!$E$568:$AJ$570,1,'USER INPUTS'!$B$4))/100)*'LOCAL DATASET INPUTS'!M348</f>
        <v>0</v>
      </c>
      <c r="O348" s="479">
        <f>((100+INDEX(DEFAULT!$E$568:$AJ$570,2,'USER INPUTS'!$B$4))/100)*'LOCAL DATASET INPUTS'!N348</f>
        <v>0</v>
      </c>
      <c r="P348" s="479">
        <f>((100+INDEX(DEFAULT!$E$568:$AJ$570,2,'USER INPUTS'!$B$4))/100)*'LOCAL DATASET INPUTS'!O348</f>
        <v>0</v>
      </c>
      <c r="Q348" s="479">
        <f>((100+INDEX(DEFAULT!$E$568:$AJ$570,2,'USER INPUTS'!$B$4))/100)*'LOCAL DATASET INPUTS'!P348</f>
        <v>0</v>
      </c>
      <c r="R348" s="479">
        <f>((100+INDEX(DEFAULT!$E$568:$AJ$570,2,'USER INPUTS'!$B$4))/100)*'LOCAL DATASET INPUTS'!Q348</f>
        <v>0</v>
      </c>
      <c r="S348" s="479">
        <f>((100+INDEX(DEFAULT!$E$568:$AJ$570,2,'USER INPUTS'!$B$4))/100)*'LOCAL DATASET INPUTS'!R348</f>
        <v>0</v>
      </c>
      <c r="T348" s="479">
        <f>((100+INDEX(DEFAULT!$E$568:$AJ$570,2,'USER INPUTS'!$B$4))/100)*'LOCAL DATASET INPUTS'!S348</f>
        <v>0</v>
      </c>
      <c r="U348" s="479">
        <f>((100+INDEX(DEFAULT!$E$568:$AJ$570,2,'USER INPUTS'!$B$4))/100)*'LOCAL DATASET INPUTS'!T348</f>
        <v>0</v>
      </c>
      <c r="V348" s="479">
        <f>((100+INDEX(DEFAULT!$E$568:$AJ$570,2,'USER INPUTS'!$B$4))/100)*'LOCAL DATASET INPUTS'!U348</f>
        <v>0</v>
      </c>
      <c r="W348" s="479">
        <f>((100+INDEX(DEFAULT!$E$568:$AJ$570,2,'USER INPUTS'!$B$4))/100)*'LOCAL DATASET INPUTS'!V348</f>
        <v>0</v>
      </c>
      <c r="X348" s="479">
        <f>((100+INDEX(DEFAULT!$E$568:$AJ$570,2,'USER INPUTS'!$B$4))/100)*'LOCAL DATASET INPUTS'!W348</f>
        <v>0</v>
      </c>
      <c r="Y348" s="479">
        <f>((100+INDEX(DEFAULT!$E$568:$AJ$570,3,'USER INPUTS'!$B$4))/100)*'LOCAL DATASET INPUTS'!X348</f>
        <v>0</v>
      </c>
      <c r="Z348" s="479">
        <f>((100+INDEX(DEFAULT!$E$568:$AJ$570,3,'USER INPUTS'!$B$4))/100)*'LOCAL DATASET INPUTS'!Y348</f>
        <v>0</v>
      </c>
      <c r="AA348" s="479">
        <f>((100+INDEX(DEFAULT!$E$568:$AJ$570,3,'USER INPUTS'!$B$4))/100)*'LOCAL DATASET INPUTS'!Z348</f>
        <v>0</v>
      </c>
      <c r="AB348" s="479">
        <f>((100+INDEX(DEFAULT!$E$568:$AJ$570,3,'USER INPUTS'!$B$4))/100)*'LOCAL DATASET INPUTS'!AA348</f>
        <v>0</v>
      </c>
      <c r="AC348" s="479">
        <f>((100+INDEX(DEFAULT!$E$568:$AJ$570,3,'USER INPUTS'!$B$4))/100)*'LOCAL DATASET INPUTS'!AB348</f>
        <v>0</v>
      </c>
      <c r="AD348" s="479">
        <f>((100+INDEX(DEFAULT!$E$568:$AJ$570,3,'USER INPUTS'!$B$4))/100)*'LOCAL DATASET INPUTS'!AC348</f>
        <v>0</v>
      </c>
      <c r="AE348" s="479">
        <f>((100+INDEX(DEFAULT!$E$568:$AJ$570,3,'USER INPUTS'!$B$4))/100)*'LOCAL DATASET INPUTS'!AD348</f>
        <v>0</v>
      </c>
      <c r="AF348" s="479">
        <f>((100+INDEX(DEFAULT!$E$568:$AJ$570,3,'USER INPUTS'!$B$4))/100)*'LOCAL DATASET INPUTS'!AE348</f>
        <v>0</v>
      </c>
      <c r="AG348" s="479">
        <f>((100+INDEX(DEFAULT!$E$568:$AJ$570,3,'USER INPUTS'!$B$4))/100)*'LOCAL DATASET INPUTS'!AF348</f>
        <v>0</v>
      </c>
      <c r="AH348" s="479">
        <f>((100+INDEX(DEFAULT!$E$568:$AJ$570,3,'USER INPUTS'!$B$4))/100)*'LOCAL DATASET INPUTS'!AG348</f>
        <v>0</v>
      </c>
      <c r="AI348" s="42"/>
    </row>
    <row r="349" spans="1:37">
      <c r="A349" s="551" t="s">
        <v>667</v>
      </c>
      <c r="B349" s="553" t="s">
        <v>659</v>
      </c>
      <c r="C349" s="553"/>
      <c r="D349" s="470"/>
      <c r="E349" s="479">
        <f>E347*E348</f>
        <v>0</v>
      </c>
      <c r="F349" s="479">
        <f t="shared" ref="F349:AH349" si="130">F347*F348</f>
        <v>0</v>
      </c>
      <c r="G349" s="479">
        <f t="shared" si="130"/>
        <v>0</v>
      </c>
      <c r="H349" s="479">
        <f t="shared" si="130"/>
        <v>0</v>
      </c>
      <c r="I349" s="479">
        <f t="shared" si="130"/>
        <v>0</v>
      </c>
      <c r="J349" s="479">
        <f t="shared" si="130"/>
        <v>0</v>
      </c>
      <c r="K349" s="479">
        <f t="shared" si="130"/>
        <v>0</v>
      </c>
      <c r="L349" s="479">
        <f t="shared" si="130"/>
        <v>0</v>
      </c>
      <c r="M349" s="479">
        <f t="shared" si="130"/>
        <v>0</v>
      </c>
      <c r="N349" s="479">
        <f t="shared" si="130"/>
        <v>0</v>
      </c>
      <c r="O349" s="479">
        <f t="shared" si="130"/>
        <v>0</v>
      </c>
      <c r="P349" s="479">
        <f t="shared" si="130"/>
        <v>0</v>
      </c>
      <c r="Q349" s="479">
        <f t="shared" si="130"/>
        <v>0</v>
      </c>
      <c r="R349" s="479">
        <f t="shared" si="130"/>
        <v>0</v>
      </c>
      <c r="S349" s="479">
        <f t="shared" si="130"/>
        <v>0</v>
      </c>
      <c r="T349" s="479">
        <f t="shared" si="130"/>
        <v>0</v>
      </c>
      <c r="U349" s="479">
        <f t="shared" si="130"/>
        <v>0</v>
      </c>
      <c r="V349" s="479">
        <f t="shared" si="130"/>
        <v>0</v>
      </c>
      <c r="W349" s="479">
        <f t="shared" si="130"/>
        <v>0</v>
      </c>
      <c r="X349" s="479">
        <f t="shared" si="130"/>
        <v>0</v>
      </c>
      <c r="Y349" s="479">
        <f t="shared" si="130"/>
        <v>0</v>
      </c>
      <c r="Z349" s="479">
        <f t="shared" si="130"/>
        <v>0</v>
      </c>
      <c r="AA349" s="479">
        <f t="shared" si="130"/>
        <v>0</v>
      </c>
      <c r="AB349" s="479">
        <f t="shared" si="130"/>
        <v>0</v>
      </c>
      <c r="AC349" s="479">
        <f t="shared" si="130"/>
        <v>0</v>
      </c>
      <c r="AD349" s="479">
        <f t="shared" si="130"/>
        <v>0</v>
      </c>
      <c r="AE349" s="479">
        <f t="shared" si="130"/>
        <v>0</v>
      </c>
      <c r="AF349" s="479">
        <f t="shared" si="130"/>
        <v>0</v>
      </c>
      <c r="AG349" s="479">
        <f t="shared" si="130"/>
        <v>0</v>
      </c>
      <c r="AH349" s="479">
        <f t="shared" si="130"/>
        <v>0</v>
      </c>
      <c r="AI349" s="42"/>
    </row>
    <row r="350" spans="1:37" ht="15.75" thickBot="1">
      <c r="A350" s="55"/>
      <c r="B350" s="52"/>
      <c r="C350" s="52"/>
      <c r="D350" s="259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1"/>
      <c r="AH350" s="52"/>
      <c r="AI350" s="53"/>
    </row>
    <row r="351" spans="1:37">
      <c r="A351" s="97"/>
      <c r="B351" s="94"/>
      <c r="C351" s="96"/>
      <c r="D351" s="99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  <c r="AF351" s="96"/>
      <c r="AG351" s="95"/>
      <c r="AH351" s="96"/>
      <c r="AI351" s="96"/>
      <c r="AJ351" s="85"/>
      <c r="AK351" s="86"/>
    </row>
    <row r="352" spans="1:37">
      <c r="A352" s="97"/>
      <c r="B352" s="94"/>
      <c r="C352" s="96"/>
      <c r="D352" s="99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5"/>
      <c r="AH352" s="96"/>
      <c r="AI352" s="96"/>
      <c r="AJ352" s="85"/>
      <c r="AK352" s="86"/>
    </row>
    <row r="353" spans="1:37">
      <c r="A353" s="97"/>
      <c r="B353" s="94"/>
      <c r="C353" s="96"/>
      <c r="D353" s="99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5"/>
      <c r="AH353" s="96"/>
      <c r="AI353" s="96"/>
      <c r="AJ353" s="85"/>
      <c r="AK353" s="86"/>
    </row>
  </sheetData>
  <mergeCells count="13">
    <mergeCell ref="A326:AI326"/>
    <mergeCell ref="A17:AI17"/>
    <mergeCell ref="A34:AI34"/>
    <mergeCell ref="A74:AI74"/>
    <mergeCell ref="A124:AI124"/>
    <mergeCell ref="C106:D106"/>
    <mergeCell ref="C57:D57"/>
    <mergeCell ref="C291:D291"/>
    <mergeCell ref="A2:AI2"/>
    <mergeCell ref="A219:AI219"/>
    <mergeCell ref="A243:AI243"/>
    <mergeCell ref="A258:AI258"/>
    <mergeCell ref="A280:AI28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INPUTS</vt:lpstr>
      <vt:lpstr>DEFAULT</vt:lpstr>
      <vt:lpstr>LOCAL DATASET INPUTS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Omistaja</dc:creator>
  <cp:lastModifiedBy>Kimmo Sakari Lylykangas</cp:lastModifiedBy>
  <dcterms:created xsi:type="dcterms:W3CDTF">2021-06-18T16:42:00Z</dcterms:created>
  <dcterms:modified xsi:type="dcterms:W3CDTF">2021-12-09T21:02:36Z</dcterms:modified>
</cp:coreProperties>
</file>